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_xlnm.Print_Area" localSheetId="0">'Прил.1 Сравнит табл'!$A$1:$F$34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стоим'!$A$1:$J$26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'Прил.3'!$A$1:$H$63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ОБ'!$A$1:$J$83</definedName>
    <definedName name="_xlnm.Print_Area" localSheetId="5">'Прил.6 Расчет ОБ'!$A$1:$G$21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0"/>
    <numFmt numFmtId="166" formatCode="0.0000"/>
    <numFmt numFmtId="167" formatCode="#,##0.0000"/>
    <numFmt numFmtId="168" formatCode="0.000"/>
    <numFmt numFmtId="169" formatCode="#,##0.0"/>
    <numFmt numFmtId="170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Calibri"/>
      <charset val="204"/>
      <family val="2"/>
      <color rgb="FF000000"/>
      <sz val="11"/>
    </font>
    <font>
      <name val="Times New Roman"/>
      <charset val="204"/>
      <family val="1"/>
      <color rgb="FF000000"/>
      <sz val="12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30" fillId="0" borderId="0"/>
  </cellStyleXfs>
  <cellXfs count="42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1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0" applyAlignment="1" pivotButton="0" quotePrefix="0" xfId="0">
      <alignment vertical="center"/>
    </xf>
    <xf numFmtId="10" fontId="16" fillId="0" borderId="0" pivotButton="0" quotePrefix="0" xfId="0"/>
    <xf numFmtId="0" fontId="16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justify" vertical="center" wrapText="1"/>
    </xf>
    <xf numFmtId="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0" fontId="16" fillId="0" borderId="2" applyAlignment="1" pivotButton="0" quotePrefix="0" xfId="0">
      <alignment horizontal="justify" vertical="center" wrapText="1"/>
    </xf>
    <xf numFmtId="165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right" vertical="center"/>
    </xf>
    <xf numFmtId="2" fontId="16" fillId="0" borderId="1" applyAlignment="1" pivotButton="0" quotePrefix="0" xfId="0">
      <alignment horizontal="right" vertical="center" wrapText="1"/>
    </xf>
    <xf numFmtId="2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/>
    </xf>
    <xf numFmtId="4" fontId="16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18" fillId="0" borderId="0" applyAlignment="1" pivotButton="0" quotePrefix="0" xfId="0">
      <alignment horizontal="right" vertical="center"/>
    </xf>
    <xf numFmtId="10" fontId="16" fillId="0" borderId="1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justify" vertical="center"/>
    </xf>
    <xf numFmtId="0" fontId="3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4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0" fontId="19" fillId="0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left" vertical="center"/>
    </xf>
    <xf numFmtId="0" fontId="16" fillId="0" borderId="5" applyAlignment="1" pivotButton="0" quotePrefix="0" xfId="0">
      <alignment horizontal="center" vertical="center" wrapText="1"/>
    </xf>
    <xf numFmtId="4" fontId="17" fillId="0" borderId="1" applyAlignment="1" pivotButton="0" quotePrefix="0" xfId="0">
      <alignment vertical="top"/>
    </xf>
    <xf numFmtId="0" fontId="17" fillId="0" borderId="0" pivotButton="0" quotePrefix="0" xfId="0"/>
    <xf numFmtId="0" fontId="16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49" fontId="16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top"/>
    </xf>
    <xf numFmtId="0" fontId="20" fillId="0" borderId="0" pivotButton="0" quotePrefix="0" xfId="0"/>
    <xf numFmtId="2" fontId="16" fillId="0" borderId="1" applyAlignment="1" pivotButton="0" quotePrefix="0" xfId="0">
      <alignment horizontal="right" vertical="center"/>
    </xf>
    <xf numFmtId="2" fontId="16" fillId="0" borderId="1" applyAlignment="1" pivotButton="0" quotePrefix="0" xfId="0">
      <alignment horizontal="right" vertical="center"/>
    </xf>
    <xf numFmtId="166" fontId="16" fillId="0" borderId="0" pivotButton="0" quotePrefix="0" xfId="0"/>
    <xf numFmtId="43" fontId="16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4" fillId="0" borderId="5" pivotButton="0" quotePrefix="0" xfId="0"/>
    <xf numFmtId="168" fontId="1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vertical="center" wrapText="1"/>
    </xf>
    <xf numFmtId="0" fontId="16" fillId="0" borderId="0" pivotButton="0" quotePrefix="0" xfId="0"/>
    <xf numFmtId="0" fontId="0" fillId="0" borderId="0" pivotButton="0" quotePrefix="0" xfId="0"/>
    <xf numFmtId="0" fontId="17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6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top" wrapText="1"/>
    </xf>
    <xf numFmtId="0" fontId="17" fillId="0" borderId="1" applyAlignment="1" pivotButton="0" quotePrefix="0" xfId="0">
      <alignment vertical="center" wrapText="1"/>
    </xf>
    <xf numFmtId="4" fontId="17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3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29" fillId="0" borderId="0" pivotButton="0" quotePrefix="0" xfId="0"/>
    <xf numFmtId="0" fontId="31" fillId="0" borderId="0" pivotButton="0" quotePrefix="0" xfId="1"/>
    <xf numFmtId="0" fontId="31" fillId="0" borderId="0" applyAlignment="1" pivotButton="0" quotePrefix="0" xfId="1">
      <alignment horizontal="center" vertical="center"/>
    </xf>
    <xf numFmtId="43" fontId="16" fillId="0" borderId="0" pivotButton="0" quotePrefix="0" xfId="0"/>
    <xf numFmtId="165" fontId="16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6" fontId="16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2">
    <cellStyle name="Обычный" xfId="0" builtinId="0"/>
    <cellStyle name="Обычный 2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A3:P34"/>
  <sheetViews>
    <sheetView view="pageBreakPreview" topLeftCell="A19" zoomScale="55" zoomScaleNormal="55" zoomScaleSheetLayoutView="55" workbookViewId="0">
      <selection activeCell="D42" sqref="D42"/>
    </sheetView>
  </sheetViews>
  <sheetFormatPr baseColWidth="8" defaultColWidth="9.140625" defaultRowHeight="15.75"/>
  <cols>
    <col width="9.140625" customWidth="1" style="293" min="1" max="2"/>
    <col width="36.85546875" customWidth="1" style="293" min="3" max="3"/>
    <col width="43.7109375" customWidth="1" style="293" min="4" max="4"/>
    <col hidden="1" width="36.5703125" customWidth="1" style="293" min="5" max="6"/>
    <col width="9.140625" customWidth="1" style="293" min="7" max="11"/>
    <col width="14.7109375" customWidth="1" style="293" min="12" max="12"/>
    <col width="17.7109375" customWidth="1" style="293" min="13" max="13"/>
    <col width="9.140625" customWidth="1" style="293" min="14" max="14"/>
  </cols>
  <sheetData>
    <row r="3">
      <c r="B3" s="320" t="inlineStr">
        <is>
          <t>Приложение № 1</t>
        </is>
      </c>
    </row>
    <row r="4">
      <c r="B4" s="321" t="inlineStr">
        <is>
          <t>Сравнительная таблица отбора объекта-представителя</t>
        </is>
      </c>
    </row>
    <row r="5">
      <c r="B5" s="166" t="n"/>
      <c r="C5" s="166" t="n"/>
      <c r="D5" s="166" t="n"/>
      <c r="E5" s="166" t="n"/>
      <c r="F5" s="166" t="n"/>
    </row>
    <row r="6" s="291">
      <c r="A6" s="293" t="n"/>
      <c r="B6" s="166" t="n"/>
      <c r="C6" s="166" t="n"/>
      <c r="D6" s="166" t="n"/>
      <c r="E6" s="166" t="n"/>
      <c r="F6" s="166" t="n"/>
      <c r="G6" s="293" t="n"/>
      <c r="H6" s="293" t="n"/>
      <c r="I6" s="293" t="n"/>
      <c r="J6" s="293" t="n"/>
      <c r="K6" s="293" t="n"/>
      <c r="L6" s="293" t="n"/>
      <c r="M6" s="293" t="n"/>
      <c r="N6" s="293" t="n"/>
    </row>
    <row r="7" s="291">
      <c r="A7" s="293" t="n"/>
      <c r="B7" s="166" t="n"/>
      <c r="C7" s="166" t="n"/>
      <c r="D7" s="166" t="n"/>
      <c r="E7" s="166" t="n"/>
      <c r="F7" s="166" t="n"/>
      <c r="G7" s="293" t="n"/>
      <c r="H7" s="293" t="n"/>
      <c r="I7" s="293" t="n"/>
      <c r="J7" s="293" t="n"/>
      <c r="K7" s="293" t="n"/>
      <c r="L7" s="293" t="n"/>
      <c r="M7" s="293" t="n"/>
      <c r="N7" s="293" t="n"/>
    </row>
    <row r="8">
      <c r="B8" s="166" t="n"/>
      <c r="C8" s="166" t="n"/>
      <c r="D8" s="166" t="n"/>
      <c r="E8" s="166" t="n"/>
      <c r="F8" s="166" t="n"/>
    </row>
    <row r="9" ht="48.75" customHeight="1" s="291">
      <c r="B9" s="322" t="inlineStr">
        <is>
          <t>Наименование разрабатываемого показателя УНЦ — Сети связи. Оборудование электропитания, 6 кВт</t>
        </is>
      </c>
    </row>
    <row r="10" ht="31.5" customHeight="1" s="291">
      <c r="B10" s="322" t="inlineStr">
        <is>
          <t>Сопоставимый уровень цен: 3 кв 2021</t>
        </is>
      </c>
    </row>
    <row r="11">
      <c r="B11" s="322" t="inlineStr">
        <is>
          <t>Единица измерения  — 1 объект</t>
        </is>
      </c>
    </row>
    <row r="12">
      <c r="B12" s="322" t="n"/>
    </row>
    <row r="13">
      <c r="B13" s="325" t="inlineStr">
        <is>
          <t>№ п/п</t>
        </is>
      </c>
      <c r="C13" s="325" t="inlineStr">
        <is>
          <t>Параметр</t>
        </is>
      </c>
      <c r="D13" s="305" t="inlineStr">
        <is>
          <t>Объект-представитель 1</t>
        </is>
      </c>
      <c r="E13" s="305" t="n"/>
      <c r="F13" s="305" t="n"/>
    </row>
    <row r="14" ht="31.5" customHeight="1" s="291">
      <c r="B14" s="325" t="n">
        <v>1</v>
      </c>
      <c r="C14" s="305" t="inlineStr">
        <is>
          <t>Наименование объекта-представителя</t>
        </is>
      </c>
      <c r="D14" s="325" t="inlineStr">
        <is>
          <t>Строительство ПС 220 кВ Налдинская с заходами ВЛ 220 кВ</t>
        </is>
      </c>
      <c r="E14" s="305" t="n"/>
      <c r="F14" s="305" t="n"/>
    </row>
    <row r="15" ht="31.5" customHeight="1" s="291">
      <c r="B15" s="325" t="n">
        <v>2</v>
      </c>
      <c r="C15" s="305" t="inlineStr">
        <is>
          <t>Наименование субъекта Российской Федерации</t>
        </is>
      </c>
      <c r="D15" s="325" t="inlineStr">
        <is>
          <t>Республика Саха (Якутия)</t>
        </is>
      </c>
      <c r="E15" s="305" t="n"/>
      <c r="F15" s="305" t="n"/>
    </row>
    <row r="16">
      <c r="B16" s="325" t="n">
        <v>3</v>
      </c>
      <c r="C16" s="305" t="inlineStr">
        <is>
          <t>Климатический район и подрайон</t>
        </is>
      </c>
      <c r="D16" s="325" t="inlineStr">
        <is>
          <t>IД</t>
        </is>
      </c>
      <c r="E16" s="305" t="n"/>
      <c r="F16" s="305" t="n"/>
    </row>
    <row r="17">
      <c r="B17" s="325" t="n">
        <v>4</v>
      </c>
      <c r="C17" s="305" t="inlineStr">
        <is>
          <t>Мощность объекта</t>
        </is>
      </c>
      <c r="D17" s="325" t="n">
        <v>1</v>
      </c>
      <c r="E17" s="300" t="n"/>
      <c r="F17" s="300" t="n"/>
    </row>
    <row r="18" ht="94.5" customHeight="1" s="291">
      <c r="B18" s="325" t="n">
        <v>5</v>
      </c>
      <c r="C18" s="16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8" s="325" t="inlineStr">
        <is>
          <t>Силовой кабель - 1,6 км;
Шкаф с оборудованием ЭПУ - 2 шт;
Шкаф с оборудованием ЭПУ (АКБ) - 1 шт.
Суммарная мощность системы 36,48 кВт</t>
        </is>
      </c>
      <c r="E18" s="305" t="n"/>
      <c r="F18" s="305" t="n"/>
    </row>
    <row r="19" ht="78.75" customHeight="1" s="291">
      <c r="B19" s="325" t="n">
        <v>6</v>
      </c>
      <c r="C19" s="16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9" s="170">
        <f>SUM(D20:D23)</f>
        <v/>
      </c>
      <c r="E19" s="170" t="n"/>
      <c r="F19" s="170" t="n"/>
    </row>
    <row r="20">
      <c r="B20" s="171" t="inlineStr">
        <is>
          <t>6.1</t>
        </is>
      </c>
      <c r="C20" s="305" t="inlineStr">
        <is>
          <t>строительно-монтажные работы</t>
        </is>
      </c>
      <c r="D20" s="170" t="n">
        <v>689.1651900000001</v>
      </c>
      <c r="E20" s="170" t="n"/>
      <c r="F20" s="170" t="n"/>
    </row>
    <row r="21" ht="15.75" customHeight="1" s="291">
      <c r="B21" s="171" t="inlineStr">
        <is>
          <t>6.2</t>
        </is>
      </c>
      <c r="C21" s="305" t="inlineStr">
        <is>
          <t>оборудование и инвентарь</t>
        </is>
      </c>
      <c r="D21" s="170">
        <f>878.133</f>
        <v/>
      </c>
      <c r="E21" s="170" t="n"/>
      <c r="F21" s="170" t="n"/>
    </row>
    <row r="22" ht="16.5" customHeight="1" s="291">
      <c r="B22" s="171" t="inlineStr">
        <is>
          <t>6.3</t>
        </is>
      </c>
      <c r="C22" s="305" t="inlineStr">
        <is>
          <t>пусконаладочные работы</t>
        </is>
      </c>
      <c r="D22" s="170" t="n"/>
      <c r="E22" s="170" t="n"/>
      <c r="F22" s="170" t="n"/>
      <c r="L22" s="406" t="n"/>
    </row>
    <row r="23" ht="35.25" customHeight="1" s="291">
      <c r="B23" s="171" t="inlineStr">
        <is>
          <t>6.4</t>
        </is>
      </c>
      <c r="C23" s="172" t="inlineStr">
        <is>
          <t>прочие и лимитированные затраты</t>
        </is>
      </c>
      <c r="D23" s="170">
        <f>D20*3.9%+(D20+D20*3.9%)*7%</f>
        <v/>
      </c>
      <c r="E23" s="170" t="n"/>
      <c r="F23" s="170" t="n"/>
    </row>
    <row r="24">
      <c r="B24" s="325" t="n">
        <v>7</v>
      </c>
      <c r="C24" s="172" t="inlineStr">
        <is>
          <t>Сопоставимый уровень цен</t>
        </is>
      </c>
      <c r="D24" s="325" t="inlineStr">
        <is>
          <t>3 кв 2021</t>
        </is>
      </c>
      <c r="E24" s="325" t="n"/>
      <c r="F24" s="170" t="n"/>
      <c r="G24" s="234" t="n"/>
    </row>
    <row r="25" ht="123" customHeight="1" s="291">
      <c r="B25" s="325" t="n">
        <v>8</v>
      </c>
      <c r="C25" s="17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5" s="170">
        <f>D19</f>
        <v/>
      </c>
      <c r="E25" s="170" t="n"/>
      <c r="F25" s="407" t="n"/>
    </row>
    <row r="26" ht="60.75" customHeight="1" s="291">
      <c r="B26" s="325" t="n">
        <v>9</v>
      </c>
      <c r="C26" s="169" t="inlineStr">
        <is>
          <t>Приведенная сметная стоимость на единицу мощности, тыс. руб. (строка 8/строку 4)</t>
        </is>
      </c>
      <c r="D26" s="170">
        <f>D25/D17</f>
        <v/>
      </c>
      <c r="E26" s="170" t="n"/>
      <c r="F26" s="170" t="n"/>
    </row>
    <row r="27" ht="122.25" customHeight="1" s="291">
      <c r="B27" s="325" t="n">
        <v>10</v>
      </c>
      <c r="C27" s="305" t="inlineStr">
        <is>
          <t>Примечание</t>
        </is>
      </c>
      <c r="D27" s="325" t="inlineStr">
        <is>
          <t>Выбран объектом-представителем с учетом минимальной удельной стоимости и как наиболее часто применяющееся конструктивное решение.
 Рекомендуемая расчетная единица  УНЦ - 1 объект</t>
        </is>
      </c>
      <c r="E27" s="305" t="n"/>
      <c r="F27" s="305" t="n"/>
    </row>
    <row r="28">
      <c r="B28" s="175" t="n"/>
      <c r="C28" s="404" t="n"/>
      <c r="D28" s="405" t="n"/>
      <c r="E28" s="405" t="n"/>
      <c r="F28" s="405" t="n"/>
      <c r="G28" s="405" t="n"/>
      <c r="H28" s="405" t="n"/>
      <c r="I28" s="404" t="n"/>
      <c r="J28" s="404" t="n"/>
      <c r="K28" s="404" t="n"/>
      <c r="L28" s="404" t="n"/>
      <c r="M28" s="404" t="n"/>
      <c r="N28" s="404" t="n"/>
      <c r="O28" s="404" t="n"/>
      <c r="P28" s="404" t="n"/>
    </row>
    <row r="29" ht="37.5" customHeight="1" s="291">
      <c r="B29" s="176" t="n"/>
    </row>
    <row r="30">
      <c r="B30" s="293" t="inlineStr">
        <is>
          <t>Составил ______________________        Д.Ю. Нефедова</t>
        </is>
      </c>
    </row>
    <row r="31">
      <c r="B31" s="176" t="inlineStr">
        <is>
          <t xml:space="preserve">                         (подпись, инициалы, фамилия)</t>
        </is>
      </c>
    </row>
    <row r="33">
      <c r="B33" s="293" t="inlineStr">
        <is>
          <t>Проверил ______________________        А.В. Костянецкая</t>
        </is>
      </c>
    </row>
    <row r="34">
      <c r="B34" s="176" t="inlineStr">
        <is>
          <t xml:space="preserve">                        (подпись, инициалы, фамилия)</t>
        </is>
      </c>
    </row>
  </sheetData>
  <mergeCells count="5">
    <mergeCell ref="B4:F4"/>
    <mergeCell ref="B10:F10"/>
    <mergeCell ref="B11:F11"/>
    <mergeCell ref="B3:F3"/>
    <mergeCell ref="B9:F9"/>
  </mergeCells>
  <pageMargins left="0.7" right="0.7" top="0.75" bottom="0.75" header="0.3" footer="0.3"/>
  <pageSetup orientation="portrait" paperSize="9" scale="88" fitToHeight="0" cellComments="atEnd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B3:J41"/>
  <sheetViews>
    <sheetView view="pageBreakPreview" zoomScale="70" zoomScaleNormal="70" workbookViewId="0">
      <selection activeCell="D42" sqref="D42"/>
    </sheetView>
  </sheetViews>
  <sheetFormatPr baseColWidth="8" defaultColWidth="9.140625" defaultRowHeight="15.75"/>
  <cols>
    <col width="5.5703125" customWidth="1" style="293" min="1" max="1"/>
    <col width="9.140625" customWidth="1" style="293" min="2" max="2"/>
    <col width="35.28515625" customWidth="1" style="293" min="3" max="3"/>
    <col width="13.85546875" customWidth="1" style="293" min="4" max="4"/>
    <col width="24.85546875" customWidth="1" style="293" min="5" max="5"/>
    <col width="15.5703125" customWidth="1" style="293" min="6" max="6"/>
    <col width="14.85546875" customWidth="1" style="293" min="7" max="7"/>
    <col width="16.7109375" customWidth="1" style="293" min="8" max="8"/>
    <col width="13" customWidth="1" style="293" min="9" max="10"/>
    <col width="9.140625" customWidth="1" style="293" min="11" max="11"/>
  </cols>
  <sheetData>
    <row r="3">
      <c r="B3" s="320" t="inlineStr">
        <is>
          <t>Приложение № 2</t>
        </is>
      </c>
    </row>
    <row r="4">
      <c r="B4" s="321" t="inlineStr">
        <is>
          <t>Расчет стоимости основных видов работ для выбора объекта-представителя</t>
        </is>
      </c>
    </row>
    <row r="5">
      <c r="B5" s="166" t="n"/>
      <c r="C5" s="166" t="n"/>
      <c r="D5" s="166" t="n"/>
      <c r="E5" s="166" t="n"/>
      <c r="F5" s="166" t="n"/>
      <c r="G5" s="166" t="n"/>
      <c r="H5" s="166" t="n"/>
      <c r="I5" s="166" t="n"/>
      <c r="J5" s="166" t="n"/>
    </row>
    <row r="6" ht="30" customHeight="1" s="291">
      <c r="B6" s="324" t="inlineStr">
        <is>
          <t>Наименование разрабатываемого показателя УНЦ — Сети связи. Оборудование электропитания, 6 кВт</t>
        </is>
      </c>
    </row>
    <row r="7">
      <c r="B7" s="322" t="inlineStr">
        <is>
          <t>Единица измерения  — 1 объект</t>
        </is>
      </c>
    </row>
    <row r="8">
      <c r="B8" s="322" t="n"/>
    </row>
    <row r="9" ht="15.75" customHeight="1" s="291">
      <c r="B9" s="325" t="inlineStr">
        <is>
          <t>№ п/п</t>
        </is>
      </c>
      <c r="C9" s="32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25" t="inlineStr">
        <is>
          <t>Объект-представитель 1</t>
        </is>
      </c>
      <c r="E9" s="408" t="n"/>
      <c r="F9" s="408" t="n"/>
      <c r="G9" s="408" t="n"/>
      <c r="H9" s="408" t="n"/>
      <c r="I9" s="408" t="n"/>
      <c r="J9" s="409" t="n"/>
    </row>
    <row r="10" ht="15.75" customHeight="1" s="291">
      <c r="B10" s="410" t="n"/>
      <c r="C10" s="410" t="n"/>
      <c r="D10" s="325" t="inlineStr">
        <is>
          <t>Номер сметы</t>
        </is>
      </c>
      <c r="E10" s="325" t="inlineStr">
        <is>
          <t>Наименование сметы</t>
        </is>
      </c>
      <c r="F10" s="325" t="inlineStr">
        <is>
          <t>Сметная стоимость в уровне цен 3 кв. 2021 г., тыс. руб.</t>
        </is>
      </c>
      <c r="G10" s="408" t="n"/>
      <c r="H10" s="408" t="n"/>
      <c r="I10" s="408" t="n"/>
      <c r="J10" s="409" t="n"/>
    </row>
    <row r="11" ht="31.5" customHeight="1" s="291">
      <c r="B11" s="411" t="n"/>
      <c r="C11" s="411" t="n"/>
      <c r="D11" s="411" t="n"/>
      <c r="E11" s="411" t="n"/>
      <c r="F11" s="325" t="inlineStr">
        <is>
          <t>Строительные работы</t>
        </is>
      </c>
      <c r="G11" s="325" t="inlineStr">
        <is>
          <t>Монтажные работы</t>
        </is>
      </c>
      <c r="H11" s="325" t="inlineStr">
        <is>
          <t>Оборудование</t>
        </is>
      </c>
      <c r="I11" s="325" t="inlineStr">
        <is>
          <t>Прочее</t>
        </is>
      </c>
      <c r="J11" s="325" t="inlineStr">
        <is>
          <t>Всего</t>
        </is>
      </c>
    </row>
    <row r="12" ht="126" customHeight="1" s="291">
      <c r="B12" s="182" t="n">
        <v>1</v>
      </c>
      <c r="C12" s="255" t="inlineStr">
        <is>
          <t>Силовой кабель - 1,6 км;
Шкаф с оборудованием ЭПУ - 2 шт;
Шкаф с оборудованием ЭПУ (АКБ) - 1 шт.
Суммарная мощность системы 36,48 кВт</t>
        </is>
      </c>
      <c r="D12" s="171" t="inlineStr">
        <is>
          <t>05-02-04</t>
        </is>
      </c>
      <c r="E12" s="305" t="inlineStr">
        <is>
          <t>Системы связи. Система гарантированного питания</t>
        </is>
      </c>
      <c r="F12" s="236" t="n"/>
      <c r="G12" s="236" t="n">
        <v>689.1651900000001</v>
      </c>
      <c r="H12" s="236">
        <f>878.133</f>
        <v/>
      </c>
      <c r="I12" s="177" t="n"/>
      <c r="J12" s="178">
        <f>SUM(F12:I12)</f>
        <v/>
      </c>
    </row>
    <row r="13" ht="15.75" customHeight="1" s="291">
      <c r="B13" s="323" t="inlineStr">
        <is>
          <t>Всего по объекту:</t>
        </is>
      </c>
      <c r="C13" s="408" t="n"/>
      <c r="D13" s="408" t="n"/>
      <c r="E13" s="409" t="n"/>
      <c r="F13" s="179">
        <f>SUM(F12:F12)</f>
        <v/>
      </c>
      <c r="G13" s="179">
        <f>SUM(G12:G12)</f>
        <v/>
      </c>
      <c r="H13" s="179">
        <f>SUM(H12:H12)</f>
        <v/>
      </c>
      <c r="I13" s="311" t="n"/>
      <c r="J13" s="181">
        <f>SUM(F13:I13)</f>
        <v/>
      </c>
    </row>
    <row r="14" ht="28.5" customHeight="1" s="291">
      <c r="B14" s="323" t="inlineStr">
        <is>
          <t>Всего по объекту в сопоставимом уровне цен 3 кв. 2021 г:</t>
        </is>
      </c>
      <c r="C14" s="408" t="n"/>
      <c r="D14" s="408" t="n"/>
      <c r="E14" s="409" t="n"/>
      <c r="F14" s="179">
        <f>F13</f>
        <v/>
      </c>
      <c r="G14" s="179">
        <f>G13</f>
        <v/>
      </c>
      <c r="H14" s="179">
        <f>H13</f>
        <v/>
      </c>
      <c r="I14" s="311" t="n"/>
      <c r="J14" s="181">
        <f>SUM(F14:I14)</f>
        <v/>
      </c>
    </row>
    <row r="15">
      <c r="B15" s="322" t="n"/>
    </row>
    <row r="18">
      <c r="B18" s="346" t="inlineStr">
        <is>
          <t>*</t>
        </is>
      </c>
      <c r="C18" s="293" t="inlineStr">
        <is>
          <t xml:space="preserve"> - стоимость с учетом исключения затрат на корректровку по транспортировке  свыше 30 км.</t>
        </is>
      </c>
    </row>
    <row r="22">
      <c r="B22" s="293" t="inlineStr">
        <is>
          <t>Составил ______________________        Д.Ю. Нефедова</t>
        </is>
      </c>
    </row>
    <row r="23">
      <c r="B23" s="176" t="inlineStr">
        <is>
          <t xml:space="preserve">                         (подпись, инициалы, фамилия)</t>
        </is>
      </c>
    </row>
    <row r="25">
      <c r="B25" s="293" t="inlineStr">
        <is>
          <t>Проверил ______________________        А.В. Костянецкая</t>
        </is>
      </c>
    </row>
    <row r="26">
      <c r="B26" s="176" t="inlineStr">
        <is>
          <t xml:space="preserve">                        (подпись, инициалы, фамилия)</t>
        </is>
      </c>
    </row>
    <row r="41">
      <c r="I41" s="412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L62"/>
  <sheetViews>
    <sheetView view="pageBreakPreview" topLeftCell="A32" zoomScale="70" workbookViewId="0">
      <selection activeCell="A64" sqref="A64:XFD187"/>
    </sheetView>
  </sheetViews>
  <sheetFormatPr baseColWidth="8" defaultColWidth="9.140625" defaultRowHeight="15.75"/>
  <cols>
    <col width="9.140625" customWidth="1" style="293" min="1" max="1"/>
    <col width="12.5703125" customWidth="1" style="293" min="2" max="2"/>
    <col width="22.42578125" customWidth="1" style="293" min="3" max="3"/>
    <col width="49.7109375" customWidth="1" style="293" min="4" max="4"/>
    <col width="10.140625" customWidth="1" style="224" min="5" max="5"/>
    <col width="20.7109375" customWidth="1" style="293" min="6" max="6"/>
    <col width="16.140625" customWidth="1" style="293" min="7" max="7"/>
    <col width="16.7109375" customWidth="1" style="293" min="8" max="8"/>
    <col width="9.140625" customWidth="1" style="293" min="9" max="9"/>
    <col width="10.140625" customWidth="1" style="293" min="10" max="10"/>
    <col width="14" customWidth="1" style="293" min="11" max="11"/>
    <col width="9.140625" customWidth="1" style="293" min="12" max="12"/>
  </cols>
  <sheetData>
    <row r="2">
      <c r="A2" s="320" t="inlineStr">
        <is>
          <t xml:space="preserve">Приложение № 3 </t>
        </is>
      </c>
    </row>
    <row r="3">
      <c r="A3" s="321" t="inlineStr">
        <is>
          <t>Объектная ресурсная ведомость</t>
        </is>
      </c>
    </row>
    <row r="4">
      <c r="A4" s="322" t="n"/>
    </row>
    <row r="5" ht="41.25" customHeight="1" s="291">
      <c r="A5" s="324" t="inlineStr">
        <is>
          <t>Наименование разрабатываемого показателя УНЦ - Сети связи. Оборудование электропитания, 6 кВт</t>
        </is>
      </c>
    </row>
    <row r="6" s="291">
      <c r="A6" s="225" t="n"/>
      <c r="B6" s="225" t="n"/>
      <c r="C6" s="225" t="n"/>
      <c r="D6" s="225" t="n"/>
      <c r="E6" s="166" t="n"/>
      <c r="F6" s="225" t="n"/>
      <c r="G6" s="225" t="n"/>
      <c r="H6" s="225" t="n"/>
      <c r="I6" s="293" t="n"/>
      <c r="J6" s="293" t="n"/>
      <c r="K6" s="293" t="n"/>
      <c r="L6" s="293" t="n"/>
    </row>
    <row r="7" s="291">
      <c r="A7" s="225" t="n"/>
      <c r="B7" s="225" t="n"/>
      <c r="C7" s="225" t="n"/>
      <c r="D7" s="225" t="n"/>
      <c r="E7" s="166" t="n"/>
      <c r="F7" s="225" t="n"/>
      <c r="G7" s="225" t="n"/>
      <c r="H7" s="225" t="n"/>
      <c r="I7" s="293" t="n"/>
      <c r="J7" s="293" t="n"/>
      <c r="K7" s="293" t="n"/>
      <c r="L7" s="293" t="n"/>
    </row>
    <row r="8">
      <c r="A8" s="225" t="n"/>
      <c r="B8" s="225" t="n"/>
      <c r="C8" s="225" t="n"/>
      <c r="D8" s="225" t="n"/>
      <c r="E8" s="166" t="n"/>
      <c r="F8" s="225" t="n"/>
      <c r="G8" s="225" t="n"/>
      <c r="H8" s="225" t="n"/>
    </row>
    <row r="9" ht="38.25" customHeight="1" s="291">
      <c r="A9" s="325" t="inlineStr">
        <is>
          <t>п/п</t>
        </is>
      </c>
      <c r="B9" s="325" t="inlineStr">
        <is>
          <t>№ЛСР</t>
        </is>
      </c>
      <c r="C9" s="325" t="inlineStr">
        <is>
          <t>Код ресурса</t>
        </is>
      </c>
      <c r="D9" s="325" t="inlineStr">
        <is>
          <t>Наименование ресурса</t>
        </is>
      </c>
      <c r="E9" s="325" t="inlineStr">
        <is>
          <t>Ед. изм.</t>
        </is>
      </c>
      <c r="F9" s="325" t="inlineStr">
        <is>
          <t>Кол-во единиц по данным объекта-представителя</t>
        </is>
      </c>
      <c r="G9" s="325" t="inlineStr">
        <is>
          <t>Сметная стоимость в ценах на 01.01.2000 (руб.)</t>
        </is>
      </c>
      <c r="H9" s="409" t="n"/>
    </row>
    <row r="10" ht="40.5" customHeight="1" s="291">
      <c r="A10" s="411" t="n"/>
      <c r="B10" s="411" t="n"/>
      <c r="C10" s="411" t="n"/>
      <c r="D10" s="411" t="n"/>
      <c r="E10" s="411" t="n"/>
      <c r="F10" s="411" t="n"/>
      <c r="G10" s="325" t="inlineStr">
        <is>
          <t>на ед.изм.</t>
        </is>
      </c>
      <c r="H10" s="325" t="inlineStr">
        <is>
          <t>общая</t>
        </is>
      </c>
    </row>
    <row r="11">
      <c r="A11" s="255" t="n">
        <v>1</v>
      </c>
      <c r="B11" s="255" t="n"/>
      <c r="C11" s="255" t="n">
        <v>2</v>
      </c>
      <c r="D11" s="255" t="inlineStr">
        <is>
          <t>З</t>
        </is>
      </c>
      <c r="E11" s="255" t="n">
        <v>4</v>
      </c>
      <c r="F11" s="255" t="n">
        <v>5</v>
      </c>
      <c r="G11" s="255" t="n">
        <v>6</v>
      </c>
      <c r="H11" s="255" t="n">
        <v>7</v>
      </c>
    </row>
    <row r="12" customFormat="1" s="282">
      <c r="A12" s="326" t="inlineStr">
        <is>
          <t>Затраты труда рабочих</t>
        </is>
      </c>
      <c r="B12" s="408" t="n"/>
      <c r="C12" s="408" t="n"/>
      <c r="D12" s="408" t="n"/>
      <c r="E12" s="409" t="n"/>
      <c r="F12" s="227" t="n">
        <v>167.1733</v>
      </c>
      <c r="G12" s="227" t="n"/>
      <c r="H12" s="227">
        <f>SUM(H13:H14)</f>
        <v/>
      </c>
      <c r="I12" s="293" t="n"/>
      <c r="J12" s="293" t="n"/>
      <c r="K12" s="293" t="n"/>
      <c r="L12" s="293" t="n"/>
    </row>
    <row r="13">
      <c r="A13" s="327" t="n">
        <v>1</v>
      </c>
      <c r="B13" s="230" t="inlineStr">
        <is>
          <t> </t>
        </is>
      </c>
      <c r="C13" s="231" t="inlineStr">
        <is>
          <t>1-3-8</t>
        </is>
      </c>
      <c r="D13" s="328" t="inlineStr">
        <is>
          <t>Затраты труда рабочих (ср 3,8)</t>
        </is>
      </c>
      <c r="E13" s="233" t="inlineStr">
        <is>
          <t>чел.-ч</t>
        </is>
      </c>
      <c r="F13" s="327" t="n">
        <v>153.4737</v>
      </c>
      <c r="G13" s="183" t="n">
        <v>9.4</v>
      </c>
      <c r="H13" s="183">
        <f>ROUND(F13*G13,2)</f>
        <v/>
      </c>
    </row>
    <row r="14">
      <c r="A14" s="327" t="n">
        <v>2</v>
      </c>
      <c r="B14" s="230" t="inlineStr">
        <is>
          <t> </t>
        </is>
      </c>
      <c r="C14" s="231" t="inlineStr">
        <is>
          <t>1-4-2</t>
        </is>
      </c>
      <c r="D14" s="328" t="inlineStr">
        <is>
          <t>Затраты труда рабочих (ср 4,2)</t>
        </is>
      </c>
      <c r="E14" s="233" t="inlineStr">
        <is>
          <t>чел.-ч</t>
        </is>
      </c>
      <c r="F14" s="327" t="n">
        <v>13.6996</v>
      </c>
      <c r="G14" s="183" t="n">
        <v>9.92</v>
      </c>
      <c r="H14" s="183">
        <f>ROUND(F14*G14,2)</f>
        <v/>
      </c>
    </row>
    <row r="15">
      <c r="A15" s="326" t="inlineStr">
        <is>
          <t>Затраты труда машинистов</t>
        </is>
      </c>
      <c r="B15" s="408" t="n"/>
      <c r="C15" s="408" t="n"/>
      <c r="D15" s="408" t="n"/>
      <c r="E15" s="409" t="n"/>
      <c r="F15" s="326" t="n">
        <v>10.802</v>
      </c>
      <c r="G15" s="227" t="n"/>
      <c r="H15" s="227">
        <f>H16</f>
        <v/>
      </c>
    </row>
    <row r="16">
      <c r="A16" s="327" t="n">
        <v>3</v>
      </c>
      <c r="B16" s="327" t="inlineStr">
        <is>
          <t> </t>
        </is>
      </c>
      <c r="C16" s="310" t="n">
        <v>2</v>
      </c>
      <c r="D16" s="328" t="inlineStr">
        <is>
          <t>Затраты труда машинистов</t>
        </is>
      </c>
      <c r="E16" s="233" t="inlineStr">
        <is>
          <t>чел.-ч</t>
        </is>
      </c>
      <c r="F16" s="327" t="n">
        <v>10.802</v>
      </c>
      <c r="G16" s="183" t="n"/>
      <c r="H16" s="183" t="n">
        <v>133.97</v>
      </c>
    </row>
    <row r="17" customFormat="1" s="282">
      <c r="A17" s="326" t="inlineStr">
        <is>
          <t>Машины и механизмы</t>
        </is>
      </c>
      <c r="B17" s="408" t="n"/>
      <c r="C17" s="408" t="n"/>
      <c r="D17" s="408" t="n"/>
      <c r="E17" s="409" t="n"/>
      <c r="F17" s="326" t="n"/>
      <c r="G17" s="227" t="n"/>
      <c r="H17" s="227">
        <f>SUM(H18:H25)</f>
        <v/>
      </c>
      <c r="I17" s="293" t="n"/>
      <c r="J17" s="293" t="n"/>
      <c r="K17" s="293" t="n"/>
      <c r="L17" s="293" t="n"/>
    </row>
    <row r="18" ht="31.5" customHeight="1" s="291">
      <c r="A18" s="327" t="n">
        <v>4</v>
      </c>
      <c r="B18" s="327" t="inlineStr">
        <is>
          <t> </t>
        </is>
      </c>
      <c r="C18" s="310" t="inlineStr">
        <is>
          <t>91.05.05-015</t>
        </is>
      </c>
      <c r="D18" s="328" t="inlineStr">
        <is>
          <t>Краны на автомобильном ходу, грузоподъемность 16 т</t>
        </is>
      </c>
      <c r="E18" s="233" t="inlineStr">
        <is>
          <t>маш.час</t>
        </is>
      </c>
      <c r="F18" s="327" t="n">
        <v>4.771</v>
      </c>
      <c r="G18" s="183" t="n">
        <v>115.4</v>
      </c>
      <c r="H18" s="183">
        <f>ROUND(F18*G18,2)</f>
        <v/>
      </c>
    </row>
    <row r="19" ht="31.5" customHeight="1" s="291">
      <c r="A19" s="327" t="n">
        <v>5</v>
      </c>
      <c r="B19" s="327" t="inlineStr">
        <is>
          <t> </t>
        </is>
      </c>
      <c r="C19" s="310" t="inlineStr">
        <is>
          <t>91.14.02-001</t>
        </is>
      </c>
      <c r="D19" s="328" t="inlineStr">
        <is>
          <t>Автомобили бортовые, грузоподъемность до 5 т</t>
        </is>
      </c>
      <c r="E19" s="233" t="inlineStr">
        <is>
          <t>маш.час</t>
        </is>
      </c>
      <c r="F19" s="327" t="n">
        <v>4.771</v>
      </c>
      <c r="G19" s="183" t="n">
        <v>65.70999999999999</v>
      </c>
      <c r="H19" s="183">
        <f>ROUND(F19*G19,2)</f>
        <v/>
      </c>
    </row>
    <row r="20" ht="31.5" customHeight="1" s="291">
      <c r="A20" s="327" t="n">
        <v>6</v>
      </c>
      <c r="B20" s="327" t="inlineStr">
        <is>
          <t> </t>
        </is>
      </c>
      <c r="C20" s="310" t="inlineStr">
        <is>
          <t>91.05.13-025</t>
        </is>
      </c>
      <c r="D20" s="328" t="inlineStr">
        <is>
          <t>Краны-манипуляторы на автомобильном ходу, грузоподъемность до 3,2 т</t>
        </is>
      </c>
      <c r="E20" s="233" t="inlineStr">
        <is>
          <t>маш.час</t>
        </is>
      </c>
      <c r="F20" s="327" t="n">
        <v>1.11</v>
      </c>
      <c r="G20" s="183" t="n">
        <v>112.36</v>
      </c>
      <c r="H20" s="183">
        <f>ROUND(F20*G20,2)</f>
        <v/>
      </c>
    </row>
    <row r="21" ht="31.5" customHeight="1" s="291">
      <c r="A21" s="327" t="n">
        <v>7</v>
      </c>
      <c r="B21" s="327" t="inlineStr">
        <is>
          <t> </t>
        </is>
      </c>
      <c r="C21" s="310" t="inlineStr">
        <is>
          <t>91.06.03-061</t>
        </is>
      </c>
      <c r="D21" s="328" t="inlineStr">
        <is>
          <t>Лебедки электрические тяговым усилием до 12,26 кН (1,25 т)</t>
        </is>
      </c>
      <c r="E21" s="233" t="inlineStr">
        <is>
          <t>маш.час</t>
        </is>
      </c>
      <c r="F21" s="327" t="n">
        <v>25.4374</v>
      </c>
      <c r="G21" s="183" t="n">
        <v>3.28</v>
      </c>
      <c r="H21" s="183">
        <f>ROUND(F21*G21,2)</f>
        <v/>
      </c>
    </row>
    <row r="22" ht="31.5" customHeight="1" s="291">
      <c r="A22" s="327" t="n">
        <v>8</v>
      </c>
      <c r="B22" s="327" t="inlineStr">
        <is>
          <t> </t>
        </is>
      </c>
      <c r="C22" s="310" t="inlineStr">
        <is>
          <t>91.17.04-233</t>
        </is>
      </c>
      <c r="D22" s="328" t="inlineStr">
        <is>
          <t>Установки для сварки ручной дуговой (постоянного тока)</t>
        </is>
      </c>
      <c r="E22" s="233" t="inlineStr">
        <is>
          <t>маш.час</t>
        </is>
      </c>
      <c r="F22" s="327" t="n">
        <v>3.712</v>
      </c>
      <c r="G22" s="183" t="n">
        <v>8.1</v>
      </c>
      <c r="H22" s="183">
        <f>ROUND(F22*G22,2)</f>
        <v/>
      </c>
    </row>
    <row r="23" ht="31.5" customHeight="1" s="291">
      <c r="A23" s="327" t="n">
        <v>9</v>
      </c>
      <c r="B23" s="327" t="inlineStr">
        <is>
          <t> </t>
        </is>
      </c>
      <c r="C23" s="310" t="inlineStr">
        <is>
          <t>91.06.01-003</t>
        </is>
      </c>
      <c r="D23" s="328" t="inlineStr">
        <is>
          <t>Домкраты гидравлические, грузоподъемность 63-100 т</t>
        </is>
      </c>
      <c r="E23" s="233" t="inlineStr">
        <is>
          <t>маш.час</t>
        </is>
      </c>
      <c r="F23" s="327" t="n">
        <v>25.4374</v>
      </c>
      <c r="G23" s="183" t="n">
        <v>0.9</v>
      </c>
      <c r="H23" s="183">
        <f>ROUND(F23*G23,2)</f>
        <v/>
      </c>
    </row>
    <row r="24" ht="47.25" customHeight="1" s="291">
      <c r="A24" s="327" t="n">
        <v>10</v>
      </c>
      <c r="B24" s="327" t="inlineStr">
        <is>
          <t> </t>
        </is>
      </c>
      <c r="C24" s="310" t="inlineStr">
        <is>
          <t>91.05.02-769</t>
        </is>
      </c>
      <c r="D24" s="328" t="inlineStr">
        <is>
          <t>Краны козловые передвижные, грузоподъемность до 3 т, высота подъема 3 м, пролет 3 м</t>
        </is>
      </c>
      <c r="E24" s="233" t="inlineStr">
        <is>
          <t>маш.час</t>
        </is>
      </c>
      <c r="F24" s="327" t="n">
        <v>0.15</v>
      </c>
      <c r="G24" s="183" t="n">
        <v>13.13</v>
      </c>
      <c r="H24" s="183">
        <f>ROUND(F24*G24,2)</f>
        <v/>
      </c>
    </row>
    <row r="25" ht="22.5" customHeight="1" s="291">
      <c r="A25" s="327" t="n">
        <v>11</v>
      </c>
      <c r="B25" s="327" t="inlineStr">
        <is>
          <t> </t>
        </is>
      </c>
      <c r="C25" s="310" t="inlineStr">
        <is>
          <t>91.21.16-012</t>
        </is>
      </c>
      <c r="D25" s="328" t="inlineStr">
        <is>
          <t>Прессы гидравлические с электроприводом</t>
        </is>
      </c>
      <c r="E25" s="233" t="inlineStr">
        <is>
          <t>маш.час</t>
        </is>
      </c>
      <c r="F25" s="327" t="n">
        <v>0.4944</v>
      </c>
      <c r="G25" s="183" t="n">
        <v>1.11</v>
      </c>
      <c r="H25" s="183">
        <f>ROUND(F25*G25,2)</f>
        <v/>
      </c>
    </row>
    <row r="26">
      <c r="A26" s="326" t="inlineStr">
        <is>
          <t>Оборудование</t>
        </is>
      </c>
      <c r="B26" s="408" t="n"/>
      <c r="C26" s="408" t="n"/>
      <c r="D26" s="408" t="n"/>
      <c r="E26" s="409" t="n"/>
      <c r="F26" s="326" t="n"/>
      <c r="G26" s="227" t="n"/>
      <c r="H26" s="227">
        <f>SUM(H27:H28)</f>
        <v/>
      </c>
    </row>
    <row r="27" ht="31.5" customFormat="1" customHeight="1" s="282">
      <c r="A27" s="327" t="n">
        <v>12</v>
      </c>
      <c r="B27" s="327" t="inlineStr">
        <is>
          <t> </t>
        </is>
      </c>
      <c r="C27" s="310" t="inlineStr">
        <is>
          <t>Прайс из СД ОП</t>
        </is>
      </c>
      <c r="D27" s="328" t="inlineStr">
        <is>
          <t>Шкаф №1 с оборудованием ЭПУ (карта заказа №1.1 (ШОЭП №1)</t>
        </is>
      </c>
      <c r="E27" s="233" t="inlineStr">
        <is>
          <t>шт</t>
        </is>
      </c>
      <c r="F27" s="327" t="n">
        <v>1</v>
      </c>
      <c r="G27" s="183" t="n">
        <v>107618.11</v>
      </c>
      <c r="H27" s="183">
        <f>ROUND(F27*G27,2)</f>
        <v/>
      </c>
      <c r="I27" s="293" t="n"/>
      <c r="J27" s="293" t="n"/>
      <c r="K27" s="293" t="n"/>
      <c r="L27" s="293" t="n"/>
    </row>
    <row r="28" ht="31.5" customFormat="1" customHeight="1" s="282">
      <c r="A28" s="327" t="n">
        <v>13</v>
      </c>
      <c r="B28" s="327" t="inlineStr">
        <is>
          <t> </t>
        </is>
      </c>
      <c r="C28" s="310" t="inlineStr">
        <is>
          <t>Прайс из СД ОП</t>
        </is>
      </c>
      <c r="D28" s="328" t="inlineStr">
        <is>
          <t>Шкаф №3 с оборудованием ЭПУ (АКБ) (карта заказа №1.3 (ШОЭП №3 (АКБ))</t>
        </is>
      </c>
      <c r="E28" s="233" t="inlineStr">
        <is>
          <t>шт</t>
        </is>
      </c>
      <c r="F28" s="327" t="n">
        <v>1</v>
      </c>
      <c r="G28" s="183" t="n">
        <v>50319.49</v>
      </c>
      <c r="H28" s="183">
        <f>ROUND(F28*G28,2)</f>
        <v/>
      </c>
      <c r="I28" s="293" t="n"/>
      <c r="J28" s="293" t="n"/>
      <c r="K28" s="293" t="n"/>
      <c r="L28" s="293" t="n"/>
    </row>
    <row r="29">
      <c r="A29" s="326" t="inlineStr">
        <is>
          <t>Материалы</t>
        </is>
      </c>
      <c r="B29" s="408" t="n"/>
      <c r="C29" s="408" t="n"/>
      <c r="D29" s="408" t="n"/>
      <c r="E29" s="409" t="n"/>
      <c r="F29" s="326" t="n"/>
      <c r="G29" s="227" t="n"/>
      <c r="H29" s="227">
        <f>SUM(H30:H55)</f>
        <v/>
      </c>
    </row>
    <row r="30" ht="31.5" customHeight="1" s="291">
      <c r="A30" s="327" t="n">
        <v>14</v>
      </c>
      <c r="B30" s="327" t="inlineStr">
        <is>
          <t> </t>
        </is>
      </c>
      <c r="C30" s="310" t="inlineStr">
        <is>
          <t>21.1.06.10-0368</t>
        </is>
      </c>
      <c r="D30" s="328" t="inlineStr">
        <is>
          <t>Кабель силовой с медными жилами ВВГнг(A)-LS 2х25мк(N)-1000</t>
        </is>
      </c>
      <c r="E30" s="233" t="inlineStr">
        <is>
          <t>1000 м</t>
        </is>
      </c>
      <c r="F30" s="327" t="n">
        <v>0.59874</v>
      </c>
      <c r="G30" s="183" t="n">
        <v>71107.06</v>
      </c>
      <c r="H30" s="183">
        <f>ROUND(F30*G30,2)</f>
        <v/>
      </c>
    </row>
    <row r="31" ht="31.5" customHeight="1" s="291">
      <c r="A31" s="327" t="n">
        <v>15</v>
      </c>
      <c r="B31" s="327" t="inlineStr">
        <is>
          <t> </t>
        </is>
      </c>
      <c r="C31" s="310" t="inlineStr">
        <is>
          <t>21.1.06.10-0581</t>
        </is>
      </c>
      <c r="D31" s="328" t="inlineStr">
        <is>
          <t>Кабель силовой с медными жилами ВВГнг-LS 3х6-1000</t>
        </is>
      </c>
      <c r="E31" s="233" t="inlineStr">
        <is>
          <t>1000 м</t>
        </is>
      </c>
      <c r="F31" s="327" t="n">
        <v>0.55794</v>
      </c>
      <c r="G31" s="183" t="n">
        <v>26001.05</v>
      </c>
      <c r="H31" s="183">
        <f>ROUND(F31*G31,2)</f>
        <v/>
      </c>
    </row>
    <row r="32" ht="31.5" customHeight="1" s="291">
      <c r="A32" s="327" t="n">
        <v>16</v>
      </c>
      <c r="B32" s="327" t="inlineStr">
        <is>
          <t> </t>
        </is>
      </c>
      <c r="C32" s="310" t="inlineStr">
        <is>
          <t>21.1.06.10-0575</t>
        </is>
      </c>
      <c r="D32" s="328" t="inlineStr">
        <is>
          <t>Кабель силовой с медными жилами ВВГнг-LS 2х6-1000</t>
        </is>
      </c>
      <c r="E32" s="233" t="inlineStr">
        <is>
          <t>1000 м</t>
        </is>
      </c>
      <c r="F32" s="327" t="n">
        <v>0.20451</v>
      </c>
      <c r="G32" s="183" t="n">
        <v>16394.77</v>
      </c>
      <c r="H32" s="183">
        <f>ROUND(F32*G32,2)</f>
        <v/>
      </c>
    </row>
    <row r="33" ht="31.5" customHeight="1" s="291">
      <c r="A33" s="327" t="n">
        <v>17</v>
      </c>
      <c r="B33" s="327" t="inlineStr">
        <is>
          <t> </t>
        </is>
      </c>
      <c r="C33" s="310" t="inlineStr">
        <is>
          <t>21.1.06.10-0579</t>
        </is>
      </c>
      <c r="D33" s="328" t="inlineStr">
        <is>
          <t>Кабель силовой с медными жилами ВВГнг-LS 3х2,5-1000</t>
        </is>
      </c>
      <c r="E33" s="233" t="inlineStr">
        <is>
          <t>1000 м</t>
        </is>
      </c>
      <c r="F33" s="327" t="n">
        <v>0.23664</v>
      </c>
      <c r="G33" s="183" t="n">
        <v>13942.81</v>
      </c>
      <c r="H33" s="183">
        <f>ROUND(F33*G33,2)</f>
        <v/>
      </c>
    </row>
    <row r="34" ht="31.5" customHeight="1" s="291">
      <c r="A34" s="327" t="n">
        <v>18</v>
      </c>
      <c r="B34" s="327" t="inlineStr">
        <is>
          <t> </t>
        </is>
      </c>
      <c r="C34" s="310" t="inlineStr">
        <is>
          <t>10.3.02.03-0011</t>
        </is>
      </c>
      <c r="D34" s="328" t="inlineStr">
        <is>
          <t>Припои оловянно-свинцовые бессурьмянистые, марка ПОС30</t>
        </is>
      </c>
      <c r="E34" s="233" t="inlineStr">
        <is>
          <t>т</t>
        </is>
      </c>
      <c r="F34" s="327" t="n">
        <v>0.0070939</v>
      </c>
      <c r="G34" s="183" t="n">
        <v>68050</v>
      </c>
      <c r="H34" s="183">
        <f>ROUND(F34*G34,2)</f>
        <v/>
      </c>
    </row>
    <row r="35" ht="31.5" customFormat="1" customHeight="1" s="282">
      <c r="A35" s="327" t="n">
        <v>19</v>
      </c>
      <c r="B35" s="327" t="inlineStr">
        <is>
          <t> </t>
        </is>
      </c>
      <c r="C35" s="310" t="inlineStr">
        <is>
          <t>21.2.03.05-0073</t>
        </is>
      </c>
      <c r="D35" s="328" t="inlineStr">
        <is>
          <t>Провод силовой установочный с медными жилами ПВ3 16-450</t>
        </is>
      </c>
      <c r="E35" s="233" t="inlineStr">
        <is>
          <t>1000 м</t>
        </is>
      </c>
      <c r="F35" s="327" t="n">
        <v>0.01224</v>
      </c>
      <c r="G35" s="183" t="n">
        <v>12127</v>
      </c>
      <c r="H35" s="183">
        <f>ROUND(F35*G35,2)</f>
        <v/>
      </c>
      <c r="I35" s="293" t="n"/>
      <c r="J35" s="293" t="n"/>
      <c r="K35" s="293" t="n"/>
      <c r="L35" s="293" t="n"/>
    </row>
    <row r="36">
      <c r="A36" s="327" t="n">
        <v>20</v>
      </c>
      <c r="B36" s="327" t="inlineStr">
        <is>
          <t> </t>
        </is>
      </c>
      <c r="C36" s="310" t="inlineStr">
        <is>
          <t>01.7.06.07-0002</t>
        </is>
      </c>
      <c r="D36" s="328" t="inlineStr">
        <is>
          <t>Лента монтажная, тип ЛМ-5</t>
        </is>
      </c>
      <c r="E36" s="233" t="inlineStr">
        <is>
          <t>10 м</t>
        </is>
      </c>
      <c r="F36" s="327" t="n">
        <v>13.436625</v>
      </c>
      <c r="G36" s="183" t="n">
        <v>6.9</v>
      </c>
      <c r="H36" s="183">
        <f>ROUND(F36*G36,2)</f>
        <v/>
      </c>
    </row>
    <row r="37">
      <c r="A37" s="327" t="n">
        <v>21</v>
      </c>
      <c r="B37" s="327" t="inlineStr">
        <is>
          <t> </t>
        </is>
      </c>
      <c r="C37" s="310" t="inlineStr">
        <is>
          <t>01.3.01.01-0001</t>
        </is>
      </c>
      <c r="D37" s="328" t="inlineStr">
        <is>
          <t>Бензин авиационный Б-70</t>
        </is>
      </c>
      <c r="E37" s="233" t="inlineStr">
        <is>
          <t>т</t>
        </is>
      </c>
      <c r="F37" s="327" t="n">
        <v>0.0128</v>
      </c>
      <c r="G37" s="183" t="n">
        <v>4488.4</v>
      </c>
      <c r="H37" s="183">
        <f>ROUND(F37*G37,2)</f>
        <v/>
      </c>
    </row>
    <row r="38" ht="31.5" customHeight="1" s="291">
      <c r="A38" s="327" t="n">
        <v>22</v>
      </c>
      <c r="B38" s="327" t="inlineStr">
        <is>
          <t> </t>
        </is>
      </c>
      <c r="C38" s="310" t="inlineStr">
        <is>
          <t>999-9950</t>
        </is>
      </c>
      <c r="D38" s="328" t="inlineStr">
        <is>
          <t>Вспомогательные ненормируемые ресурсы (2% от Оплаты труда рабочих)</t>
        </is>
      </c>
      <c r="E38" s="233" t="inlineStr">
        <is>
          <t>руб</t>
        </is>
      </c>
      <c r="F38" s="327" t="n">
        <v>31.5302</v>
      </c>
      <c r="G38" s="183" t="n">
        <v>1</v>
      </c>
      <c r="H38" s="183">
        <f>ROUND(F38*G38,2)</f>
        <v/>
      </c>
    </row>
    <row r="39">
      <c r="A39" s="327" t="n">
        <v>23</v>
      </c>
      <c r="B39" s="327" t="inlineStr">
        <is>
          <t> </t>
        </is>
      </c>
      <c r="C39" s="310" t="inlineStr">
        <is>
          <t>14.4.03.03-0002</t>
        </is>
      </c>
      <c r="D39" s="328" t="inlineStr">
        <is>
          <t>Лак битумный БТ-123</t>
        </is>
      </c>
      <c r="E39" s="233" t="inlineStr">
        <is>
          <t>т</t>
        </is>
      </c>
      <c r="F39" s="327" t="n">
        <v>0.002976</v>
      </c>
      <c r="G39" s="183" t="n">
        <v>7826.9</v>
      </c>
      <c r="H39" s="183">
        <f>ROUND(F39*G39,2)</f>
        <v/>
      </c>
    </row>
    <row r="40">
      <c r="A40" s="327" t="n">
        <v>24</v>
      </c>
      <c r="B40" s="327" t="inlineStr">
        <is>
          <t> </t>
        </is>
      </c>
      <c r="C40" s="310" t="inlineStr">
        <is>
          <t>01.7.15.07-0014</t>
        </is>
      </c>
      <c r="D40" s="328" t="inlineStr">
        <is>
          <t>Дюбели распорные полипропиленовые</t>
        </is>
      </c>
      <c r="E40" s="233" t="inlineStr">
        <is>
          <t>100 шт</t>
        </is>
      </c>
      <c r="F40" s="327" t="n">
        <v>0.2448</v>
      </c>
      <c r="G40" s="183" t="n">
        <v>86</v>
      </c>
      <c r="H40" s="183">
        <f>ROUND(F40*G40,2)</f>
        <v/>
      </c>
    </row>
    <row r="41">
      <c r="A41" s="327" t="n">
        <v>25</v>
      </c>
      <c r="B41" s="327" t="inlineStr">
        <is>
          <t> </t>
        </is>
      </c>
      <c r="C41" s="310" t="inlineStr">
        <is>
          <t>01.3.02.09-0022</t>
        </is>
      </c>
      <c r="D41" s="328" t="inlineStr">
        <is>
          <t>Пропан-бутан смесь техническая</t>
        </is>
      </c>
      <c r="E41" s="233" t="inlineStr">
        <is>
          <t>кг</t>
        </is>
      </c>
      <c r="F41" s="327" t="n">
        <v>2.4</v>
      </c>
      <c r="G41" s="183" t="n">
        <v>6.09</v>
      </c>
      <c r="H41" s="183">
        <f>ROUND(F41*G41,2)</f>
        <v/>
      </c>
    </row>
    <row r="42">
      <c r="A42" s="327" t="n">
        <v>26</v>
      </c>
      <c r="B42" s="327" t="inlineStr">
        <is>
          <t> </t>
        </is>
      </c>
      <c r="C42" s="310" t="inlineStr">
        <is>
          <t>25.2.01.01-0001</t>
        </is>
      </c>
      <c r="D42" s="328" t="inlineStr">
        <is>
          <t>Бирки-оконцеватели</t>
        </is>
      </c>
      <c r="E42" s="233" t="inlineStr">
        <is>
          <t>100 шт</t>
        </is>
      </c>
      <c r="F42" s="327" t="n">
        <v>0.204</v>
      </c>
      <c r="G42" s="183" t="n">
        <v>63</v>
      </c>
      <c r="H42" s="183">
        <f>ROUND(F42*G42,2)</f>
        <v/>
      </c>
    </row>
    <row r="43">
      <c r="A43" s="327" t="n">
        <v>27</v>
      </c>
      <c r="B43" s="327" t="inlineStr">
        <is>
          <t> </t>
        </is>
      </c>
      <c r="C43" s="310" t="inlineStr">
        <is>
          <t>01.7.15.03-0042</t>
        </is>
      </c>
      <c r="D43" s="328" t="inlineStr">
        <is>
          <t>Болты с гайками и шайбами строительные</t>
        </is>
      </c>
      <c r="E43" s="233" t="inlineStr">
        <is>
          <t>кг</t>
        </is>
      </c>
      <c r="F43" s="327" t="n">
        <v>1.0376</v>
      </c>
      <c r="G43" s="183" t="n">
        <v>9.039999999999999</v>
      </c>
      <c r="H43" s="183">
        <f>ROUND(F43*G43,2)</f>
        <v/>
      </c>
    </row>
    <row r="44">
      <c r="A44" s="327" t="n">
        <v>28</v>
      </c>
      <c r="B44" s="327" t="inlineStr">
        <is>
          <t> </t>
        </is>
      </c>
      <c r="C44" s="310" t="inlineStr">
        <is>
          <t>14.4.02.09-0001</t>
        </is>
      </c>
      <c r="D44" s="328" t="inlineStr">
        <is>
          <t>Краска</t>
        </is>
      </c>
      <c r="E44" s="233" t="inlineStr">
        <is>
          <t>кг</t>
        </is>
      </c>
      <c r="F44" s="327" t="n">
        <v>0.24</v>
      </c>
      <c r="G44" s="183" t="n">
        <v>28.6</v>
      </c>
      <c r="H44" s="183">
        <f>ROUND(F44*G44,2)</f>
        <v/>
      </c>
      <c r="J44" s="164" t="n"/>
    </row>
    <row r="45">
      <c r="A45" s="327" t="n">
        <v>29</v>
      </c>
      <c r="B45" s="327" t="inlineStr">
        <is>
          <t> </t>
        </is>
      </c>
      <c r="C45" s="310" t="inlineStr">
        <is>
          <t>20.1.02.23-0082</t>
        </is>
      </c>
      <c r="D45" s="328" t="inlineStr">
        <is>
          <t>Перемычки гибкие, тип ПГС-50</t>
        </is>
      </c>
      <c r="E45" s="233" t="inlineStr">
        <is>
          <t>10 шт</t>
        </is>
      </c>
      <c r="F45" s="327" t="n">
        <v>0.16</v>
      </c>
      <c r="G45" s="183" t="n">
        <v>39</v>
      </c>
      <c r="H45" s="183">
        <f>ROUND(F45*G45,2)</f>
        <v/>
      </c>
      <c r="J45" s="164" t="n"/>
    </row>
    <row r="46">
      <c r="A46" s="327" t="n">
        <v>30</v>
      </c>
      <c r="B46" s="327" t="inlineStr">
        <is>
          <t> </t>
        </is>
      </c>
      <c r="C46" s="310" t="inlineStr">
        <is>
          <t>01.7.15.14-0165</t>
        </is>
      </c>
      <c r="D46" s="328" t="inlineStr">
        <is>
          <t>Шурупы с полукруглой головкой 4х40 мм</t>
        </is>
      </c>
      <c r="E46" s="233" t="inlineStr">
        <is>
          <t>т</t>
        </is>
      </c>
      <c r="F46" s="327" t="n">
        <v>0.0003394</v>
      </c>
      <c r="G46" s="183" t="n">
        <v>12430</v>
      </c>
      <c r="H46" s="183">
        <f>ROUND(F46*G46,2)</f>
        <v/>
      </c>
      <c r="J46" s="164" t="n"/>
    </row>
    <row r="47">
      <c r="A47" s="327" t="n">
        <v>31</v>
      </c>
      <c r="B47" s="327" t="inlineStr">
        <is>
          <t> </t>
        </is>
      </c>
      <c r="C47" s="310" t="inlineStr">
        <is>
          <t>01.7.11.07-0034</t>
        </is>
      </c>
      <c r="D47" s="328" t="inlineStr">
        <is>
          <t>Электроды сварочные Э42А, диаметр 4 мм</t>
        </is>
      </c>
      <c r="E47" s="233" t="inlineStr">
        <is>
          <t>кг</t>
        </is>
      </c>
      <c r="F47" s="327" t="n">
        <v>0.32</v>
      </c>
      <c r="G47" s="183" t="n">
        <v>10.57</v>
      </c>
      <c r="H47" s="183">
        <f>ROUND(F47*G47,2)</f>
        <v/>
      </c>
      <c r="J47" s="164" t="n"/>
    </row>
    <row r="48" ht="31.5" customHeight="1" s="291">
      <c r="A48" s="327" t="n">
        <v>32</v>
      </c>
      <c r="B48" s="327" t="inlineStr">
        <is>
          <t> </t>
        </is>
      </c>
      <c r="C48" s="310" t="inlineStr">
        <is>
          <t>08.3.07.01-0076</t>
        </is>
      </c>
      <c r="D48" s="328" t="inlineStr">
        <is>
          <t>Прокат полосовой, горячекатаный, марка стали Ст3сп, ширина 50-200 мм, толщина 4-5 мм</t>
        </is>
      </c>
      <c r="E48" s="233" t="inlineStr">
        <is>
          <t>т</t>
        </is>
      </c>
      <c r="F48" s="327" t="n">
        <v>0.0006400000000000001</v>
      </c>
      <c r="G48" s="183" t="n">
        <v>5000</v>
      </c>
      <c r="H48" s="183">
        <f>ROUND(F48*G48,2)</f>
        <v/>
      </c>
      <c r="J48" s="164" t="n"/>
    </row>
    <row r="49">
      <c r="A49" s="327" t="n">
        <v>33</v>
      </c>
      <c r="B49" s="327" t="inlineStr">
        <is>
          <t> </t>
        </is>
      </c>
      <c r="C49" s="310" t="inlineStr">
        <is>
          <t>14.4.03.17-0101</t>
        </is>
      </c>
      <c r="D49" s="328" t="inlineStr">
        <is>
          <t>Лак канифольный КФ-965</t>
        </is>
      </c>
      <c r="E49" s="233" t="inlineStr">
        <is>
          <t>т</t>
        </is>
      </c>
      <c r="F49" s="327" t="n">
        <v>2.8e-05</v>
      </c>
      <c r="G49" s="183" t="n">
        <v>70200</v>
      </c>
      <c r="H49" s="183">
        <f>ROUND(F49*G49,2)</f>
        <v/>
      </c>
      <c r="J49" s="164" t="n"/>
    </row>
    <row r="50" ht="47.25" customHeight="1" s="291">
      <c r="A50" s="327" t="n">
        <v>34</v>
      </c>
      <c r="B50" s="327" t="inlineStr">
        <is>
          <t> </t>
        </is>
      </c>
      <c r="C50" s="310" t="inlineStr">
        <is>
          <t>01.7.06.05-0041</t>
        </is>
      </c>
      <c r="D50" s="328" t="inlineStr">
        <is>
          <t>Лента изоляционная прорезиненная односторонняя, ширина 20 мм, толщина 0,25-0,35 мм</t>
        </is>
      </c>
      <c r="E50" s="233" t="inlineStr">
        <is>
          <t>кг</t>
        </is>
      </c>
      <c r="F50" s="327" t="n">
        <v>0.056</v>
      </c>
      <c r="G50" s="183" t="n">
        <v>30.4</v>
      </c>
      <c r="H50" s="183">
        <f>ROUND(F50*G50,2)</f>
        <v/>
      </c>
      <c r="J50" s="164" t="n"/>
    </row>
    <row r="51" ht="31.5" customHeight="1" s="291">
      <c r="A51" s="327" t="n">
        <v>35</v>
      </c>
      <c r="B51" s="327" t="inlineStr">
        <is>
          <t> </t>
        </is>
      </c>
      <c r="C51" s="310" t="inlineStr">
        <is>
          <t>01.3.01.05-0009</t>
        </is>
      </c>
      <c r="D51" s="328" t="inlineStr">
        <is>
          <t>Парафин нефтяной твердый Т-1</t>
        </is>
      </c>
      <c r="E51" s="233" t="inlineStr">
        <is>
          <t>т</t>
        </is>
      </c>
      <c r="F51" s="327" t="n">
        <v>0.00016</v>
      </c>
      <c r="G51" s="183" t="n">
        <v>8105.71</v>
      </c>
      <c r="H51" s="183">
        <f>ROUND(F51*G51,2)</f>
        <v/>
      </c>
      <c r="J51" s="164" t="n"/>
    </row>
    <row r="52">
      <c r="A52" s="327" t="n">
        <v>36</v>
      </c>
      <c r="B52" s="327" t="inlineStr">
        <is>
          <t> </t>
        </is>
      </c>
      <c r="C52" s="310" t="inlineStr">
        <is>
          <t>01.3.01.02-0002</t>
        </is>
      </c>
      <c r="D52" s="328" t="inlineStr">
        <is>
          <t>Вазелин технический</t>
        </is>
      </c>
      <c r="E52" s="233" t="inlineStr">
        <is>
          <t>кг</t>
        </is>
      </c>
      <c r="F52" s="327" t="n">
        <v>0.022</v>
      </c>
      <c r="G52" s="183" t="n">
        <v>44.97</v>
      </c>
      <c r="H52" s="183">
        <f>ROUND(F52*G52,2)</f>
        <v/>
      </c>
      <c r="J52" s="164" t="n"/>
    </row>
    <row r="53" ht="47.25" customHeight="1" s="291">
      <c r="A53" s="327" t="n">
        <v>37</v>
      </c>
      <c r="B53" s="327" t="inlineStr">
        <is>
          <t> </t>
        </is>
      </c>
      <c r="C53" s="310" t="inlineStr">
        <is>
          <t>01.7.15.14-0043</t>
        </is>
      </c>
      <c r="D53" s="328" t="inlineStr">
        <is>
          <t>Шурупы самонарезающий прокалывающий, для крепления металлических профилей или листовых деталей 3,5/11 мм</t>
        </is>
      </c>
      <c r="E53" s="233" t="inlineStr">
        <is>
          <t>100 шт</t>
        </is>
      </c>
      <c r="F53" s="327" t="n">
        <v>0.2448</v>
      </c>
      <c r="G53" s="183" t="n">
        <v>2</v>
      </c>
      <c r="H53" s="183">
        <f>ROUND(F53*G53,2)</f>
        <v/>
      </c>
      <c r="J53" s="164" t="n"/>
    </row>
    <row r="54">
      <c r="A54" s="327" t="n">
        <v>38</v>
      </c>
      <c r="B54" s="327" t="inlineStr">
        <is>
          <t> </t>
        </is>
      </c>
      <c r="C54" s="310" t="inlineStr">
        <is>
          <t>01.7.20.04-0005</t>
        </is>
      </c>
      <c r="D54" s="328" t="inlineStr">
        <is>
          <t>Нитки швейные</t>
        </is>
      </c>
      <c r="E54" s="233" t="inlineStr">
        <is>
          <t>кг</t>
        </is>
      </c>
      <c r="F54" s="327" t="n">
        <v>0.0028</v>
      </c>
      <c r="G54" s="183" t="n">
        <v>133.05</v>
      </c>
      <c r="H54" s="183">
        <f>ROUND(F54*G54,2)</f>
        <v/>
      </c>
      <c r="J54" s="164" t="n"/>
    </row>
    <row r="55">
      <c r="A55" s="327" t="n">
        <v>39</v>
      </c>
      <c r="B55" s="327" t="inlineStr">
        <is>
          <t> </t>
        </is>
      </c>
      <c r="C55" s="310" t="inlineStr">
        <is>
          <t>01.7.02.09-0002</t>
        </is>
      </c>
      <c r="D55" s="328" t="inlineStr">
        <is>
          <t>Шпагат бумажный</t>
        </is>
      </c>
      <c r="E55" s="233" t="inlineStr">
        <is>
          <t>кг</t>
        </is>
      </c>
      <c r="F55" s="327" t="n">
        <v>0.0056</v>
      </c>
      <c r="G55" s="183" t="n">
        <v>11.5</v>
      </c>
      <c r="H55" s="183">
        <f>ROUND(F55*G55,2)</f>
        <v/>
      </c>
      <c r="J55" s="164" t="n"/>
    </row>
    <row r="58">
      <c r="B58" s="293" t="inlineStr">
        <is>
          <t>Составил ______________________        Д.Ю. Нефедова</t>
        </is>
      </c>
    </row>
    <row r="59">
      <c r="B59" s="176" t="inlineStr">
        <is>
          <t xml:space="preserve">                         (подпись, инициалы, фамилия)</t>
        </is>
      </c>
    </row>
    <row r="61">
      <c r="B61" s="293" t="inlineStr">
        <is>
          <t>Проверил ______________________        А.В. Костянецкая</t>
        </is>
      </c>
    </row>
    <row r="62">
      <c r="B62" s="176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29:E29"/>
    <mergeCell ref="A3:H3"/>
    <mergeCell ref="A12:E12"/>
    <mergeCell ref="D9:D10"/>
    <mergeCell ref="E9:E10"/>
    <mergeCell ref="F9:F10"/>
    <mergeCell ref="A9:A10"/>
    <mergeCell ref="A15:E15"/>
    <mergeCell ref="A26:E26"/>
    <mergeCell ref="A2:H2"/>
    <mergeCell ref="A5:H5"/>
    <mergeCell ref="G9:H9"/>
    <mergeCell ref="A17:E17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  <rowBreaks count="1" manualBreakCount="1">
    <brk id="47" min="0" max="7" man="1"/>
  </rowBreaks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K50"/>
  <sheetViews>
    <sheetView view="pageBreakPreview" topLeftCell="A31" workbookViewId="0">
      <selection activeCell="D42" sqref="D42"/>
    </sheetView>
  </sheetViews>
  <sheetFormatPr baseColWidth="8" defaultRowHeight="15"/>
  <cols>
    <col width="4.140625" customWidth="1" style="291" min="1" max="1"/>
    <col width="36.28515625" customWidth="1" style="291" min="2" max="2"/>
    <col width="18.85546875" customWidth="1" style="291" min="3" max="3"/>
    <col width="18.28515625" customWidth="1" style="291" min="4" max="4"/>
    <col width="18.85546875" customWidth="1" style="291" min="5" max="5"/>
    <col width="11.42578125" customWidth="1" style="291" min="6" max="6"/>
    <col width="9.140625" customWidth="1" style="291" min="7" max="10"/>
    <col width="13.5703125" customWidth="1" style="291" min="11" max="11"/>
    <col width="9.140625" customWidth="1" style="291" min="12" max="12"/>
  </cols>
  <sheetData>
    <row r="1">
      <c r="B1" s="287" t="n"/>
      <c r="C1" s="287" t="n"/>
      <c r="D1" s="287" t="n"/>
      <c r="E1" s="287" t="n"/>
    </row>
    <row r="2">
      <c r="B2" s="287" t="n"/>
      <c r="C2" s="287" t="n"/>
      <c r="D2" s="287" t="n"/>
      <c r="E2" s="351" t="inlineStr">
        <is>
          <t>Приложение № 4</t>
        </is>
      </c>
    </row>
    <row r="3">
      <c r="B3" s="287" t="n"/>
      <c r="C3" s="287" t="n"/>
      <c r="D3" s="287" t="n"/>
      <c r="E3" s="287" t="n"/>
    </row>
    <row r="4">
      <c r="B4" s="287" t="n"/>
      <c r="C4" s="287" t="n"/>
      <c r="D4" s="287" t="n"/>
      <c r="E4" s="287" t="n"/>
    </row>
    <row r="5">
      <c r="B5" s="313" t="inlineStr">
        <is>
          <t>Ресурсная модель</t>
        </is>
      </c>
    </row>
    <row r="6">
      <c r="B6" s="257" t="n"/>
      <c r="C6" s="287" t="n"/>
      <c r="D6" s="287" t="n"/>
      <c r="E6" s="287" t="n"/>
    </row>
    <row r="7" ht="25.5" customHeight="1" s="291">
      <c r="B7" s="329" t="inlineStr">
        <is>
          <t>Наименование разрабатываемого показателя УНЦ — Сети связи. Оборудование электропитания, 6 кВт</t>
        </is>
      </c>
    </row>
    <row r="8">
      <c r="B8" s="330" t="inlineStr">
        <is>
          <t>Единица измерения  — 1 объект</t>
        </is>
      </c>
    </row>
    <row r="9">
      <c r="B9" s="257" t="n"/>
      <c r="C9" s="287" t="n"/>
      <c r="D9" s="287" t="n"/>
      <c r="E9" s="287" t="n"/>
    </row>
    <row r="10" ht="51" customHeight="1" s="291">
      <c r="B10" s="338" t="inlineStr">
        <is>
          <t>Наименование</t>
        </is>
      </c>
      <c r="C10" s="338" t="inlineStr">
        <is>
          <t>Сметная стоимость в ценах на 01.01.2023
 (руб.)</t>
        </is>
      </c>
      <c r="D10" s="338" t="inlineStr">
        <is>
          <t>Удельный вес, 
(в СМР)</t>
        </is>
      </c>
      <c r="E10" s="338" t="inlineStr">
        <is>
          <t>Удельный вес, % 
(от всего по РМ)</t>
        </is>
      </c>
    </row>
    <row r="11">
      <c r="B11" s="190" t="inlineStr">
        <is>
          <t>Оплата труда рабочих</t>
        </is>
      </c>
      <c r="C11" s="156">
        <f>'Прил.5 Расчет СМР и ОБ'!J14</f>
        <v/>
      </c>
      <c r="D11" s="157">
        <f>C11/$C$24</f>
        <v/>
      </c>
      <c r="E11" s="157">
        <f>C11/$C$40</f>
        <v/>
      </c>
    </row>
    <row r="12">
      <c r="B12" s="190" t="inlineStr">
        <is>
          <t>Эксплуатация машин основных</t>
        </is>
      </c>
      <c r="C12" s="156">
        <f>'Прил.5 Расчет СМР и ОБ'!J22</f>
        <v/>
      </c>
      <c r="D12" s="157">
        <f>C12/$C$24</f>
        <v/>
      </c>
      <c r="E12" s="157">
        <f>C12/$C$40</f>
        <v/>
      </c>
    </row>
    <row r="13">
      <c r="B13" s="190" t="inlineStr">
        <is>
          <t>Эксплуатация машин прочих</t>
        </is>
      </c>
      <c r="C13" s="156">
        <f>'Прил.5 Расчет СМР и ОБ'!J28</f>
        <v/>
      </c>
      <c r="D13" s="157">
        <f>C13/$C$24</f>
        <v/>
      </c>
      <c r="E13" s="157">
        <f>C13/$C$40</f>
        <v/>
      </c>
    </row>
    <row r="14">
      <c r="B14" s="190" t="inlineStr">
        <is>
          <t>ЭКСПЛУАТАЦИЯ МАШИН, ВСЕГО:</t>
        </is>
      </c>
      <c r="C14" s="156">
        <f>C13+C12</f>
        <v/>
      </c>
      <c r="D14" s="157">
        <f>C14/$C$24</f>
        <v/>
      </c>
      <c r="E14" s="157">
        <f>C14/$C$40</f>
        <v/>
      </c>
    </row>
    <row r="15">
      <c r="B15" s="190" t="inlineStr">
        <is>
          <t>в том числе зарплата машинистов</t>
        </is>
      </c>
      <c r="C15" s="156">
        <f>'Прил.5 Расчет СМР и ОБ'!J16</f>
        <v/>
      </c>
      <c r="D15" s="157">
        <f>C15/$C$24</f>
        <v/>
      </c>
      <c r="E15" s="157">
        <f>C15/$C$40</f>
        <v/>
      </c>
    </row>
    <row r="16">
      <c r="B16" s="190" t="inlineStr">
        <is>
          <t>Материалы основные</t>
        </is>
      </c>
      <c r="C16" s="156">
        <f>'Прил.5 Расчет СМР и ОБ'!J42</f>
        <v/>
      </c>
      <c r="D16" s="157">
        <f>C16/$C$24</f>
        <v/>
      </c>
      <c r="E16" s="157">
        <f>C16/$C$40</f>
        <v/>
      </c>
    </row>
    <row r="17">
      <c r="B17" s="190" t="inlineStr">
        <is>
          <t>Материалы прочие</t>
        </is>
      </c>
      <c r="C17" s="156">
        <f>'Прил.5 Расчет СМР и ОБ'!J67</f>
        <v/>
      </c>
      <c r="D17" s="157">
        <f>C17/$C$24</f>
        <v/>
      </c>
      <c r="E17" s="157">
        <f>C17/$C$40</f>
        <v/>
      </c>
    </row>
    <row r="18">
      <c r="B18" s="190" t="inlineStr">
        <is>
          <t>МАТЕРИАЛЫ, ВСЕГО:</t>
        </is>
      </c>
      <c r="C18" s="156">
        <f>C17+C16</f>
        <v/>
      </c>
      <c r="D18" s="157">
        <f>C18/$C$24</f>
        <v/>
      </c>
      <c r="E18" s="157">
        <f>C18/$C$40</f>
        <v/>
      </c>
    </row>
    <row r="19">
      <c r="B19" s="190" t="inlineStr">
        <is>
          <t>ИТОГО</t>
        </is>
      </c>
      <c r="C19" s="156">
        <f>C18+C14+C11</f>
        <v/>
      </c>
      <c r="D19" s="157" t="n"/>
      <c r="E19" s="190" t="n"/>
    </row>
    <row r="20">
      <c r="B20" s="190" t="inlineStr">
        <is>
          <t>Сметная прибыль, руб.</t>
        </is>
      </c>
      <c r="C20" s="156">
        <f>ROUND(C21*(C11+C15),2)</f>
        <v/>
      </c>
      <c r="D20" s="157">
        <f>C20/$C$24</f>
        <v/>
      </c>
      <c r="E20" s="157">
        <f>C20/$C$40</f>
        <v/>
      </c>
    </row>
    <row r="21">
      <c r="B21" s="190" t="inlineStr">
        <is>
          <t>Сметная прибыль, %</t>
        </is>
      </c>
      <c r="C21" s="160">
        <f>'Прил.5 Расчет СМР и ОБ'!D71</f>
        <v/>
      </c>
      <c r="D21" s="157" t="n"/>
      <c r="E21" s="190" t="n"/>
    </row>
    <row r="22">
      <c r="B22" s="190" t="inlineStr">
        <is>
          <t>Накладные расходы, руб.</t>
        </is>
      </c>
      <c r="C22" s="156">
        <f>ROUND(C23*(C11+C15),2)</f>
        <v/>
      </c>
      <c r="D22" s="157">
        <f>C22/$C$24</f>
        <v/>
      </c>
      <c r="E22" s="157">
        <f>C22/$C$40</f>
        <v/>
      </c>
    </row>
    <row r="23">
      <c r="B23" s="190" t="inlineStr">
        <is>
          <t>Накладные расходы, %</t>
        </is>
      </c>
      <c r="C23" s="160">
        <f>'Прил.5 Расчет СМР и ОБ'!D70</f>
        <v/>
      </c>
      <c r="D23" s="157" t="n"/>
      <c r="E23" s="190" t="n"/>
    </row>
    <row r="24">
      <c r="B24" s="190" t="inlineStr">
        <is>
          <t>ВСЕГО СМР с НР и СП</t>
        </is>
      </c>
      <c r="C24" s="156">
        <f>C19+C20+C22</f>
        <v/>
      </c>
      <c r="D24" s="157">
        <f>C24/$C$24</f>
        <v/>
      </c>
      <c r="E24" s="157">
        <f>C24/$C$40</f>
        <v/>
      </c>
    </row>
    <row r="25" ht="25.5" customHeight="1" s="291">
      <c r="B25" s="190" t="inlineStr">
        <is>
          <t>ВСЕГО стоимость оборудования, в том числе</t>
        </is>
      </c>
      <c r="C25" s="156">
        <f>'Прил.5 Расчет СМР и ОБ'!J36</f>
        <v/>
      </c>
      <c r="D25" s="157" t="n"/>
      <c r="E25" s="157">
        <f>C25/$C$40</f>
        <v/>
      </c>
    </row>
    <row r="26" ht="25.5" customHeight="1" s="291">
      <c r="B26" s="190" t="inlineStr">
        <is>
          <t>стоимость оборудования технологического</t>
        </is>
      </c>
      <c r="C26" s="156">
        <f>'Прил.5 Расчет СМР и ОБ'!J37</f>
        <v/>
      </c>
      <c r="D26" s="157" t="n"/>
      <c r="E26" s="157">
        <f>C26/$C$40</f>
        <v/>
      </c>
    </row>
    <row r="27">
      <c r="B27" s="190" t="inlineStr">
        <is>
          <t>ИТОГО (СМР + ОБОРУДОВАНИЕ)</t>
        </is>
      </c>
      <c r="C27" s="159">
        <f>C24+C25</f>
        <v/>
      </c>
      <c r="D27" s="157" t="n"/>
      <c r="E27" s="157">
        <f>C27/$C$40</f>
        <v/>
      </c>
    </row>
    <row r="28" ht="33" customHeight="1" s="291">
      <c r="B28" s="190" t="inlineStr">
        <is>
          <t>ПРОЧ. ЗАТР., УЧТЕННЫЕ ПОКАЗАТЕЛЕМ,  в том числе</t>
        </is>
      </c>
      <c r="C28" s="190" t="n"/>
      <c r="D28" s="190" t="n"/>
      <c r="E28" s="190" t="n"/>
      <c r="F28" s="158" t="n"/>
    </row>
    <row r="29" ht="25.5" customHeight="1" s="291">
      <c r="B29" s="190" t="inlineStr">
        <is>
          <t>Временные здания и сооружения - 2,5%</t>
        </is>
      </c>
      <c r="C29" s="159">
        <f>ROUND(C24*2.5%,2)</f>
        <v/>
      </c>
      <c r="D29" s="190" t="n"/>
      <c r="E29" s="157">
        <f>C29/$C$40</f>
        <v/>
      </c>
    </row>
    <row r="30" ht="38.25" customHeight="1" s="291">
      <c r="B30" s="190" t="inlineStr">
        <is>
          <t>Дополнительные затраты при производстве строительно-монтажных работ в зимнее время - 2,1%</t>
        </is>
      </c>
      <c r="C30" s="278">
        <f>ROUND((C24+C29)*2.1%,2)</f>
        <v/>
      </c>
      <c r="D30" s="279" t="n"/>
      <c r="E30" s="157">
        <f>C30/$C$40</f>
        <v/>
      </c>
      <c r="F30" s="158" t="n"/>
    </row>
    <row r="31">
      <c r="B31" s="190" t="inlineStr">
        <is>
          <t>Пусконаладочные работы</t>
        </is>
      </c>
      <c r="C31" s="278" t="n">
        <v>51400</v>
      </c>
      <c r="D31" s="279" t="n"/>
      <c r="E31" s="157">
        <f>C31/$C$40</f>
        <v/>
      </c>
    </row>
    <row r="32" ht="25.5" customHeight="1" s="291">
      <c r="B32" s="190" t="inlineStr">
        <is>
          <t>Затраты по перевозке работников к месту работы и обратно</t>
        </is>
      </c>
      <c r="C32" s="159" t="n">
        <v>0</v>
      </c>
      <c r="D32" s="279" t="n"/>
      <c r="E32" s="157">
        <f>C32/$C$40</f>
        <v/>
      </c>
      <c r="F32" s="259" t="n"/>
    </row>
    <row r="33" ht="25.5" customHeight="1" s="291">
      <c r="B33" s="190" t="inlineStr">
        <is>
          <t>Затраты, связанные с осуществлением работ вахтовым методом</t>
        </is>
      </c>
      <c r="C33" s="159">
        <f>ROUND($C$27*0,2)</f>
        <v/>
      </c>
      <c r="D33" s="190" t="n"/>
      <c r="E33" s="157">
        <f>C33/$C$40</f>
        <v/>
      </c>
    </row>
    <row r="34" ht="51" customHeight="1" s="291">
      <c r="B34" s="19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9" t="n">
        <v>0</v>
      </c>
      <c r="D34" s="190" t="n"/>
      <c r="E34" s="157">
        <f>C34/$C$40</f>
        <v/>
      </c>
      <c r="G34" s="162" t="n"/>
    </row>
    <row r="35" ht="76.5" customHeight="1" s="291">
      <c r="B35" s="19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9" t="n">
        <v>0</v>
      </c>
      <c r="D35" s="190" t="n"/>
      <c r="E35" s="157">
        <f>C35/$C$40</f>
        <v/>
      </c>
    </row>
    <row r="36" ht="25.5" customHeight="1" s="291">
      <c r="B36" s="190" t="inlineStr">
        <is>
          <t>Строительный контроль и содержание службы заказчика - 2,14%</t>
        </is>
      </c>
      <c r="C36" s="159">
        <f>ROUND((C27+C32+C33+C34+C35+C29+C31+C30)*2.14%,2)</f>
        <v/>
      </c>
      <c r="D36" s="190" t="n"/>
      <c r="E36" s="157">
        <f>C36/$C$40</f>
        <v/>
      </c>
      <c r="K36" s="158" t="n"/>
    </row>
    <row r="37">
      <c r="B37" s="190" t="inlineStr">
        <is>
          <t>Авторский надзор - 0,2%</t>
        </is>
      </c>
      <c r="C37" s="159">
        <f>ROUND((C27+C32+C33+C34+C35+C29+C31+C30)*0.2%,2)</f>
        <v/>
      </c>
      <c r="D37" s="190" t="n"/>
      <c r="E37" s="157">
        <f>C37/$C$40</f>
        <v/>
      </c>
      <c r="K37" s="158" t="n"/>
    </row>
    <row r="38" ht="38.25" customHeight="1" s="291">
      <c r="B38" s="190" t="inlineStr">
        <is>
          <t>ИТОГО (СМР+ОБОРУДОВАНИЕ+ПРОЧ. ЗАТР., УЧТЕННЫЕ ПОКАЗАТЕЛЕМ)</t>
        </is>
      </c>
      <c r="C38" s="156">
        <f>C27+C32+C33+C34+C35+C29+C31+C30+C36+C37</f>
        <v/>
      </c>
      <c r="D38" s="190" t="n"/>
      <c r="E38" s="157">
        <f>C38/$C$40</f>
        <v/>
      </c>
    </row>
    <row r="39" ht="13.5" customHeight="1" s="291">
      <c r="B39" s="190" t="inlineStr">
        <is>
          <t>Непредвиденные расходы</t>
        </is>
      </c>
      <c r="C39" s="156">
        <f>ROUND(C38*3%,2)</f>
        <v/>
      </c>
      <c r="D39" s="190" t="n"/>
      <c r="E39" s="157">
        <f>C39/$C$38</f>
        <v/>
      </c>
    </row>
    <row r="40">
      <c r="B40" s="190" t="inlineStr">
        <is>
          <t>ВСЕГО:</t>
        </is>
      </c>
      <c r="C40" s="156">
        <f>C39+C38</f>
        <v/>
      </c>
      <c r="D40" s="190" t="n"/>
      <c r="E40" s="157">
        <f>C40/$C$40</f>
        <v/>
      </c>
    </row>
    <row r="41">
      <c r="B41" s="190" t="inlineStr">
        <is>
          <t>ИТОГО ПОКАЗАТЕЛЬ НА ЕД. ИЗМ.</t>
        </is>
      </c>
      <c r="C41" s="156">
        <f>C40/'Прил.5 Расчет СМР и ОБ'!E74</f>
        <v/>
      </c>
      <c r="D41" s="190" t="n"/>
      <c r="E41" s="190" t="n"/>
    </row>
    <row r="42">
      <c r="B42" s="163" t="n"/>
      <c r="C42" s="287" t="n"/>
      <c r="D42" s="287" t="n"/>
      <c r="E42" s="287" t="n"/>
    </row>
    <row r="43">
      <c r="B43" s="163" t="inlineStr">
        <is>
          <t>Составил ____________________________ Д.Ю. Нефедова</t>
        </is>
      </c>
      <c r="C43" s="287" t="n"/>
      <c r="D43" s="287" t="n"/>
      <c r="E43" s="287" t="n"/>
    </row>
    <row r="44">
      <c r="B44" s="163" t="inlineStr">
        <is>
          <t xml:space="preserve">(должность, подпись, инициалы, фамилия) </t>
        </is>
      </c>
      <c r="C44" s="287" t="n"/>
      <c r="D44" s="287" t="n"/>
      <c r="E44" s="287" t="n"/>
    </row>
    <row r="45">
      <c r="B45" s="163" t="n"/>
      <c r="C45" s="287" t="n"/>
      <c r="D45" s="287" t="n"/>
      <c r="E45" s="287" t="n"/>
    </row>
    <row r="46">
      <c r="B46" s="163" t="inlineStr">
        <is>
          <t>Проверил ____________________________ А.В. Костянецкая</t>
        </is>
      </c>
      <c r="C46" s="287" t="n"/>
      <c r="D46" s="287" t="n"/>
      <c r="E46" s="287" t="n"/>
    </row>
    <row r="47">
      <c r="B47" s="330" t="inlineStr">
        <is>
          <t>(должность, подпись, инициалы, фамилия)</t>
        </is>
      </c>
      <c r="D47" s="287" t="n"/>
      <c r="E47" s="287" t="n"/>
    </row>
    <row r="49">
      <c r="B49" s="287" t="n"/>
      <c r="C49" s="287" t="n"/>
      <c r="D49" s="287" t="n"/>
      <c r="E49" s="287" t="n"/>
    </row>
    <row r="50">
      <c r="B50" s="287" t="n"/>
      <c r="C50" s="287" t="n"/>
      <c r="D50" s="287" t="n"/>
      <c r="E50" s="28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80"/>
  <sheetViews>
    <sheetView view="pageBreakPreview" topLeftCell="A40" zoomScale="85" workbookViewId="0">
      <selection activeCell="A84" sqref="A84:XFD296"/>
    </sheetView>
  </sheetViews>
  <sheetFormatPr baseColWidth="8" defaultColWidth="9.140625" defaultRowHeight="15" outlineLevelRow="1"/>
  <cols>
    <col width="5.7109375" customWidth="1" style="288" min="1" max="1"/>
    <col width="22.5703125" customWidth="1" style="288" min="2" max="2"/>
    <col width="39.140625" customWidth="1" style="288" min="3" max="3"/>
    <col width="10.7109375" customWidth="1" style="288" min="4" max="4"/>
    <col width="12.7109375" customWidth="1" style="288" min="5" max="5"/>
    <col width="15" customWidth="1" style="288" min="6" max="6"/>
    <col width="13.42578125" customWidth="1" style="288" min="7" max="7"/>
    <col width="12.7109375" customWidth="1" style="288" min="8" max="8"/>
    <col width="13.85546875" customWidth="1" style="288" min="9" max="9"/>
    <col width="17.5703125" customWidth="1" style="288" min="10" max="10"/>
    <col width="10.85546875" customWidth="1" style="288" min="11" max="11"/>
    <col width="9.140625" customWidth="1" style="288" min="12" max="12"/>
    <col width="9.140625" customWidth="1" style="291" min="13" max="13"/>
  </cols>
  <sheetData>
    <row r="1" s="291">
      <c r="A1" s="288" t="n"/>
      <c r="B1" s="288" t="n"/>
      <c r="C1" s="288" t="n"/>
      <c r="D1" s="288" t="n"/>
      <c r="E1" s="288" t="n"/>
      <c r="F1" s="288" t="n"/>
      <c r="G1" s="288" t="n"/>
      <c r="H1" s="288" t="n"/>
      <c r="I1" s="288" t="n"/>
      <c r="J1" s="288" t="n"/>
      <c r="K1" s="288" t="n"/>
      <c r="L1" s="288" t="n"/>
      <c r="M1" s="288" t="n"/>
      <c r="N1" s="288" t="n"/>
    </row>
    <row r="2" ht="15.75" customHeight="1" s="291">
      <c r="A2" s="288" t="n"/>
      <c r="B2" s="288" t="n"/>
      <c r="C2" s="288" t="n"/>
      <c r="D2" s="288" t="n"/>
      <c r="E2" s="288" t="n"/>
      <c r="F2" s="288" t="n"/>
      <c r="G2" s="288" t="n"/>
      <c r="H2" s="346" t="inlineStr">
        <is>
          <t>Приложение №5</t>
        </is>
      </c>
      <c r="K2" s="288" t="n"/>
      <c r="L2" s="288" t="n"/>
      <c r="M2" s="288" t="n"/>
      <c r="N2" s="288" t="n"/>
    </row>
    <row r="3" s="291">
      <c r="A3" s="288" t="n"/>
      <c r="B3" s="288" t="n"/>
      <c r="C3" s="288" t="n"/>
      <c r="D3" s="288" t="n"/>
      <c r="E3" s="288" t="n"/>
      <c r="F3" s="288" t="n"/>
      <c r="G3" s="288" t="n"/>
      <c r="H3" s="288" t="n"/>
      <c r="I3" s="288" t="n"/>
      <c r="J3" s="288" t="n"/>
      <c r="K3" s="288" t="n"/>
      <c r="L3" s="288" t="n"/>
      <c r="M3" s="288" t="n"/>
      <c r="N3" s="288" t="n"/>
    </row>
    <row r="4" ht="12.75" customFormat="1" customHeight="1" s="287">
      <c r="A4" s="313" t="inlineStr">
        <is>
          <t>Расчет стоимости СМР и оборудования</t>
        </is>
      </c>
    </row>
    <row r="5" ht="12.75" customFormat="1" customHeight="1" s="287">
      <c r="A5" s="313" t="n"/>
      <c r="B5" s="313" t="n"/>
      <c r="C5" s="359" t="n"/>
      <c r="D5" s="313" t="n"/>
      <c r="E5" s="313" t="n"/>
      <c r="F5" s="313" t="n"/>
      <c r="G5" s="313" t="n"/>
      <c r="H5" s="313" t="n"/>
      <c r="I5" s="313" t="n"/>
      <c r="J5" s="313" t="n"/>
    </row>
    <row r="6" ht="25.5" customFormat="1" customHeight="1" s="287">
      <c r="A6" s="203" t="inlineStr">
        <is>
          <t>Наименование разрабатываемого показателя УНЦ</t>
        </is>
      </c>
      <c r="B6" s="204" t="n"/>
      <c r="C6" s="204" t="n"/>
      <c r="D6" s="350" t="inlineStr">
        <is>
          <t>Сети связи. Оборудование электропитания, 6 кВт</t>
        </is>
      </c>
    </row>
    <row r="7" ht="12.75" customFormat="1" customHeight="1" s="287">
      <c r="A7" s="316" t="inlineStr">
        <is>
          <t>Единица измерения  — 1 объект</t>
        </is>
      </c>
      <c r="I7" s="329" t="n"/>
      <c r="J7" s="329" t="n"/>
    </row>
    <row r="8" ht="13.5" customFormat="1" customHeight="1" s="287">
      <c r="A8" s="316" t="n"/>
    </row>
    <row r="9" ht="27" customHeight="1" s="291">
      <c r="A9" s="338" t="inlineStr">
        <is>
          <t>№ пп.</t>
        </is>
      </c>
      <c r="B9" s="338" t="inlineStr">
        <is>
          <t>Код ресурса</t>
        </is>
      </c>
      <c r="C9" s="338" t="inlineStr">
        <is>
          <t>Наименование</t>
        </is>
      </c>
      <c r="D9" s="338" t="inlineStr">
        <is>
          <t>Ед. изм.</t>
        </is>
      </c>
      <c r="E9" s="338" t="inlineStr">
        <is>
          <t>Кол-во единиц по проектным данным</t>
        </is>
      </c>
      <c r="F9" s="338" t="inlineStr">
        <is>
          <t>Сметная стоимость в ценах на 01.01.2000 (руб.)</t>
        </is>
      </c>
      <c r="G9" s="409" t="n"/>
      <c r="H9" s="338" t="inlineStr">
        <is>
          <t>Удельный вес, %</t>
        </is>
      </c>
      <c r="I9" s="338" t="inlineStr">
        <is>
          <t>Сметная стоимость в ценах на 01.01.2023 (руб.)</t>
        </is>
      </c>
      <c r="J9" s="409" t="n"/>
      <c r="K9" s="288" t="n"/>
      <c r="L9" s="288" t="n"/>
      <c r="M9" s="288" t="n"/>
      <c r="N9" s="288" t="n"/>
    </row>
    <row r="10" ht="28.5" customHeight="1" s="291">
      <c r="A10" s="411" t="n"/>
      <c r="B10" s="411" t="n"/>
      <c r="C10" s="411" t="n"/>
      <c r="D10" s="411" t="n"/>
      <c r="E10" s="411" t="n"/>
      <c r="F10" s="338" t="inlineStr">
        <is>
          <t>на ед. изм.</t>
        </is>
      </c>
      <c r="G10" s="338" t="inlineStr">
        <is>
          <t>общая</t>
        </is>
      </c>
      <c r="H10" s="411" t="n"/>
      <c r="I10" s="338" t="inlineStr">
        <is>
          <t>на ед. изм.</t>
        </is>
      </c>
      <c r="J10" s="338" t="inlineStr">
        <is>
          <t>общая</t>
        </is>
      </c>
      <c r="K10" s="288" t="n"/>
      <c r="L10" s="288" t="n"/>
      <c r="M10" s="288" t="n"/>
      <c r="N10" s="288" t="n"/>
    </row>
    <row r="11" s="291">
      <c r="A11" s="338" t="n">
        <v>1</v>
      </c>
      <c r="B11" s="338" t="n">
        <v>2</v>
      </c>
      <c r="C11" s="338" t="n">
        <v>3</v>
      </c>
      <c r="D11" s="338" t="n">
        <v>4</v>
      </c>
      <c r="E11" s="338" t="n">
        <v>5</v>
      </c>
      <c r="F11" s="338" t="n">
        <v>6</v>
      </c>
      <c r="G11" s="338" t="n">
        <v>7</v>
      </c>
      <c r="H11" s="338" t="n">
        <v>8</v>
      </c>
      <c r="I11" s="332" t="n">
        <v>9</v>
      </c>
      <c r="J11" s="332" t="n">
        <v>10</v>
      </c>
      <c r="K11" s="288" t="n"/>
      <c r="L11" s="288" t="n"/>
      <c r="M11" s="288" t="n"/>
      <c r="N11" s="288" t="n"/>
    </row>
    <row r="12">
      <c r="A12" s="338" t="n"/>
      <c r="B12" s="336" t="inlineStr">
        <is>
          <t>Затраты труда рабочих-строителей</t>
        </is>
      </c>
      <c r="C12" s="408" t="n"/>
      <c r="D12" s="408" t="n"/>
      <c r="E12" s="408" t="n"/>
      <c r="F12" s="408" t="n"/>
      <c r="G12" s="408" t="n"/>
      <c r="H12" s="409" t="n"/>
      <c r="I12" s="249" t="n"/>
      <c r="J12" s="249" t="n"/>
    </row>
    <row r="13" ht="25.5" customHeight="1" s="291">
      <c r="A13" s="338" t="n">
        <v>1</v>
      </c>
      <c r="B13" s="239" t="inlineStr">
        <is>
          <t>1-3-8</t>
        </is>
      </c>
      <c r="C13" s="337" t="inlineStr">
        <is>
          <t>Затраты труда рабочих-строителей среднего разряда (3,8)</t>
        </is>
      </c>
      <c r="D13" s="338" t="inlineStr">
        <is>
          <t>чел.-ч.</t>
        </is>
      </c>
      <c r="E13" s="413">
        <f>G13/F13</f>
        <v/>
      </c>
      <c r="F13" s="245" t="n">
        <v>9.07</v>
      </c>
      <c r="G13" s="245">
        <f>SUM(Прил.3!H13:H14)</f>
        <v/>
      </c>
      <c r="H13" s="243">
        <f>G13/$G$14</f>
        <v/>
      </c>
      <c r="I13" s="245">
        <f>ФОТр.тек.!E13</f>
        <v/>
      </c>
      <c r="J13" s="245">
        <f>ROUND(I13*E13,2)</f>
        <v/>
      </c>
    </row>
    <row r="14" ht="25.5" customFormat="1" customHeight="1" s="288">
      <c r="A14" s="338" t="n"/>
      <c r="B14" s="338" t="n"/>
      <c r="C14" s="336" t="inlineStr">
        <is>
          <t>Итого по разделу "Затраты труда рабочих-строителей"</t>
        </is>
      </c>
      <c r="D14" s="338" t="inlineStr">
        <is>
          <t>чел.-ч.</t>
        </is>
      </c>
      <c r="E14" s="413">
        <f>SUM(E13:E13)</f>
        <v/>
      </c>
      <c r="F14" s="245" t="n"/>
      <c r="G14" s="245">
        <f>SUM(G13:G13)</f>
        <v/>
      </c>
      <c r="H14" s="341" t="n">
        <v>1</v>
      </c>
      <c r="I14" s="249" t="n"/>
      <c r="J14" s="245">
        <f>SUM(J13:J13)</f>
        <v/>
      </c>
    </row>
    <row r="15" ht="14.25" customFormat="1" customHeight="1" s="288">
      <c r="A15" s="338" t="n"/>
      <c r="B15" s="337" t="inlineStr">
        <is>
          <t>Затраты труда машинистов</t>
        </is>
      </c>
      <c r="C15" s="408" t="n"/>
      <c r="D15" s="408" t="n"/>
      <c r="E15" s="408" t="n"/>
      <c r="F15" s="408" t="n"/>
      <c r="G15" s="408" t="n"/>
      <c r="H15" s="409" t="n"/>
      <c r="I15" s="249" t="n"/>
      <c r="J15" s="249" t="n"/>
    </row>
    <row r="16" ht="14.25" customFormat="1" customHeight="1" s="288">
      <c r="A16" s="338" t="n">
        <v>2</v>
      </c>
      <c r="B16" s="338" t="n">
        <v>2</v>
      </c>
      <c r="C16" s="337" t="inlineStr">
        <is>
          <t>Затраты труда машинистов</t>
        </is>
      </c>
      <c r="D16" s="338" t="inlineStr">
        <is>
          <t>чел.-ч.</t>
        </is>
      </c>
      <c r="E16" s="413">
        <f>Прил.3!F16</f>
        <v/>
      </c>
      <c r="F16" s="245">
        <f>G16/E16</f>
        <v/>
      </c>
      <c r="G16" s="245">
        <f>Прил.3!H15</f>
        <v/>
      </c>
      <c r="H16" s="341" t="n">
        <v>1</v>
      </c>
      <c r="I16" s="245">
        <f>ROUND(F16*Прил.10!D11,2)</f>
        <v/>
      </c>
      <c r="J16" s="245">
        <f>ROUND(I16*E16,2)</f>
        <v/>
      </c>
    </row>
    <row r="17" ht="14.25" customFormat="1" customHeight="1" s="288">
      <c r="A17" s="338" t="n"/>
      <c r="B17" s="336" t="inlineStr">
        <is>
          <t>Машины и механизмы</t>
        </is>
      </c>
      <c r="C17" s="408" t="n"/>
      <c r="D17" s="408" t="n"/>
      <c r="E17" s="408" t="n"/>
      <c r="F17" s="408" t="n"/>
      <c r="G17" s="408" t="n"/>
      <c r="H17" s="409" t="n"/>
      <c r="I17" s="249" t="n"/>
      <c r="J17" s="249" t="n"/>
    </row>
    <row r="18" ht="14.25" customFormat="1" customHeight="1" s="288">
      <c r="A18" s="338" t="n"/>
      <c r="B18" s="337" t="inlineStr">
        <is>
          <t>Основные машины и механизмы</t>
        </is>
      </c>
      <c r="C18" s="408" t="n"/>
      <c r="D18" s="408" t="n"/>
      <c r="E18" s="408" t="n"/>
      <c r="F18" s="408" t="n"/>
      <c r="G18" s="408" t="n"/>
      <c r="H18" s="409" t="n"/>
      <c r="I18" s="249" t="n"/>
      <c r="J18" s="249" t="n"/>
    </row>
    <row r="19" ht="25.5" customFormat="1" customHeight="1" s="288">
      <c r="A19" s="338" t="n">
        <v>3</v>
      </c>
      <c r="B19" s="239" t="inlineStr">
        <is>
          <t>91.05.05-015</t>
        </is>
      </c>
      <c r="C19" s="337" t="inlineStr">
        <is>
          <t>Краны на автомобильном ходу, грузоподъемность 16 т</t>
        </is>
      </c>
      <c r="D19" s="338" t="inlineStr">
        <is>
          <t>маш.час</t>
        </is>
      </c>
      <c r="E19" s="413" t="n">
        <v>4.771</v>
      </c>
      <c r="F19" s="340" t="n">
        <v>115.4</v>
      </c>
      <c r="G19" s="245">
        <f>ROUND(E19*F19,2)</f>
        <v/>
      </c>
      <c r="H19" s="243">
        <f>G19/$G$29</f>
        <v/>
      </c>
      <c r="I19" s="245">
        <f>ROUND(F19*Прил.10!$D$12,2)</f>
        <v/>
      </c>
      <c r="J19" s="245">
        <f>ROUND(I19*E19,2)</f>
        <v/>
      </c>
    </row>
    <row r="20" ht="25.5" customFormat="1" customHeight="1" s="288">
      <c r="A20" s="338" t="n">
        <v>4</v>
      </c>
      <c r="B20" s="239" t="inlineStr">
        <is>
          <t>91.14.02-001</t>
        </is>
      </c>
      <c r="C20" s="337" t="inlineStr">
        <is>
          <t>Автомобили бортовые, грузоподъемность до 5 т</t>
        </is>
      </c>
      <c r="D20" s="338" t="inlineStr">
        <is>
          <t>маш.час</t>
        </is>
      </c>
      <c r="E20" s="413" t="n">
        <v>4.771</v>
      </c>
      <c r="F20" s="340" t="n">
        <v>65.70999999999999</v>
      </c>
      <c r="G20" s="245">
        <f>ROUND(E20*F20,2)</f>
        <v/>
      </c>
      <c r="H20" s="243">
        <f>G20/$G$29</f>
        <v/>
      </c>
      <c r="I20" s="245">
        <f>ROUND(F20*Прил.10!$D$12,2)</f>
        <v/>
      </c>
      <c r="J20" s="245">
        <f>ROUND(I20*E20,2)</f>
        <v/>
      </c>
    </row>
    <row r="21" ht="25.5" customFormat="1" customHeight="1" s="288">
      <c r="A21" s="338" t="n">
        <v>5</v>
      </c>
      <c r="B21" s="239" t="inlineStr">
        <is>
          <t>91.05.13-025</t>
        </is>
      </c>
      <c r="C21" s="337" t="inlineStr">
        <is>
          <t>Краны-манипуляторы на автомобильном ходу, грузоподъемность до 3,2 т</t>
        </is>
      </c>
      <c r="D21" s="338" t="inlineStr">
        <is>
          <t>маш.час</t>
        </is>
      </c>
      <c r="E21" s="413" t="n">
        <v>1.11</v>
      </c>
      <c r="F21" s="340" t="n">
        <v>112.36</v>
      </c>
      <c r="G21" s="245">
        <f>ROUND(E21*F21,2)</f>
        <v/>
      </c>
      <c r="H21" s="243">
        <f>G21/$G$29</f>
        <v/>
      </c>
      <c r="I21" s="245">
        <f>ROUND(F21*Прил.10!$D$12,2)</f>
        <v/>
      </c>
      <c r="J21" s="245">
        <f>ROUND(I21*E21,2)</f>
        <v/>
      </c>
    </row>
    <row r="22" ht="14.25" customFormat="1" customHeight="1" s="288">
      <c r="A22" s="338" t="n"/>
      <c r="B22" s="338" t="n"/>
      <c r="C22" s="337" t="inlineStr">
        <is>
          <t>Итого основные машины и механизмы</t>
        </is>
      </c>
      <c r="D22" s="338" t="n"/>
      <c r="E22" s="413" t="n"/>
      <c r="F22" s="245" t="n"/>
      <c r="G22" s="245">
        <f>SUM(G19:G21)</f>
        <v/>
      </c>
      <c r="H22" s="341">
        <f>G22/G29</f>
        <v/>
      </c>
      <c r="I22" s="251" t="n"/>
      <c r="J22" s="245">
        <f>SUM(J19:J21)</f>
        <v/>
      </c>
      <c r="K22" s="26" t="n"/>
    </row>
    <row r="23" outlineLevel="1" ht="25.5" customFormat="1" customHeight="1" s="288">
      <c r="A23" s="338" t="n">
        <v>6</v>
      </c>
      <c r="B23" s="239" t="inlineStr">
        <is>
          <t>91.06.03-061</t>
        </is>
      </c>
      <c r="C23" s="337" t="inlineStr">
        <is>
          <t>Лебедки электрические тяговым усилием до 12,26 кН (1,25 т)</t>
        </is>
      </c>
      <c r="D23" s="338" t="inlineStr">
        <is>
          <t>маш.час</t>
        </is>
      </c>
      <c r="E23" s="413" t="n">
        <v>25.4374</v>
      </c>
      <c r="F23" s="340" t="n">
        <v>3.28</v>
      </c>
      <c r="G23" s="245">
        <f>ROUND(E23*F23,2)</f>
        <v/>
      </c>
      <c r="H23" s="243">
        <f>G23/$G$29</f>
        <v/>
      </c>
      <c r="I23" s="245">
        <f>ROUND(F23*Прил.10!$D$12,2)</f>
        <v/>
      </c>
      <c r="J23" s="245">
        <f>ROUND(I23*E23,2)</f>
        <v/>
      </c>
    </row>
    <row r="24" outlineLevel="1" ht="25.5" customFormat="1" customHeight="1" s="288">
      <c r="A24" s="338" t="n">
        <v>7</v>
      </c>
      <c r="B24" s="239" t="inlineStr">
        <is>
          <t>91.17.04-233</t>
        </is>
      </c>
      <c r="C24" s="337" t="inlineStr">
        <is>
          <t>Установки для сварки ручной дуговой (постоянного тока)</t>
        </is>
      </c>
      <c r="D24" s="338" t="inlineStr">
        <is>
          <t>маш.час</t>
        </is>
      </c>
      <c r="E24" s="413" t="n">
        <v>3.712</v>
      </c>
      <c r="F24" s="340" t="n">
        <v>8.1</v>
      </c>
      <c r="G24" s="245">
        <f>ROUND(E24*F24,2)</f>
        <v/>
      </c>
      <c r="H24" s="243">
        <f>G24/$G$29</f>
        <v/>
      </c>
      <c r="I24" s="245">
        <f>ROUND(F24*Прил.10!$D$12,2)</f>
        <v/>
      </c>
      <c r="J24" s="245">
        <f>ROUND(I24*E24,2)</f>
        <v/>
      </c>
    </row>
    <row r="25" outlineLevel="1" ht="25.5" customFormat="1" customHeight="1" s="288">
      <c r="A25" s="338" t="n">
        <v>8</v>
      </c>
      <c r="B25" s="239" t="inlineStr">
        <is>
          <t>91.06.01-003</t>
        </is>
      </c>
      <c r="C25" s="337" t="inlineStr">
        <is>
          <t>Домкраты гидравлические, грузоподъемность 63-100 т</t>
        </is>
      </c>
      <c r="D25" s="338" t="inlineStr">
        <is>
          <t>маш.час</t>
        </is>
      </c>
      <c r="E25" s="413" t="n">
        <v>25.4374</v>
      </c>
      <c r="F25" s="340" t="n">
        <v>0.9</v>
      </c>
      <c r="G25" s="245">
        <f>ROUND(E25*F25,2)</f>
        <v/>
      </c>
      <c r="H25" s="243">
        <f>G25/$G$29</f>
        <v/>
      </c>
      <c r="I25" s="245">
        <f>ROUND(F25*Прил.10!$D$12,2)</f>
        <v/>
      </c>
      <c r="J25" s="245">
        <f>ROUND(I25*E25,2)</f>
        <v/>
      </c>
    </row>
    <row r="26" outlineLevel="1" ht="38.25" customFormat="1" customHeight="1" s="288">
      <c r="A26" s="338" t="n">
        <v>9</v>
      </c>
      <c r="B26" s="239" t="inlineStr">
        <is>
          <t>91.05.02-769</t>
        </is>
      </c>
      <c r="C26" s="337" t="inlineStr">
        <is>
          <t>Краны козловые передвижные, грузоподъемность до 3 т, высота подъема 3 м, пролет 3 м</t>
        </is>
      </c>
      <c r="D26" s="338" t="inlineStr">
        <is>
          <t>маш.час</t>
        </is>
      </c>
      <c r="E26" s="413" t="n">
        <v>0.15</v>
      </c>
      <c r="F26" s="340" t="n">
        <v>13.13</v>
      </c>
      <c r="G26" s="245">
        <f>ROUND(E26*F26,2)</f>
        <v/>
      </c>
      <c r="H26" s="243">
        <f>G26/$G$29</f>
        <v/>
      </c>
      <c r="I26" s="245">
        <f>ROUND(F26*Прил.10!$D$12,2)</f>
        <v/>
      </c>
      <c r="J26" s="245">
        <f>ROUND(I26*E26,2)</f>
        <v/>
      </c>
    </row>
    <row r="27" outlineLevel="1" ht="25.5" customFormat="1" customHeight="1" s="288">
      <c r="A27" s="338" t="n">
        <v>10</v>
      </c>
      <c r="B27" s="239" t="inlineStr">
        <is>
          <t>91.21.16-012</t>
        </is>
      </c>
      <c r="C27" s="337" t="inlineStr">
        <is>
          <t>Прессы гидравлические с электроприводом</t>
        </is>
      </c>
      <c r="D27" s="338" t="inlineStr">
        <is>
          <t>маш.час</t>
        </is>
      </c>
      <c r="E27" s="413" t="n">
        <v>0.4944</v>
      </c>
      <c r="F27" s="340" t="n">
        <v>1.11</v>
      </c>
      <c r="G27" s="245">
        <f>ROUND(E27*F27,2)</f>
        <v/>
      </c>
      <c r="H27" s="243">
        <f>G27/$G$29</f>
        <v/>
      </c>
      <c r="I27" s="245">
        <f>ROUND(F27*Прил.10!$D$12,2)</f>
        <v/>
      </c>
      <c r="J27" s="245">
        <f>ROUND(I27*E27,2)</f>
        <v/>
      </c>
    </row>
    <row r="28" ht="14.25" customFormat="1" customHeight="1" s="288">
      <c r="A28" s="338" t="n"/>
      <c r="B28" s="338" t="n"/>
      <c r="C28" s="337" t="inlineStr">
        <is>
          <t>Итого прочие машины и механизмы</t>
        </is>
      </c>
      <c r="D28" s="338" t="n"/>
      <c r="E28" s="339" t="n"/>
      <c r="F28" s="245" t="n"/>
      <c r="G28" s="251">
        <f>SUM(G23:G27)</f>
        <v/>
      </c>
      <c r="H28" s="243">
        <f>G28/G29</f>
        <v/>
      </c>
      <c r="I28" s="245" t="n"/>
      <c r="J28" s="251">
        <f>SUM(J23:J27)</f>
        <v/>
      </c>
    </row>
    <row r="29" ht="25.5" customFormat="1" customHeight="1" s="288">
      <c r="A29" s="338" t="n"/>
      <c r="B29" s="338" t="n"/>
      <c r="C29" s="336" t="inlineStr">
        <is>
          <t>Итого по разделу «Машины и механизмы»</t>
        </is>
      </c>
      <c r="D29" s="338" t="n"/>
      <c r="E29" s="339" t="n"/>
      <c r="F29" s="245" t="n"/>
      <c r="G29" s="245">
        <f>G28+G22</f>
        <v/>
      </c>
      <c r="H29" s="246">
        <f>H28+H22</f>
        <v/>
      </c>
      <c r="I29" s="247" t="n"/>
      <c r="J29" s="248">
        <f>J28+J22</f>
        <v/>
      </c>
    </row>
    <row r="30" ht="14.25" customFormat="1" customHeight="1" s="288">
      <c r="A30" s="338" t="n"/>
      <c r="B30" s="336" t="inlineStr">
        <is>
          <t>Оборудование</t>
        </is>
      </c>
      <c r="C30" s="408" t="n"/>
      <c r="D30" s="408" t="n"/>
      <c r="E30" s="408" t="n"/>
      <c r="F30" s="408" t="n"/>
      <c r="G30" s="408" t="n"/>
      <c r="H30" s="409" t="n"/>
      <c r="I30" s="249" t="n"/>
      <c r="J30" s="249" t="n"/>
    </row>
    <row r="31">
      <c r="A31" s="338" t="n"/>
      <c r="B31" s="337" t="inlineStr">
        <is>
          <t>Основное оборудование</t>
        </is>
      </c>
      <c r="C31" s="408" t="n"/>
      <c r="D31" s="408" t="n"/>
      <c r="E31" s="408" t="n"/>
      <c r="F31" s="408" t="n"/>
      <c r="G31" s="408" t="n"/>
      <c r="H31" s="409" t="n"/>
      <c r="I31" s="249" t="n"/>
      <c r="J31" s="249" t="n"/>
      <c r="K31" s="288" t="n"/>
      <c r="L31" s="288" t="n"/>
    </row>
    <row r="32" ht="25.5" customFormat="1" customHeight="1" s="288">
      <c r="A32" s="338" t="n">
        <v>11</v>
      </c>
      <c r="B32" s="338" t="inlineStr">
        <is>
          <t>БЦ.36.16</t>
        </is>
      </c>
      <c r="C32" s="337" t="inlineStr">
        <is>
          <t>Шкаф №1 с оборудованием ЭПУ (карта заказа №1.1 (ШОЭП №1)</t>
        </is>
      </c>
      <c r="D32" s="338" t="inlineStr">
        <is>
          <t>шт</t>
        </is>
      </c>
      <c r="E32" s="414" t="n">
        <v>1</v>
      </c>
      <c r="F32" s="340">
        <f>ROUND(I32/Прил.10!$D$14,2)</f>
        <v/>
      </c>
      <c r="G32" s="245">
        <f>ROUND(E32*F32,2)</f>
        <v/>
      </c>
      <c r="H32" s="243">
        <f>G32/$G$34</f>
        <v/>
      </c>
      <c r="I32" s="245" t="n">
        <v>748543.76</v>
      </c>
      <c r="J32" s="245">
        <f>ROUND(I32*E32,2)</f>
        <v/>
      </c>
    </row>
    <row r="33" ht="25.5" customFormat="1" customHeight="1" s="288">
      <c r="A33" s="338" t="n">
        <v>12</v>
      </c>
      <c r="B33" s="338" t="inlineStr">
        <is>
          <t>БЦ.36.18</t>
        </is>
      </c>
      <c r="C33" s="337" t="inlineStr">
        <is>
          <t>Шкаф №3 с оборудованием ЭПУ (АКБ) (карта заказа №1.3 (ШОЭП №3 (АКБ))</t>
        </is>
      </c>
      <c r="D33" s="338" t="inlineStr">
        <is>
          <t>шт</t>
        </is>
      </c>
      <c r="E33" s="414" t="n">
        <v>1</v>
      </c>
      <c r="F33" s="340">
        <f>ROUND(I33/Прил.10!$D$14,2)</f>
        <v/>
      </c>
      <c r="G33" s="245">
        <f>ROUND(E33*F33,2)</f>
        <v/>
      </c>
      <c r="H33" s="243">
        <f>G33/$G$34</f>
        <v/>
      </c>
      <c r="I33" s="245" t="n">
        <v>350000</v>
      </c>
      <c r="J33" s="245">
        <f>ROUND(I33*E33,2)</f>
        <v/>
      </c>
    </row>
    <row r="34">
      <c r="A34" s="338" t="n"/>
      <c r="B34" s="338" t="n"/>
      <c r="C34" s="337" t="inlineStr">
        <is>
          <t>Итого основное оборудование</t>
        </is>
      </c>
      <c r="D34" s="338" t="n"/>
      <c r="E34" s="413" t="n"/>
      <c r="F34" s="340" t="n"/>
      <c r="G34" s="245">
        <f>SUM(G32:G33)</f>
        <v/>
      </c>
      <c r="H34" s="243">
        <f>G34/$G$36</f>
        <v/>
      </c>
      <c r="I34" s="251" t="n"/>
      <c r="J34" s="245">
        <f>SUM(J32:J33)</f>
        <v/>
      </c>
      <c r="K34" s="288" t="n"/>
      <c r="L34" s="288" t="n"/>
    </row>
    <row r="35">
      <c r="A35" s="338" t="n"/>
      <c r="B35" s="338" t="n"/>
      <c r="C35" s="337" t="inlineStr">
        <is>
          <t>Итого прочее оборудование</t>
        </is>
      </c>
      <c r="D35" s="338" t="n"/>
      <c r="E35" s="413" t="n"/>
      <c r="F35" s="340" t="n"/>
      <c r="G35" s="245" t="n">
        <v>0</v>
      </c>
      <c r="H35" s="243">
        <f>G35/$G$36</f>
        <v/>
      </c>
      <c r="I35" s="251" t="n"/>
      <c r="J35" s="245" t="n">
        <v>0</v>
      </c>
      <c r="K35" s="288" t="n"/>
      <c r="L35" s="288" t="n"/>
    </row>
    <row r="36">
      <c r="A36" s="338" t="n"/>
      <c r="B36" s="338" t="n"/>
      <c r="C36" s="336" t="inlineStr">
        <is>
          <t>Итого по разделу «Оборудование»</t>
        </is>
      </c>
      <c r="D36" s="338" t="n"/>
      <c r="E36" s="339" t="n"/>
      <c r="F36" s="340" t="n"/>
      <c r="G36" s="245">
        <f>G34+G35</f>
        <v/>
      </c>
      <c r="H36" s="341">
        <f>H35+H34</f>
        <v/>
      </c>
      <c r="I36" s="251" t="n"/>
      <c r="J36" s="245">
        <f>J35+J34</f>
        <v/>
      </c>
      <c r="K36" s="288" t="n"/>
      <c r="L36" s="288" t="n"/>
    </row>
    <row r="37" ht="25.5" customHeight="1" s="291">
      <c r="A37" s="338" t="n"/>
      <c r="B37" s="338" t="n"/>
      <c r="C37" s="337" t="inlineStr">
        <is>
          <t>в том числе технологическое оборудование</t>
        </is>
      </c>
      <c r="D37" s="338" t="n"/>
      <c r="E37" s="414" t="n"/>
      <c r="F37" s="340" t="n"/>
      <c r="G37" s="245">
        <f>'Прил.6 Расчет ОБ'!G14</f>
        <v/>
      </c>
      <c r="H37" s="341" t="n"/>
      <c r="I37" s="251" t="n"/>
      <c r="J37" s="245">
        <f>J36</f>
        <v/>
      </c>
      <c r="K37" s="288" t="n"/>
      <c r="L37" s="288" t="n"/>
    </row>
    <row r="38" ht="14.25" customFormat="1" customHeight="1" s="288">
      <c r="A38" s="338" t="n"/>
      <c r="B38" s="336" t="inlineStr">
        <is>
          <t>Материалы</t>
        </is>
      </c>
      <c r="C38" s="408" t="n"/>
      <c r="D38" s="408" t="n"/>
      <c r="E38" s="408" t="n"/>
      <c r="F38" s="408" t="n"/>
      <c r="G38" s="408" t="n"/>
      <c r="H38" s="409" t="n"/>
      <c r="I38" s="249" t="n"/>
      <c r="J38" s="249" t="n"/>
    </row>
    <row r="39" ht="14.25" customFormat="1" customHeight="1" s="288">
      <c r="A39" s="332" t="n"/>
      <c r="B39" s="331" t="inlineStr">
        <is>
          <t>Основные материалы</t>
        </is>
      </c>
      <c r="C39" s="415" t="n"/>
      <c r="D39" s="415" t="n"/>
      <c r="E39" s="415" t="n"/>
      <c r="F39" s="415" t="n"/>
      <c r="G39" s="415" t="n"/>
      <c r="H39" s="416" t="n"/>
      <c r="I39" s="253" t="n"/>
      <c r="J39" s="253" t="n"/>
    </row>
    <row r="40" ht="25.5" customFormat="1" customHeight="1" s="288">
      <c r="A40" s="338" t="n">
        <v>13</v>
      </c>
      <c r="B40" s="338" t="inlineStr">
        <is>
          <t>21.1.06.10-0368</t>
        </is>
      </c>
      <c r="C40" s="337" t="inlineStr">
        <is>
          <t>Кабель силовой с медными жилами ВВГнг(A)-LS 2х25мк(N)-1000</t>
        </is>
      </c>
      <c r="D40" s="338" t="inlineStr">
        <is>
          <t>1000 м</t>
        </is>
      </c>
      <c r="E40" s="414" t="n">
        <v>0.59874</v>
      </c>
      <c r="F40" s="340" t="n">
        <v>71107.06</v>
      </c>
      <c r="G40" s="245">
        <f>ROUND(E40*F40,2)</f>
        <v/>
      </c>
      <c r="H40" s="243">
        <f>G40/$G$68</f>
        <v/>
      </c>
      <c r="I40" s="245">
        <f>ROUND(F40*Прил.10!$D$13,2)</f>
        <v/>
      </c>
      <c r="J40" s="245">
        <f>ROUND(I40*E40,2)</f>
        <v/>
      </c>
    </row>
    <row r="41" ht="25.5" customFormat="1" customHeight="1" s="288">
      <c r="A41" s="338" t="n">
        <v>14</v>
      </c>
      <c r="B41" s="338" t="inlineStr">
        <is>
          <t>21.1.06.10-0581</t>
        </is>
      </c>
      <c r="C41" s="337" t="inlineStr">
        <is>
          <t>Кабель силовой с медными жилами ВВГнг-LS 3х6-1000</t>
        </is>
      </c>
      <c r="D41" s="338" t="inlineStr">
        <is>
          <t>1000 м</t>
        </is>
      </c>
      <c r="E41" s="414" t="n">
        <v>0.55794</v>
      </c>
      <c r="F41" s="340" t="n">
        <v>26001.05</v>
      </c>
      <c r="G41" s="245">
        <f>ROUND(E41*F41,2)</f>
        <v/>
      </c>
      <c r="H41" s="243">
        <f>G41/$G$68</f>
        <v/>
      </c>
      <c r="I41" s="245">
        <f>ROUND(F41*Прил.10!$D$13,2)</f>
        <v/>
      </c>
      <c r="J41" s="245">
        <f>ROUND(I41*E41,2)</f>
        <v/>
      </c>
    </row>
    <row r="42" ht="14.25" customFormat="1" customHeight="1" s="288">
      <c r="A42" s="217" t="n"/>
      <c r="B42" s="217" t="n"/>
      <c r="C42" s="218" t="inlineStr">
        <is>
          <t>Итого основные материалы</t>
        </is>
      </c>
      <c r="D42" s="349" t="n"/>
      <c r="E42" s="417" t="n"/>
      <c r="F42" s="248" t="n"/>
      <c r="G42" s="248">
        <f>SUM(G40:G41)</f>
        <v/>
      </c>
      <c r="H42" s="243">
        <f>G42/$G$68</f>
        <v/>
      </c>
      <c r="I42" s="245" t="n"/>
      <c r="J42" s="248">
        <f>SUM(J40:J41)</f>
        <v/>
      </c>
      <c r="K42" s="26" t="n"/>
      <c r="L42" s="26" t="n"/>
    </row>
    <row r="43" hidden="1" outlineLevel="1" ht="25.5" customFormat="1" customHeight="1" s="288">
      <c r="A43" s="338" t="n">
        <v>15</v>
      </c>
      <c r="B43" s="338" t="inlineStr">
        <is>
          <t>21.1.06.10-0575</t>
        </is>
      </c>
      <c r="C43" s="337" t="inlineStr">
        <is>
          <t>Кабель силовой с медными жилами ВВГнг-LS 2х6-1000</t>
        </is>
      </c>
      <c r="D43" s="338" t="inlineStr">
        <is>
          <t>1000 м</t>
        </is>
      </c>
      <c r="E43" s="414" t="n">
        <v>0.20451</v>
      </c>
      <c r="F43" s="340" t="n">
        <v>16394.77</v>
      </c>
      <c r="G43" s="245">
        <f>ROUND(E43*F43,2)</f>
        <v/>
      </c>
      <c r="H43" s="243">
        <f>G43/$G$68</f>
        <v/>
      </c>
      <c r="I43" s="245">
        <f>ROUND(F43*Прил.10!$D$13,2)</f>
        <v/>
      </c>
      <c r="J43" s="245">
        <f>ROUND(I43*E43,2)</f>
        <v/>
      </c>
    </row>
    <row r="44" hidden="1" outlineLevel="1" ht="25.5" customFormat="1" customHeight="1" s="288">
      <c r="A44" s="338" t="n">
        <v>16</v>
      </c>
      <c r="B44" s="338" t="inlineStr">
        <is>
          <t>21.1.06.10-0579</t>
        </is>
      </c>
      <c r="C44" s="337" t="inlineStr">
        <is>
          <t>Кабель силовой с медными жилами ВВГнг-LS 3х2,5-1000</t>
        </is>
      </c>
      <c r="D44" s="338" t="inlineStr">
        <is>
          <t>1000 м</t>
        </is>
      </c>
      <c r="E44" s="414" t="n">
        <v>0.23664</v>
      </c>
      <c r="F44" s="340" t="n">
        <v>13942.81</v>
      </c>
      <c r="G44" s="245">
        <f>ROUND(E44*F44,2)</f>
        <v/>
      </c>
      <c r="H44" s="243">
        <f>G44/$G$68</f>
        <v/>
      </c>
      <c r="I44" s="245">
        <f>ROUND(F44*Прил.10!$D$13,2)</f>
        <v/>
      </c>
      <c r="J44" s="245">
        <f>ROUND(I44*E44,2)</f>
        <v/>
      </c>
    </row>
    <row r="45" hidden="1" outlineLevel="1" ht="25.5" customFormat="1" customHeight="1" s="288">
      <c r="A45" s="338" t="n">
        <v>17</v>
      </c>
      <c r="B45" s="338" t="inlineStr">
        <is>
          <t>10.3.02.03-0011</t>
        </is>
      </c>
      <c r="C45" s="337" t="inlineStr">
        <is>
          <t>Припои оловянно-свинцовые бессурьмянистые, марка ПОС30</t>
        </is>
      </c>
      <c r="D45" s="338" t="inlineStr">
        <is>
          <t>т</t>
        </is>
      </c>
      <c r="E45" s="414" t="n">
        <v>0.0070939</v>
      </c>
      <c r="F45" s="340" t="n">
        <v>68050</v>
      </c>
      <c r="G45" s="245">
        <f>ROUND(E45*F45,2)</f>
        <v/>
      </c>
      <c r="H45" s="243">
        <f>G45/$G$68</f>
        <v/>
      </c>
      <c r="I45" s="245">
        <f>ROUND(F45*Прил.10!$D$13,2)</f>
        <v/>
      </c>
      <c r="J45" s="245">
        <f>ROUND(I45*E45,2)</f>
        <v/>
      </c>
    </row>
    <row r="46" hidden="1" outlineLevel="1" ht="25.5" customFormat="1" customHeight="1" s="288">
      <c r="A46" s="338" t="n">
        <v>18</v>
      </c>
      <c r="B46" s="338" t="inlineStr">
        <is>
          <t>21.2.03.05-0073</t>
        </is>
      </c>
      <c r="C46" s="337" t="inlineStr">
        <is>
          <t>Провод силовой установочный с медными жилами ПВ3 16-450</t>
        </is>
      </c>
      <c r="D46" s="338" t="inlineStr">
        <is>
          <t>1000 м</t>
        </is>
      </c>
      <c r="E46" s="414" t="n">
        <v>0.01224</v>
      </c>
      <c r="F46" s="340" t="n">
        <v>12127</v>
      </c>
      <c r="G46" s="245">
        <f>ROUND(E46*F46,2)</f>
        <v/>
      </c>
      <c r="H46" s="243">
        <f>G46/$G$68</f>
        <v/>
      </c>
      <c r="I46" s="245">
        <f>ROUND(F46*Прил.10!$D$13,2)</f>
        <v/>
      </c>
      <c r="J46" s="245">
        <f>ROUND(I46*E46,2)</f>
        <v/>
      </c>
    </row>
    <row r="47" hidden="1" outlineLevel="1" ht="14.25" customFormat="1" customHeight="1" s="288">
      <c r="A47" s="338" t="n">
        <v>19</v>
      </c>
      <c r="B47" s="338" t="inlineStr">
        <is>
          <t>01.7.06.07-0002</t>
        </is>
      </c>
      <c r="C47" s="337" t="inlineStr">
        <is>
          <t>Лента монтажная, тип ЛМ-5</t>
        </is>
      </c>
      <c r="D47" s="338" t="inlineStr">
        <is>
          <t>10 м</t>
        </is>
      </c>
      <c r="E47" s="414" t="n">
        <v>13.436625</v>
      </c>
      <c r="F47" s="340" t="n">
        <v>6.9</v>
      </c>
      <c r="G47" s="245">
        <f>ROUND(E47*F47,2)</f>
        <v/>
      </c>
      <c r="H47" s="243">
        <f>G47/$G$68</f>
        <v/>
      </c>
      <c r="I47" s="245">
        <f>ROUND(F47*Прил.10!$D$13,2)</f>
        <v/>
      </c>
      <c r="J47" s="245">
        <f>ROUND(I47*E47,2)</f>
        <v/>
      </c>
    </row>
    <row r="48" hidden="1" outlineLevel="1" ht="14.25" customFormat="1" customHeight="1" s="288">
      <c r="A48" s="338" t="n">
        <v>20</v>
      </c>
      <c r="B48" s="338" t="inlineStr">
        <is>
          <t>01.3.01.01-0001</t>
        </is>
      </c>
      <c r="C48" s="337" t="inlineStr">
        <is>
          <t>Бензин авиационный Б-70</t>
        </is>
      </c>
      <c r="D48" s="338" t="inlineStr">
        <is>
          <t>т</t>
        </is>
      </c>
      <c r="E48" s="414" t="n">
        <v>0.0128</v>
      </c>
      <c r="F48" s="340" t="n">
        <v>4488.4</v>
      </c>
      <c r="G48" s="245">
        <f>ROUND(E48*F48,2)</f>
        <v/>
      </c>
      <c r="H48" s="243">
        <f>G48/$G$68</f>
        <v/>
      </c>
      <c r="I48" s="245">
        <f>ROUND(F48*Прил.10!$D$13,2)</f>
        <v/>
      </c>
      <c r="J48" s="245">
        <f>ROUND(I48*E48,2)</f>
        <v/>
      </c>
    </row>
    <row r="49" hidden="1" outlineLevel="1" ht="25.5" customFormat="1" customHeight="1" s="288">
      <c r="A49" s="338" t="n">
        <v>21</v>
      </c>
      <c r="B49" s="338" t="inlineStr">
        <is>
          <t>999-9950</t>
        </is>
      </c>
      <c r="C49" s="337" t="inlineStr">
        <is>
          <t>Вспомогательные ненормируемые ресурсы (2% от Оплаты труда рабочих)</t>
        </is>
      </c>
      <c r="D49" s="338" t="inlineStr">
        <is>
          <t>руб</t>
        </is>
      </c>
      <c r="E49" s="414" t="n">
        <v>31.5302</v>
      </c>
      <c r="F49" s="340" t="n">
        <v>1</v>
      </c>
      <c r="G49" s="245">
        <f>ROUND(E49*F49,2)</f>
        <v/>
      </c>
      <c r="H49" s="243">
        <f>G49/$G$68</f>
        <v/>
      </c>
      <c r="I49" s="245">
        <f>ROUND(F49*Прил.10!$D$13,2)</f>
        <v/>
      </c>
      <c r="J49" s="245">
        <f>ROUND(I49*E49,2)</f>
        <v/>
      </c>
    </row>
    <row r="50" hidden="1" outlineLevel="1" ht="14.25" customFormat="1" customHeight="1" s="288">
      <c r="A50" s="338" t="n">
        <v>22</v>
      </c>
      <c r="B50" s="338" t="inlineStr">
        <is>
          <t>14.4.03.03-0002</t>
        </is>
      </c>
      <c r="C50" s="337" t="inlineStr">
        <is>
          <t>Лак битумный БТ-123</t>
        </is>
      </c>
      <c r="D50" s="338" t="inlineStr">
        <is>
          <t>т</t>
        </is>
      </c>
      <c r="E50" s="414" t="n">
        <v>0.002976</v>
      </c>
      <c r="F50" s="340" t="n">
        <v>7826.9</v>
      </c>
      <c r="G50" s="245">
        <f>ROUND(E50*F50,2)</f>
        <v/>
      </c>
      <c r="H50" s="243">
        <f>G50/$G$68</f>
        <v/>
      </c>
      <c r="I50" s="245">
        <f>ROUND(F50*Прил.10!$D$13,2)</f>
        <v/>
      </c>
      <c r="J50" s="245">
        <f>ROUND(I50*E50,2)</f>
        <v/>
      </c>
    </row>
    <row r="51" hidden="1" outlineLevel="1" ht="14.25" customFormat="1" customHeight="1" s="288">
      <c r="A51" s="338" t="n">
        <v>23</v>
      </c>
      <c r="B51" s="338" t="inlineStr">
        <is>
          <t>01.7.15.07-0014</t>
        </is>
      </c>
      <c r="C51" s="337" t="inlineStr">
        <is>
          <t>Дюбели распорные полипропиленовые</t>
        </is>
      </c>
      <c r="D51" s="338" t="inlineStr">
        <is>
          <t>100 шт</t>
        </is>
      </c>
      <c r="E51" s="414" t="n">
        <v>0.2448</v>
      </c>
      <c r="F51" s="340" t="n">
        <v>86</v>
      </c>
      <c r="G51" s="245">
        <f>ROUND(E51*F51,2)</f>
        <v/>
      </c>
      <c r="H51" s="243">
        <f>G51/$G$68</f>
        <v/>
      </c>
      <c r="I51" s="245">
        <f>ROUND(F51*Прил.10!$D$13,2)</f>
        <v/>
      </c>
      <c r="J51" s="245">
        <f>ROUND(I51*E51,2)</f>
        <v/>
      </c>
    </row>
    <row r="52" hidden="1" outlineLevel="1" ht="14.25" customFormat="1" customHeight="1" s="288">
      <c r="A52" s="338" t="n">
        <v>24</v>
      </c>
      <c r="B52" s="338" t="inlineStr">
        <is>
          <t>01.3.02.09-0022</t>
        </is>
      </c>
      <c r="C52" s="337" t="inlineStr">
        <is>
          <t>Пропан-бутан смесь техническая</t>
        </is>
      </c>
      <c r="D52" s="338" t="inlineStr">
        <is>
          <t>кг</t>
        </is>
      </c>
      <c r="E52" s="414" t="n">
        <v>2.4</v>
      </c>
      <c r="F52" s="340" t="n">
        <v>6.09</v>
      </c>
      <c r="G52" s="245">
        <f>ROUND(E52*F52,2)</f>
        <v/>
      </c>
      <c r="H52" s="243">
        <f>G52/$G$68</f>
        <v/>
      </c>
      <c r="I52" s="245">
        <f>ROUND(F52*Прил.10!$D$13,2)</f>
        <v/>
      </c>
      <c r="J52" s="245">
        <f>ROUND(I52*E52,2)</f>
        <v/>
      </c>
    </row>
    <row r="53" hidden="1" outlineLevel="1" ht="14.25" customFormat="1" customHeight="1" s="288">
      <c r="A53" s="338" t="n">
        <v>25</v>
      </c>
      <c r="B53" s="338" t="inlineStr">
        <is>
          <t>25.2.01.01-0001</t>
        </is>
      </c>
      <c r="C53" s="337" t="inlineStr">
        <is>
          <t>Бирки-оконцеватели</t>
        </is>
      </c>
      <c r="D53" s="338" t="inlineStr">
        <is>
          <t>100 шт</t>
        </is>
      </c>
      <c r="E53" s="414" t="n">
        <v>0.204</v>
      </c>
      <c r="F53" s="340" t="n">
        <v>63</v>
      </c>
      <c r="G53" s="245">
        <f>ROUND(E53*F53,2)</f>
        <v/>
      </c>
      <c r="H53" s="243">
        <f>G53/$G$68</f>
        <v/>
      </c>
      <c r="I53" s="245">
        <f>ROUND(F53*Прил.10!$D$13,2)</f>
        <v/>
      </c>
      <c r="J53" s="245">
        <f>ROUND(I53*E53,2)</f>
        <v/>
      </c>
    </row>
    <row r="54" hidden="1" outlineLevel="1" ht="14.25" customFormat="1" customHeight="1" s="288">
      <c r="A54" s="338" t="n">
        <v>26</v>
      </c>
      <c r="B54" s="338" t="inlineStr">
        <is>
          <t>01.7.15.03-0042</t>
        </is>
      </c>
      <c r="C54" s="337" t="inlineStr">
        <is>
          <t>Болты с гайками и шайбами строительные</t>
        </is>
      </c>
      <c r="D54" s="338" t="inlineStr">
        <is>
          <t>кг</t>
        </is>
      </c>
      <c r="E54" s="414" t="n">
        <v>1.0376</v>
      </c>
      <c r="F54" s="340" t="n">
        <v>9.039999999999999</v>
      </c>
      <c r="G54" s="245">
        <f>ROUND(E54*F54,2)</f>
        <v/>
      </c>
      <c r="H54" s="243">
        <f>G54/$G$68</f>
        <v/>
      </c>
      <c r="I54" s="245">
        <f>ROUND(F54*Прил.10!$D$13,2)</f>
        <v/>
      </c>
      <c r="J54" s="245">
        <f>ROUND(I54*E54,2)</f>
        <v/>
      </c>
    </row>
    <row r="55" hidden="1" outlineLevel="1" ht="14.25" customFormat="1" customHeight="1" s="288">
      <c r="A55" s="338" t="n">
        <v>27</v>
      </c>
      <c r="B55" s="338" t="inlineStr">
        <is>
          <t>14.4.02.09-0001</t>
        </is>
      </c>
      <c r="C55" s="337" t="inlineStr">
        <is>
          <t>Краска</t>
        </is>
      </c>
      <c r="D55" s="338" t="inlineStr">
        <is>
          <t>кг</t>
        </is>
      </c>
      <c r="E55" s="414" t="n">
        <v>0.24</v>
      </c>
      <c r="F55" s="340" t="n">
        <v>28.6</v>
      </c>
      <c r="G55" s="245">
        <f>ROUND(E55*F55,2)</f>
        <v/>
      </c>
      <c r="H55" s="243">
        <f>G55/$G$68</f>
        <v/>
      </c>
      <c r="I55" s="245">
        <f>ROUND(F55*Прил.10!$D$13,2)</f>
        <v/>
      </c>
      <c r="J55" s="245">
        <f>ROUND(I55*E55,2)</f>
        <v/>
      </c>
    </row>
    <row r="56" hidden="1" outlineLevel="1" ht="14.25" customFormat="1" customHeight="1" s="288">
      <c r="A56" s="338" t="n">
        <v>28</v>
      </c>
      <c r="B56" s="338" t="inlineStr">
        <is>
          <t>20.1.02.23-0082</t>
        </is>
      </c>
      <c r="C56" s="337" t="inlineStr">
        <is>
          <t>Перемычки гибкие, тип ПГС-50</t>
        </is>
      </c>
      <c r="D56" s="338" t="inlineStr">
        <is>
          <t>10 шт</t>
        </is>
      </c>
      <c r="E56" s="414" t="n">
        <v>0.16</v>
      </c>
      <c r="F56" s="340" t="n">
        <v>39</v>
      </c>
      <c r="G56" s="245">
        <f>ROUND(E56*F56,2)</f>
        <v/>
      </c>
      <c r="H56" s="243">
        <f>G56/$G$68</f>
        <v/>
      </c>
      <c r="I56" s="245">
        <f>ROUND(F56*Прил.10!$D$13,2)</f>
        <v/>
      </c>
      <c r="J56" s="245">
        <f>ROUND(I56*E56,2)</f>
        <v/>
      </c>
    </row>
    <row r="57" hidden="1" outlineLevel="1" ht="14.25" customFormat="1" customHeight="1" s="288">
      <c r="A57" s="338" t="n">
        <v>29</v>
      </c>
      <c r="B57" s="338" t="inlineStr">
        <is>
          <t>01.7.15.14-0165</t>
        </is>
      </c>
      <c r="C57" s="337" t="inlineStr">
        <is>
          <t>Шурупы с полукруглой головкой 4х40 мм</t>
        </is>
      </c>
      <c r="D57" s="338" t="inlineStr">
        <is>
          <t>т</t>
        </is>
      </c>
      <c r="E57" s="414" t="n">
        <v>0.0003394</v>
      </c>
      <c r="F57" s="340" t="n">
        <v>12430</v>
      </c>
      <c r="G57" s="245">
        <f>ROUND(E57*F57,2)</f>
        <v/>
      </c>
      <c r="H57" s="243">
        <f>G57/$G$68</f>
        <v/>
      </c>
      <c r="I57" s="245">
        <f>ROUND(F57*Прил.10!$D$13,2)</f>
        <v/>
      </c>
      <c r="J57" s="245">
        <f>ROUND(I57*E57,2)</f>
        <v/>
      </c>
    </row>
    <row r="58" hidden="1" outlineLevel="1" ht="25.5" customFormat="1" customHeight="1" s="288">
      <c r="A58" s="338" t="n">
        <v>30</v>
      </c>
      <c r="B58" s="338" t="inlineStr">
        <is>
          <t>01.7.11.07-0034</t>
        </is>
      </c>
      <c r="C58" s="337" t="inlineStr">
        <is>
          <t>Электроды сварочные Э42А, диаметр 4 мм</t>
        </is>
      </c>
      <c r="D58" s="338" t="inlineStr">
        <is>
          <t>кг</t>
        </is>
      </c>
      <c r="E58" s="414" t="n">
        <v>0.32</v>
      </c>
      <c r="F58" s="340" t="n">
        <v>10.57</v>
      </c>
      <c r="G58" s="245">
        <f>ROUND(E58*F58,2)</f>
        <v/>
      </c>
      <c r="H58" s="243">
        <f>G58/$G$68</f>
        <v/>
      </c>
      <c r="I58" s="245">
        <f>ROUND(F58*Прил.10!$D$13,2)</f>
        <v/>
      </c>
      <c r="J58" s="245">
        <f>ROUND(I58*E58,2)</f>
        <v/>
      </c>
    </row>
    <row r="59" hidden="1" outlineLevel="1" ht="38.25" customFormat="1" customHeight="1" s="288">
      <c r="A59" s="338" t="n">
        <v>31</v>
      </c>
      <c r="B59" s="338" t="inlineStr">
        <is>
          <t>08.3.07.01-0076</t>
        </is>
      </c>
      <c r="C59" s="337" t="inlineStr">
        <is>
          <t>Прокат полосовой, горячекатаный, марка стали Ст3сп, ширина 50-200 мм, толщина 4-5 мм</t>
        </is>
      </c>
      <c r="D59" s="338" t="inlineStr">
        <is>
          <t>т</t>
        </is>
      </c>
      <c r="E59" s="414" t="n">
        <v>0.0006400000000000001</v>
      </c>
      <c r="F59" s="340" t="n">
        <v>5000</v>
      </c>
      <c r="G59" s="245">
        <f>ROUND(E59*F59,2)</f>
        <v/>
      </c>
      <c r="H59" s="243">
        <f>G59/$G$68</f>
        <v/>
      </c>
      <c r="I59" s="245">
        <f>ROUND(F59*Прил.10!$D$13,2)</f>
        <v/>
      </c>
      <c r="J59" s="245">
        <f>ROUND(I59*E59,2)</f>
        <v/>
      </c>
    </row>
    <row r="60" hidden="1" outlineLevel="1" ht="14.25" customFormat="1" customHeight="1" s="288">
      <c r="A60" s="338" t="n">
        <v>32</v>
      </c>
      <c r="B60" s="338" t="inlineStr">
        <is>
          <t>14.4.03.17-0101</t>
        </is>
      </c>
      <c r="C60" s="337" t="inlineStr">
        <is>
          <t>Лак канифольный КФ-965</t>
        </is>
      </c>
      <c r="D60" s="338" t="inlineStr">
        <is>
          <t>т</t>
        </is>
      </c>
      <c r="E60" s="414" t="n">
        <v>2.8e-05</v>
      </c>
      <c r="F60" s="340" t="n">
        <v>70200</v>
      </c>
      <c r="G60" s="245">
        <f>ROUND(E60*F60,2)</f>
        <v/>
      </c>
      <c r="H60" s="243">
        <f>G60/$G$68</f>
        <v/>
      </c>
      <c r="I60" s="245">
        <f>ROUND(F60*Прил.10!$D$13,2)</f>
        <v/>
      </c>
      <c r="J60" s="245">
        <f>ROUND(I60*E60,2)</f>
        <v/>
      </c>
    </row>
    <row r="61" hidden="1" outlineLevel="1" ht="38.25" customFormat="1" customHeight="1" s="288">
      <c r="A61" s="338" t="n">
        <v>33</v>
      </c>
      <c r="B61" s="338" t="inlineStr">
        <is>
          <t>01.7.06.05-0041</t>
        </is>
      </c>
      <c r="C61" s="337" t="inlineStr">
        <is>
          <t>Лента изоляционная прорезиненная односторонняя, ширина 20 мм, толщина 0,25-0,35 мм</t>
        </is>
      </c>
      <c r="D61" s="338" t="inlineStr">
        <is>
          <t>кг</t>
        </is>
      </c>
      <c r="E61" s="414" t="n">
        <v>0.056</v>
      </c>
      <c r="F61" s="340" t="n">
        <v>30.4</v>
      </c>
      <c r="G61" s="245">
        <f>ROUND(E61*F61,2)</f>
        <v/>
      </c>
      <c r="H61" s="243">
        <f>G61/$G$68</f>
        <v/>
      </c>
      <c r="I61" s="245">
        <f>ROUND(F61*Прил.10!$D$13,2)</f>
        <v/>
      </c>
      <c r="J61" s="245">
        <f>ROUND(I61*E61,2)</f>
        <v/>
      </c>
    </row>
    <row r="62" hidden="1" outlineLevel="1" ht="14.25" customFormat="1" customHeight="1" s="288">
      <c r="A62" s="338" t="n">
        <v>34</v>
      </c>
      <c r="B62" s="338" t="inlineStr">
        <is>
          <t>01.3.01.05-0009</t>
        </is>
      </c>
      <c r="C62" s="337" t="inlineStr">
        <is>
          <t>Парафин нефтяной твердый Т-1</t>
        </is>
      </c>
      <c r="D62" s="338" t="inlineStr">
        <is>
          <t>т</t>
        </is>
      </c>
      <c r="E62" s="414" t="n">
        <v>0.00016</v>
      </c>
      <c r="F62" s="340" t="n">
        <v>8105.71</v>
      </c>
      <c r="G62" s="245">
        <f>ROUND(E62*F62,2)</f>
        <v/>
      </c>
      <c r="H62" s="243">
        <f>G62/$G$68</f>
        <v/>
      </c>
      <c r="I62" s="245">
        <f>ROUND(F62*Прил.10!$D$13,2)</f>
        <v/>
      </c>
      <c r="J62" s="245">
        <f>ROUND(I62*E62,2)</f>
        <v/>
      </c>
    </row>
    <row r="63" hidden="1" outlineLevel="1" ht="14.25" customFormat="1" customHeight="1" s="288">
      <c r="A63" s="338" t="n">
        <v>35</v>
      </c>
      <c r="B63" s="338" t="inlineStr">
        <is>
          <t>01.3.01.02-0002</t>
        </is>
      </c>
      <c r="C63" s="337" t="inlineStr">
        <is>
          <t>Вазелин технический</t>
        </is>
      </c>
      <c r="D63" s="338" t="inlineStr">
        <is>
          <t>кг</t>
        </is>
      </c>
      <c r="E63" s="414" t="n">
        <v>0.022</v>
      </c>
      <c r="F63" s="340" t="n">
        <v>44.97</v>
      </c>
      <c r="G63" s="245">
        <f>ROUND(E63*F63,2)</f>
        <v/>
      </c>
      <c r="H63" s="243">
        <f>G63/$G$68</f>
        <v/>
      </c>
      <c r="I63" s="245">
        <f>ROUND(F63*Прил.10!$D$13,2)</f>
        <v/>
      </c>
      <c r="J63" s="245">
        <f>ROUND(I63*E63,2)</f>
        <v/>
      </c>
    </row>
    <row r="64" hidden="1" outlineLevel="1" ht="51" customFormat="1" customHeight="1" s="288">
      <c r="A64" s="338" t="n">
        <v>36</v>
      </c>
      <c r="B64" s="338" t="inlineStr">
        <is>
          <t>01.7.15.14-0043</t>
        </is>
      </c>
      <c r="C64" s="337" t="inlineStr">
        <is>
          <t>Шурупы самонарезающий прокалывающий, для крепления металлических профилей или листовых деталей 3,5/11 мм</t>
        </is>
      </c>
      <c r="D64" s="338" t="inlineStr">
        <is>
          <t>100 шт</t>
        </is>
      </c>
      <c r="E64" s="414" t="n">
        <v>0.2448</v>
      </c>
      <c r="F64" s="340" t="n">
        <v>2</v>
      </c>
      <c r="G64" s="245">
        <f>ROUND(E64*F64,2)</f>
        <v/>
      </c>
      <c r="H64" s="243">
        <f>G64/$G$68</f>
        <v/>
      </c>
      <c r="I64" s="245">
        <f>ROUND(F64*Прил.10!$D$13,2)</f>
        <v/>
      </c>
      <c r="J64" s="245">
        <f>ROUND(I64*E64,2)</f>
        <v/>
      </c>
    </row>
    <row r="65" hidden="1" outlineLevel="1" ht="14.25" customFormat="1" customHeight="1" s="288">
      <c r="A65" s="338" t="n">
        <v>37</v>
      </c>
      <c r="B65" s="338" t="inlineStr">
        <is>
          <t>01.7.20.04-0005</t>
        </is>
      </c>
      <c r="C65" s="337" t="inlineStr">
        <is>
          <t>Нитки швейные</t>
        </is>
      </c>
      <c r="D65" s="338" t="inlineStr">
        <is>
          <t>кг</t>
        </is>
      </c>
      <c r="E65" s="414" t="n">
        <v>0.0028</v>
      </c>
      <c r="F65" s="340" t="n">
        <v>133.05</v>
      </c>
      <c r="G65" s="245">
        <f>ROUND(E65*F65,2)</f>
        <v/>
      </c>
      <c r="H65" s="243">
        <f>G65/$G$68</f>
        <v/>
      </c>
      <c r="I65" s="245">
        <f>ROUND(F65*Прил.10!$D$13,2)</f>
        <v/>
      </c>
      <c r="J65" s="245">
        <f>ROUND(I65*E65,2)</f>
        <v/>
      </c>
    </row>
    <row r="66" hidden="1" outlineLevel="1" ht="14.25" customFormat="1" customHeight="1" s="288">
      <c r="A66" s="338" t="n">
        <v>38</v>
      </c>
      <c r="B66" s="338" t="inlineStr">
        <is>
          <t>01.7.02.09-0002</t>
        </is>
      </c>
      <c r="C66" s="337" t="inlineStr">
        <is>
          <t>Шпагат бумажный</t>
        </is>
      </c>
      <c r="D66" s="338" t="inlineStr">
        <is>
          <t>кг</t>
        </is>
      </c>
      <c r="E66" s="414" t="n">
        <v>0.0056</v>
      </c>
      <c r="F66" s="340" t="n">
        <v>11.5</v>
      </c>
      <c r="G66" s="245">
        <f>ROUND(E66*F66,2)</f>
        <v/>
      </c>
      <c r="H66" s="243">
        <f>G66/$G$68</f>
        <v/>
      </c>
      <c r="I66" s="245">
        <f>ROUND(F66*Прил.10!$D$13,2)</f>
        <v/>
      </c>
      <c r="J66" s="245">
        <f>ROUND(I66*E66,2)</f>
        <v/>
      </c>
    </row>
    <row r="67" collapsed="1" ht="14.25" customFormat="1" customHeight="1" s="288">
      <c r="A67" s="338" t="n"/>
      <c r="B67" s="338" t="n"/>
      <c r="C67" s="337" t="inlineStr">
        <is>
          <t>Итого прочие материалы</t>
        </is>
      </c>
      <c r="D67" s="338" t="n"/>
      <c r="E67" s="339" t="n"/>
      <c r="F67" s="340" t="n"/>
      <c r="G67" s="245">
        <f>SUM(G43:G66)</f>
        <v/>
      </c>
      <c r="H67" s="243">
        <f>G67/$G$68</f>
        <v/>
      </c>
      <c r="I67" s="245" t="n"/>
      <c r="J67" s="245">
        <f>SUM(J43:J66)</f>
        <v/>
      </c>
    </row>
    <row r="68" ht="14.25" customFormat="1" customHeight="1" s="288">
      <c r="A68" s="338" t="n"/>
      <c r="B68" s="338" t="n"/>
      <c r="C68" s="336" t="inlineStr">
        <is>
          <t>Итого по разделу «Материалы»</t>
        </is>
      </c>
      <c r="D68" s="338" t="n"/>
      <c r="E68" s="339" t="n"/>
      <c r="F68" s="340" t="n"/>
      <c r="G68" s="245">
        <f>G42+G67</f>
        <v/>
      </c>
      <c r="H68" s="341">
        <f>G68/$G$68</f>
        <v/>
      </c>
      <c r="I68" s="245" t="n"/>
      <c r="J68" s="245">
        <f>J42+J67</f>
        <v/>
      </c>
    </row>
    <row r="69" ht="14.25" customFormat="1" customHeight="1" s="288">
      <c r="A69" s="338" t="n"/>
      <c r="B69" s="338" t="n"/>
      <c r="C69" s="337" t="inlineStr">
        <is>
          <t>ИТОГО ПО РМ</t>
        </is>
      </c>
      <c r="D69" s="338" t="n"/>
      <c r="E69" s="339" t="n"/>
      <c r="F69" s="340" t="n"/>
      <c r="G69" s="245">
        <f>G14+G29+G68</f>
        <v/>
      </c>
      <c r="H69" s="341" t="n"/>
      <c r="I69" s="245" t="n"/>
      <c r="J69" s="245">
        <f>J14+J29+J68</f>
        <v/>
      </c>
    </row>
    <row r="70" ht="14.25" customFormat="1" customHeight="1" s="288">
      <c r="A70" s="338" t="n"/>
      <c r="B70" s="338" t="n"/>
      <c r="C70" s="337" t="inlineStr">
        <is>
          <t>Накладные расходы</t>
        </is>
      </c>
      <c r="D70" s="223">
        <f>ROUND(G70/(G$16+$G$14),2)</f>
        <v/>
      </c>
      <c r="E70" s="339" t="n"/>
      <c r="F70" s="340" t="n"/>
      <c r="G70" s="245" t="n">
        <v>1661.27</v>
      </c>
      <c r="H70" s="341" t="n"/>
      <c r="I70" s="245" t="n"/>
      <c r="J70" s="245">
        <f>ROUND(D70*(J14+J16),2)</f>
        <v/>
      </c>
    </row>
    <row r="71" ht="14.25" customFormat="1" customHeight="1" s="288">
      <c r="A71" s="338" t="n"/>
      <c r="B71" s="338" t="n"/>
      <c r="C71" s="337" t="inlineStr">
        <is>
          <t>Сметная прибыль</t>
        </is>
      </c>
      <c r="D71" s="223">
        <f>ROUND(G71/(G$14+G$16),2)</f>
        <v/>
      </c>
      <c r="E71" s="339" t="n"/>
      <c r="F71" s="340" t="n"/>
      <c r="G71" s="245" t="n">
        <v>873.46</v>
      </c>
      <c r="H71" s="341" t="n"/>
      <c r="I71" s="245" t="n"/>
      <c r="J71" s="245">
        <f>ROUND(D71*(J14+J16),2)</f>
        <v/>
      </c>
    </row>
    <row r="72" ht="14.25" customFormat="1" customHeight="1" s="288">
      <c r="A72" s="338" t="n"/>
      <c r="B72" s="338" t="n"/>
      <c r="C72" s="337" t="inlineStr">
        <is>
          <t>Итого СМР (с НР и СП)</t>
        </is>
      </c>
      <c r="D72" s="338" t="n"/>
      <c r="E72" s="339" t="n"/>
      <c r="F72" s="340" t="n"/>
      <c r="G72" s="245">
        <f>G14+G29+G68+G70+G71</f>
        <v/>
      </c>
      <c r="H72" s="341" t="n"/>
      <c r="I72" s="245" t="n"/>
      <c r="J72" s="245">
        <f>J14+J29+J68+J70+J71</f>
        <v/>
      </c>
    </row>
    <row r="73" ht="14.25" customFormat="1" customHeight="1" s="288">
      <c r="A73" s="338" t="n"/>
      <c r="B73" s="338" t="n"/>
      <c r="C73" s="337" t="inlineStr">
        <is>
          <t>ВСЕГО СМР + ОБОРУДОВАНИЕ</t>
        </is>
      </c>
      <c r="D73" s="338" t="n"/>
      <c r="E73" s="339" t="n"/>
      <c r="F73" s="340" t="n"/>
      <c r="G73" s="245">
        <f>G72+G36</f>
        <v/>
      </c>
      <c r="H73" s="341" t="n"/>
      <c r="I73" s="245" t="n"/>
      <c r="J73" s="245">
        <f>J72+J36</f>
        <v/>
      </c>
    </row>
    <row r="74" ht="34.5" customFormat="1" customHeight="1" s="288">
      <c r="A74" s="338" t="n"/>
      <c r="B74" s="338" t="n"/>
      <c r="C74" s="337" t="inlineStr">
        <is>
          <t>ИТОГО ПОКАЗАТЕЛЬ НА ЕД. ИЗМ.</t>
        </is>
      </c>
      <c r="D74" s="338" t="inlineStr">
        <is>
          <t>объект</t>
        </is>
      </c>
      <c r="E74" s="418" t="n">
        <v>1</v>
      </c>
      <c r="F74" s="340" t="n"/>
      <c r="G74" s="245">
        <f>G73/E74</f>
        <v/>
      </c>
      <c r="H74" s="341" t="n"/>
      <c r="I74" s="245" t="n"/>
      <c r="J74" s="245">
        <f>J73/E74</f>
        <v/>
      </c>
    </row>
    <row r="76" ht="14.25" customFormat="1" customHeight="1" s="288">
      <c r="A76" s="287" t="inlineStr">
        <is>
          <t>Составил ______________________    Д.Ю. Нефедова</t>
        </is>
      </c>
    </row>
    <row r="77" ht="14.25" customFormat="1" customHeight="1" s="288">
      <c r="A77" s="290" t="inlineStr">
        <is>
          <t xml:space="preserve">                         (подпись, инициалы, фамилия)</t>
        </is>
      </c>
    </row>
    <row r="78" ht="14.25" customFormat="1" customHeight="1" s="288">
      <c r="A78" s="287" t="n"/>
    </row>
    <row r="79" ht="14.25" customFormat="1" customHeight="1" s="288">
      <c r="A79" s="287" t="inlineStr">
        <is>
          <t>Проверил ______________________        А.В. Костянецкая</t>
        </is>
      </c>
    </row>
    <row r="80" ht="14.25" customFormat="1" customHeight="1" s="288">
      <c r="A80" s="290" t="inlineStr">
        <is>
          <t xml:space="preserve">                        (подпись, инициалы, фамилия)</t>
        </is>
      </c>
    </row>
  </sheetData>
  <mergeCells count="21">
    <mergeCell ref="H9:H10"/>
    <mergeCell ref="B30:H30"/>
    <mergeCell ref="A4:J4"/>
    <mergeCell ref="B15:H15"/>
    <mergeCell ref="H2:J2"/>
    <mergeCell ref="C9:C10"/>
    <mergeCell ref="E9:E10"/>
    <mergeCell ref="A7:H7"/>
    <mergeCell ref="B31:H31"/>
    <mergeCell ref="B9:B10"/>
    <mergeCell ref="D9:D10"/>
    <mergeCell ref="B18:H18"/>
    <mergeCell ref="B12:H12"/>
    <mergeCell ref="B39:H39"/>
    <mergeCell ref="D6:J6"/>
    <mergeCell ref="A8:H8"/>
    <mergeCell ref="F9:G9"/>
    <mergeCell ref="B17:H17"/>
    <mergeCell ref="A9:A10"/>
    <mergeCell ref="B38:H38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9">
    <outlinePr summaryBelow="1" summaryRight="1"/>
    <pageSetUpPr fitToPage="1"/>
  </sheetPr>
  <dimension ref="A1:G21"/>
  <sheetViews>
    <sheetView view="pageBreakPreview" workbookViewId="0">
      <selection activeCell="D42" sqref="D42"/>
    </sheetView>
  </sheetViews>
  <sheetFormatPr baseColWidth="8" defaultRowHeight="15"/>
  <cols>
    <col width="5.7109375" customWidth="1" style="291" min="1" max="1"/>
    <col width="17.5703125" customWidth="1" style="291" min="2" max="2"/>
    <col width="39.140625" customWidth="1" style="291" min="3" max="3"/>
    <col width="10.7109375" customWidth="1" style="291" min="4" max="4"/>
    <col width="13.85546875" customWidth="1" style="291" min="5" max="5"/>
    <col width="14.5703125" customWidth="1" style="291" min="6" max="6"/>
    <col width="14.140625" customWidth="1" style="291" min="7" max="7"/>
  </cols>
  <sheetData>
    <row r="1">
      <c r="A1" s="351" t="inlineStr">
        <is>
          <t>Приложение №6</t>
        </is>
      </c>
    </row>
    <row r="2" ht="21.75" customHeight="1" s="291">
      <c r="A2" s="351" t="n"/>
      <c r="B2" s="351" t="n"/>
      <c r="C2" s="351" t="n"/>
      <c r="D2" s="351" t="n"/>
      <c r="E2" s="351" t="n"/>
      <c r="F2" s="351" t="n"/>
      <c r="G2" s="351" t="n"/>
    </row>
    <row r="3">
      <c r="A3" s="313" t="inlineStr">
        <is>
          <t>Расчет стоимости оборудования</t>
        </is>
      </c>
    </row>
    <row r="4" ht="25.5" customHeight="1" s="291">
      <c r="A4" s="316" t="inlineStr">
        <is>
          <t>Наименование разрабатываемого показателя УНЦ — Сети связи. Оборудование электропитания, 6 кВт</t>
        </is>
      </c>
    </row>
    <row r="5">
      <c r="A5" s="287" t="n"/>
      <c r="B5" s="287" t="n"/>
      <c r="C5" s="287" t="n"/>
      <c r="D5" s="287" t="n"/>
      <c r="E5" s="287" t="n"/>
      <c r="F5" s="287" t="n"/>
      <c r="G5" s="287" t="n"/>
    </row>
    <row r="6" ht="30" customHeight="1" s="291">
      <c r="A6" s="356" t="inlineStr">
        <is>
          <t>№ пп.</t>
        </is>
      </c>
      <c r="B6" s="356" t="inlineStr">
        <is>
          <t>Код ресурса</t>
        </is>
      </c>
      <c r="C6" s="356" t="inlineStr">
        <is>
          <t>Наименование</t>
        </is>
      </c>
      <c r="D6" s="356" t="inlineStr">
        <is>
          <t>Ед. изм.</t>
        </is>
      </c>
      <c r="E6" s="338" t="inlineStr">
        <is>
          <t>Кол-во единиц по проектным данным</t>
        </is>
      </c>
      <c r="F6" s="356" t="inlineStr">
        <is>
          <t>Сметная стоимость в ценах на 01.01.2000 (руб.)</t>
        </is>
      </c>
      <c r="G6" s="409" t="n"/>
    </row>
    <row r="7">
      <c r="A7" s="411" t="n"/>
      <c r="B7" s="411" t="n"/>
      <c r="C7" s="411" t="n"/>
      <c r="D7" s="411" t="n"/>
      <c r="E7" s="411" t="n"/>
      <c r="F7" s="338" t="inlineStr">
        <is>
          <t>на ед. изм.</t>
        </is>
      </c>
      <c r="G7" s="338" t="inlineStr">
        <is>
          <t>общая</t>
        </is>
      </c>
    </row>
    <row r="8">
      <c r="A8" s="338" t="n">
        <v>1</v>
      </c>
      <c r="B8" s="338" t="n">
        <v>2</v>
      </c>
      <c r="C8" s="338" t="n">
        <v>3</v>
      </c>
      <c r="D8" s="338" t="n">
        <v>4</v>
      </c>
      <c r="E8" s="338" t="n">
        <v>5</v>
      </c>
      <c r="F8" s="338" t="n">
        <v>6</v>
      </c>
      <c r="G8" s="338" t="n">
        <v>7</v>
      </c>
    </row>
    <row r="9" ht="15" customHeight="1" s="291">
      <c r="A9" s="190" t="n"/>
      <c r="B9" s="337" t="inlineStr">
        <is>
          <t>ИНЖЕНЕРНОЕ ОБОРУДОВАНИЕ</t>
        </is>
      </c>
      <c r="C9" s="408" t="n"/>
      <c r="D9" s="408" t="n"/>
      <c r="E9" s="408" t="n"/>
      <c r="F9" s="408" t="n"/>
      <c r="G9" s="409" t="n"/>
    </row>
    <row r="10" ht="27" customHeight="1" s="291">
      <c r="A10" s="338" t="n"/>
      <c r="B10" s="336" t="n"/>
      <c r="C10" s="337" t="inlineStr">
        <is>
          <t>ИТОГО ИНЖЕНЕРНОЕ ОБОРУДОВАНИЕ</t>
        </is>
      </c>
      <c r="D10" s="336" t="n"/>
      <c r="E10" s="192" t="n"/>
      <c r="F10" s="340" t="n"/>
      <c r="G10" s="245" t="n">
        <v>0</v>
      </c>
    </row>
    <row r="11">
      <c r="A11" s="338" t="n"/>
      <c r="B11" s="337" t="inlineStr">
        <is>
          <t>ТЕХНОЛОГИЧЕСКОЕ ОБОРУДОВАНИЕ</t>
        </is>
      </c>
      <c r="C11" s="408" t="n"/>
      <c r="D11" s="408" t="n"/>
      <c r="E11" s="408" t="n"/>
      <c r="F11" s="408" t="n"/>
      <c r="G11" s="409" t="n"/>
    </row>
    <row r="12" ht="25.5" customFormat="1" customHeight="1" s="293">
      <c r="A12" s="338" t="n">
        <v>1</v>
      </c>
      <c r="B12" s="337">
        <f>'Прил.5 Расчет СМР и ОБ'!B32</f>
        <v/>
      </c>
      <c r="C12" s="337">
        <f>'Прил.5 Расчет СМР и ОБ'!C32</f>
        <v/>
      </c>
      <c r="D12" s="338">
        <f>'Прил.5 Расчет СМР и ОБ'!D32</f>
        <v/>
      </c>
      <c r="E12" s="414">
        <f>'Прил.5 Расчет СМР и ОБ'!E32</f>
        <v/>
      </c>
      <c r="F12" s="245">
        <f>'Прил.5 Расчет СМР и ОБ'!F32</f>
        <v/>
      </c>
      <c r="G12" s="245">
        <f>ROUND(E12*F12,2)</f>
        <v/>
      </c>
    </row>
    <row r="13" ht="25.5" customFormat="1" customHeight="1" s="293">
      <c r="A13" s="338" t="n">
        <v>2</v>
      </c>
      <c r="B13" s="337">
        <f>'Прил.5 Расчет СМР и ОБ'!B33</f>
        <v/>
      </c>
      <c r="C13" s="337">
        <f>'Прил.5 Расчет СМР и ОБ'!C33</f>
        <v/>
      </c>
      <c r="D13" s="338">
        <f>'Прил.5 Расчет СМР и ОБ'!D33</f>
        <v/>
      </c>
      <c r="E13" s="414">
        <f>'Прил.5 Расчет СМР и ОБ'!E33</f>
        <v/>
      </c>
      <c r="F13" s="245">
        <f>'Прил.5 Расчет СМР и ОБ'!F33</f>
        <v/>
      </c>
      <c r="G13" s="245">
        <f>ROUND(E13*F13,2)</f>
        <v/>
      </c>
    </row>
    <row r="14" ht="25.5" customHeight="1" s="291">
      <c r="A14" s="338" t="n"/>
      <c r="B14" s="337" t="n"/>
      <c r="C14" s="337" t="inlineStr">
        <is>
          <t>ИТОГО ТЕХНОЛОГИЧЕСКОЕ ОБОРУДОВАНИЕ</t>
        </is>
      </c>
      <c r="D14" s="337" t="n"/>
      <c r="E14" s="355" t="n"/>
      <c r="F14" s="340" t="n"/>
      <c r="G14" s="245">
        <f>SUM(G12:G13)</f>
        <v/>
      </c>
    </row>
    <row r="15" ht="19.5" customHeight="1" s="291">
      <c r="A15" s="338" t="n"/>
      <c r="B15" s="337" t="n"/>
      <c r="C15" s="337" t="inlineStr">
        <is>
          <t>Всего по разделу «Оборудование»</t>
        </is>
      </c>
      <c r="D15" s="337" t="n"/>
      <c r="E15" s="355" t="n"/>
      <c r="F15" s="340" t="n"/>
      <c r="G15" s="245">
        <f>G10+G14</f>
        <v/>
      </c>
    </row>
    <row r="16">
      <c r="A16" s="403" t="n"/>
      <c r="B16" s="198" t="n"/>
      <c r="C16" s="289" t="n"/>
      <c r="D16" s="289" t="n"/>
      <c r="E16" s="289" t="n"/>
      <c r="F16" s="289" t="n"/>
      <c r="G16" s="289" t="n"/>
    </row>
    <row r="17">
      <c r="A17" s="287" t="inlineStr">
        <is>
          <t>Составил ______________________    Д.Ю. Нефедова</t>
        </is>
      </c>
      <c r="B17" s="288" t="n"/>
      <c r="C17" s="288" t="n"/>
      <c r="D17" s="289" t="n"/>
      <c r="E17" s="289" t="n"/>
      <c r="F17" s="289" t="n"/>
      <c r="G17" s="289" t="n"/>
    </row>
    <row r="18">
      <c r="A18" s="290" t="inlineStr">
        <is>
          <t xml:space="preserve">                         (подпись, инициалы, фамилия)</t>
        </is>
      </c>
      <c r="B18" s="288" t="n"/>
      <c r="C18" s="288" t="n"/>
      <c r="D18" s="289" t="n"/>
      <c r="E18" s="289" t="n"/>
      <c r="F18" s="289" t="n"/>
      <c r="G18" s="289" t="n"/>
    </row>
    <row r="19">
      <c r="A19" s="287" t="n"/>
      <c r="B19" s="288" t="n"/>
      <c r="C19" s="288" t="n"/>
      <c r="D19" s="289" t="n"/>
      <c r="E19" s="289" t="n"/>
      <c r="F19" s="289" t="n"/>
      <c r="G19" s="289" t="n"/>
    </row>
    <row r="20">
      <c r="A20" s="287" t="inlineStr">
        <is>
          <t>Проверил ______________________        А.В. Костянецкая</t>
        </is>
      </c>
      <c r="B20" s="288" t="n"/>
      <c r="C20" s="288" t="n"/>
      <c r="D20" s="289" t="n"/>
      <c r="E20" s="289" t="n"/>
      <c r="F20" s="289" t="n"/>
      <c r="G20" s="289" t="n"/>
    </row>
    <row r="21">
      <c r="A21" s="290" t="inlineStr">
        <is>
          <t xml:space="preserve">                        (подпись, инициалы, фамилия)</t>
        </is>
      </c>
      <c r="B21" s="288" t="n"/>
      <c r="C21" s="288" t="n"/>
      <c r="D21" s="289" t="n"/>
      <c r="E21" s="289" t="n"/>
      <c r="F21" s="289" t="n"/>
      <c r="G21" s="28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5" cellComments="atEnd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 fitToPage="1"/>
  </sheetPr>
  <dimension ref="A1:D17"/>
  <sheetViews>
    <sheetView tabSelected="1" view="pageBreakPreview" workbookViewId="0">
      <selection activeCell="F7" sqref="F7"/>
    </sheetView>
  </sheetViews>
  <sheetFormatPr baseColWidth="8" defaultRowHeight="15"/>
  <cols>
    <col width="12.7109375" customWidth="1" style="291" min="1" max="1"/>
    <col width="16.42578125" customWidth="1" style="291" min="2" max="2"/>
    <col width="37.140625" customWidth="1" style="291" min="3" max="3"/>
    <col width="49" customWidth="1" style="291" min="4" max="4"/>
    <col width="9.140625" customWidth="1" style="291" min="5" max="5"/>
  </cols>
  <sheetData>
    <row r="1" ht="15.75" customHeight="1" s="291">
      <c r="A1" s="293" t="n"/>
      <c r="B1" s="293" t="n"/>
      <c r="C1" s="293" t="n"/>
      <c r="D1" s="293" t="inlineStr">
        <is>
          <t>Приложение №7</t>
        </is>
      </c>
    </row>
    <row r="2" ht="15.75" customHeight="1" s="291">
      <c r="A2" s="293" t="n"/>
      <c r="B2" s="293" t="n"/>
      <c r="C2" s="293" t="n"/>
      <c r="D2" s="293" t="n"/>
    </row>
    <row r="3" ht="15.75" customHeight="1" s="291">
      <c r="A3" s="293" t="n"/>
      <c r="B3" s="282" t="inlineStr">
        <is>
          <t>Расчет показателя УНЦ</t>
        </is>
      </c>
      <c r="C3" s="293" t="n"/>
      <c r="D3" s="293" t="n"/>
    </row>
    <row r="4" ht="15.75" customHeight="1" s="291">
      <c r="A4" s="293" t="n"/>
      <c r="B4" s="293" t="n"/>
      <c r="C4" s="293" t="n"/>
      <c r="D4" s="293" t="n"/>
    </row>
    <row r="5" ht="31.5" customHeight="1" s="291">
      <c r="A5" s="357" t="inlineStr">
        <is>
          <t xml:space="preserve">Наименование разрабатываемого показателя УНЦ - </t>
        </is>
      </c>
      <c r="D5" s="357">
        <f>'Прил.5 Расчет СМР и ОБ'!D6:J6</f>
        <v/>
      </c>
    </row>
    <row r="6" ht="15.75" customHeight="1" s="291">
      <c r="A6" s="293" t="inlineStr">
        <is>
          <t>Единица измерения  — 1 ед</t>
        </is>
      </c>
      <c r="B6" s="293" t="n"/>
      <c r="C6" s="293" t="n"/>
      <c r="D6" s="293" t="n"/>
    </row>
    <row r="7" ht="15.75" customHeight="1" s="291">
      <c r="A7" s="293" t="n"/>
      <c r="B7" s="293" t="n"/>
      <c r="C7" s="293" t="n"/>
      <c r="D7" s="293" t="n"/>
    </row>
    <row r="8">
      <c r="A8" s="325" t="inlineStr">
        <is>
          <t>Код показателя</t>
        </is>
      </c>
      <c r="B8" s="325" t="inlineStr">
        <is>
          <t>Наименование показателя</t>
        </is>
      </c>
      <c r="C8" s="325" t="inlineStr">
        <is>
          <t>Наименование РМ, входящих в состав показателя</t>
        </is>
      </c>
      <c r="D8" s="325" t="inlineStr">
        <is>
          <t>Норматив цены на 01.01.2023, тыс.руб.</t>
        </is>
      </c>
    </row>
    <row r="9">
      <c r="A9" s="411" t="n"/>
      <c r="B9" s="411" t="n"/>
      <c r="C9" s="411" t="n"/>
      <c r="D9" s="411" t="n"/>
    </row>
    <row r="10" ht="15.75" customHeight="1" s="291">
      <c r="A10" s="325" t="n">
        <v>1</v>
      </c>
      <c r="B10" s="325" t="n">
        <v>2</v>
      </c>
      <c r="C10" s="325" t="n">
        <v>3</v>
      </c>
      <c r="D10" s="325" t="n">
        <v>4</v>
      </c>
    </row>
    <row r="11" ht="31.5" customHeight="1" s="291">
      <c r="A11" s="325" t="inlineStr">
        <is>
          <t>И14-07</t>
        </is>
      </c>
      <c r="B11" s="325" t="inlineStr">
        <is>
          <t xml:space="preserve">УНЦ сети связи </t>
        </is>
      </c>
      <c r="C11" s="285">
        <f>D5</f>
        <v/>
      </c>
      <c r="D11" s="299">
        <f>'Прил.4 РМ'!C41/1000</f>
        <v/>
      </c>
    </row>
    <row r="13">
      <c r="A13" s="287" t="inlineStr">
        <is>
          <t>Составил ______________________      Д.Ю. Нефедова</t>
        </is>
      </c>
      <c r="B13" s="288" t="n"/>
      <c r="C13" s="288" t="n"/>
      <c r="D13" s="289" t="n"/>
    </row>
    <row r="14">
      <c r="A14" s="290" t="inlineStr">
        <is>
          <t xml:space="preserve">                         (подпись, инициалы, фамилия)</t>
        </is>
      </c>
      <c r="B14" s="288" t="n"/>
      <c r="C14" s="288" t="n"/>
      <c r="D14" s="289" t="n"/>
    </row>
    <row r="15" ht="21" customHeight="1" s="291">
      <c r="A15" s="287" t="n"/>
      <c r="B15" s="288" t="n"/>
      <c r="C15" s="288" t="n"/>
      <c r="D15" s="289" t="n"/>
    </row>
    <row r="16">
      <c r="A16" s="287" t="inlineStr">
        <is>
          <t>Проверил ______________________        А.В. Костянецкая</t>
        </is>
      </c>
      <c r="B16" s="288" t="n"/>
      <c r="C16" s="288" t="n"/>
      <c r="D16" s="289" t="n"/>
    </row>
    <row r="17">
      <c r="A17" s="290" t="inlineStr">
        <is>
          <t xml:space="preserve">                        (подпись, инициалы, фамилия)</t>
        </is>
      </c>
      <c r="B17" s="288" t="n"/>
      <c r="C17" s="288" t="n"/>
      <c r="D17" s="28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cellComments="atEnd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 fitToPage="1"/>
  </sheetPr>
  <dimension ref="B4:E31"/>
  <sheetViews>
    <sheetView view="pageBreakPreview" topLeftCell="A11" zoomScale="60" zoomScaleNormal="85" workbookViewId="0">
      <selection activeCell="D42" sqref="D42"/>
    </sheetView>
  </sheetViews>
  <sheetFormatPr baseColWidth="8" defaultRowHeight="15"/>
  <cols>
    <col width="9.140625" customWidth="1" style="291" min="1" max="1"/>
    <col width="40.7109375" customWidth="1" style="291" min="2" max="2"/>
    <col width="37" customWidth="1" style="291" min="3" max="3"/>
    <col width="32" customWidth="1" style="291" min="4" max="4"/>
    <col width="9.140625" customWidth="1" style="291" min="5" max="5"/>
  </cols>
  <sheetData>
    <row r="4" ht="15.75" customHeight="1" s="291">
      <c r="B4" s="320" t="inlineStr">
        <is>
          <t>Приложение № 10</t>
        </is>
      </c>
    </row>
    <row r="5" ht="18.75" customHeight="1" s="291">
      <c r="B5" s="185" t="n"/>
    </row>
    <row r="6" ht="15.75" customHeight="1" s="291">
      <c r="B6" s="321" t="inlineStr">
        <is>
          <t>Используемые индексы изменений сметной стоимости и нормы сопутствующих затрат</t>
        </is>
      </c>
    </row>
    <row r="7">
      <c r="B7" s="358" t="n"/>
    </row>
    <row r="8">
      <c r="B8" s="358" t="n"/>
      <c r="C8" s="358" t="n"/>
      <c r="D8" s="358" t="n"/>
      <c r="E8" s="358" t="n"/>
    </row>
    <row r="9" ht="47.25" customHeight="1" s="291">
      <c r="B9" s="325" t="inlineStr">
        <is>
          <t>Наименование индекса / норм сопутствующих затрат</t>
        </is>
      </c>
      <c r="C9" s="325" t="inlineStr">
        <is>
          <t>Дата применения и обоснование индекса / норм сопутствующих затрат</t>
        </is>
      </c>
      <c r="D9" s="325" t="inlineStr">
        <is>
          <t>Размер индекса / норма сопутствующих затрат</t>
        </is>
      </c>
    </row>
    <row r="10" ht="15.75" customHeight="1" s="291">
      <c r="B10" s="325" t="n">
        <v>1</v>
      </c>
      <c r="C10" s="325" t="n">
        <v>2</v>
      </c>
      <c r="D10" s="325" t="n">
        <v>3</v>
      </c>
    </row>
    <row r="11" ht="45" customHeight="1" s="291">
      <c r="B11" s="325" t="inlineStr">
        <is>
          <t xml:space="preserve">Индекс изменения сметной стоимости на 1 квартал 2023 года. ОЗП </t>
        </is>
      </c>
      <c r="C11" s="325" t="inlineStr">
        <is>
          <t>Письмо Минстроя России от 30.03.2023г. №17106-ИФ/09 прил.1</t>
        </is>
      </c>
      <c r="D11" s="325" t="n">
        <v>44.29</v>
      </c>
    </row>
    <row r="12" ht="29.25" customHeight="1" s="291">
      <c r="B12" s="325" t="inlineStr">
        <is>
          <t>Индекс изменения сметной стоимости на 1 квартал 2023 года. ЭМ</t>
        </is>
      </c>
      <c r="C12" s="325" t="inlineStr">
        <is>
          <t>Письмо Минстроя России от 30.03.2023г. №17106-ИФ/09 прил.1</t>
        </is>
      </c>
      <c r="D12" s="325" t="n">
        <v>13.47</v>
      </c>
    </row>
    <row r="13" ht="29.25" customHeight="1" s="291">
      <c r="B13" s="325" t="inlineStr">
        <is>
          <t>Индекс изменения сметной стоимости на 1 квартал 2023 года. МАТ</t>
        </is>
      </c>
      <c r="C13" s="325" t="inlineStr">
        <is>
          <t>Письмо Минстроя России от 30.03.2023г. №17106-ИФ/09 прил.1</t>
        </is>
      </c>
      <c r="D13" s="325" t="n">
        <v>8.039999999999999</v>
      </c>
    </row>
    <row r="14" ht="30.75" customHeight="1" s="291">
      <c r="B14" s="325" t="inlineStr">
        <is>
          <t>Индекс изменения сметной стоимости на 1 квартал 2023 года. ОБ</t>
        </is>
      </c>
      <c r="C14" s="169" t="inlineStr">
        <is>
          <t>Письмо Минстроя России от 23.02.2023г. №9791-ИФ/09 прил.6</t>
        </is>
      </c>
      <c r="D14" s="325" t="n">
        <v>6.26</v>
      </c>
    </row>
    <row r="15" ht="89.25" customHeight="1" s="291">
      <c r="B15" s="325" t="inlineStr">
        <is>
          <t>Временные здания и сооружения</t>
        </is>
      </c>
      <c r="C15" s="325" t="inlineStr">
        <is>
          <t xml:space="preserve">п.39.2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86" t="n">
        <v>0.025</v>
      </c>
    </row>
    <row r="16" ht="78.75" customHeight="1" s="291">
      <c r="B16" s="325" t="inlineStr">
        <is>
          <t>Дополнительные затраты при производстве строительно-монтажных работ в зимнее время</t>
        </is>
      </c>
      <c r="C16" s="325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86" t="n">
        <v>0.021</v>
      </c>
    </row>
    <row r="17" ht="34.5" customHeight="1" s="291">
      <c r="B17" s="325" t="inlineStr">
        <is>
          <t>Пусконаладочные работы*</t>
        </is>
      </c>
      <c r="C17" s="325" t="n"/>
      <c r="D17" s="325" t="inlineStr">
        <is>
          <t>Расчет</t>
        </is>
      </c>
    </row>
    <row r="18" ht="31.5" customHeight="1" s="291">
      <c r="B18" s="325" t="inlineStr">
        <is>
          <t>Строительный контроль</t>
        </is>
      </c>
      <c r="C18" s="325" t="inlineStr">
        <is>
          <t>Постановление Правительства РФ от 21.06.10 г. № 468</t>
        </is>
      </c>
      <c r="D18" s="186" t="n">
        <v>0.0214</v>
      </c>
    </row>
    <row r="19" ht="31.5" customHeight="1" s="291">
      <c r="B19" s="325" t="inlineStr">
        <is>
          <t>Авторский надзор - 0,2%</t>
        </is>
      </c>
      <c r="C19" s="325" t="inlineStr">
        <is>
          <t>Приказ от 4.08.2020 № 421/пр п.173</t>
        </is>
      </c>
      <c r="D19" s="186" t="n">
        <v>0.002</v>
      </c>
    </row>
    <row r="20" ht="24" customHeight="1" s="291">
      <c r="B20" s="325" t="inlineStr">
        <is>
          <t>Непредвиденные расходы</t>
        </is>
      </c>
      <c r="C20" s="325" t="inlineStr">
        <is>
          <t>Приказ от 4.08.2020 № 421/пр п.179</t>
        </is>
      </c>
      <c r="D20" s="186" t="n">
        <v>0.03</v>
      </c>
    </row>
    <row r="21" ht="18.75" customHeight="1" s="291">
      <c r="B21" s="187" t="n"/>
    </row>
    <row r="22" ht="18.75" customHeight="1" s="291">
      <c r="B22" s="187" t="n"/>
    </row>
    <row r="23" ht="18.75" customHeight="1" s="291">
      <c r="B23" s="187" t="n"/>
    </row>
    <row r="24" ht="18.75" customHeight="1" s="291">
      <c r="B24" s="187" t="n"/>
    </row>
    <row r="27">
      <c r="B27" s="287" t="inlineStr">
        <is>
          <t>Составил ______________________        Д.Ю. Нефедова</t>
        </is>
      </c>
      <c r="C27" s="288" t="n"/>
    </row>
    <row r="28">
      <c r="B28" s="290" t="inlineStr">
        <is>
          <t xml:space="preserve">                         (подпись, инициалы, фамилия)</t>
        </is>
      </c>
      <c r="C28" s="288" t="n"/>
    </row>
    <row r="29">
      <c r="B29" s="287" t="n"/>
      <c r="C29" s="288" t="n"/>
    </row>
    <row r="30">
      <c r="B30" s="287" t="inlineStr">
        <is>
          <t>Проверил ______________________        А.В. Костянецкая</t>
        </is>
      </c>
      <c r="C30" s="288" t="n"/>
    </row>
    <row r="31">
      <c r="B31" s="290" t="inlineStr">
        <is>
          <t xml:space="preserve">                        (подпись, инициалы, фамилия)</t>
        </is>
      </c>
      <c r="C31" s="28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5">
    <outlinePr summaryBelow="1" summaryRight="1"/>
    <pageSetUpPr fitToPage="1"/>
  </sheetPr>
  <dimension ref="A2:G13"/>
  <sheetViews>
    <sheetView view="pageBreakPreview" zoomScale="60" zoomScaleNormal="100" workbookViewId="0">
      <selection activeCell="D42" sqref="D42"/>
    </sheetView>
  </sheetViews>
  <sheetFormatPr baseColWidth="8" defaultColWidth="9.140625" defaultRowHeight="15"/>
  <cols>
    <col width="44.85546875" customWidth="1" style="291" min="2" max="2"/>
    <col width="13" customWidth="1" style="291" min="3" max="3"/>
    <col width="22.85546875" customWidth="1" style="291" min="4" max="4"/>
    <col width="21.5703125" customWidth="1" style="291" min="5" max="5"/>
    <col width="43.85546875" customWidth="1" style="291" min="6" max="6"/>
  </cols>
  <sheetData>
    <row r="1" s="291"/>
    <row r="2" ht="17.25" customHeight="1" s="291">
      <c r="A2" s="321" t="inlineStr">
        <is>
          <t>Расчет размера средств на оплату труда рабочих-строителей в текущем уровне цен (ФОТр.тек.)</t>
        </is>
      </c>
    </row>
    <row r="3" s="291"/>
    <row r="4" ht="18" customHeight="1" s="291">
      <c r="A4" s="292" t="inlineStr">
        <is>
          <t>Составлен в уровне цен на 01.01.2023 г.</t>
        </is>
      </c>
      <c r="B4" s="293" t="n"/>
      <c r="C4" s="293" t="n"/>
      <c r="D4" s="293" t="n"/>
      <c r="E4" s="293" t="n"/>
      <c r="F4" s="293" t="n"/>
      <c r="G4" s="293" t="n"/>
    </row>
    <row r="5" ht="15.75" customHeight="1" s="291">
      <c r="A5" s="294" t="inlineStr">
        <is>
          <t>№ пп.</t>
        </is>
      </c>
      <c r="B5" s="294" t="inlineStr">
        <is>
          <t>Наименование элемента</t>
        </is>
      </c>
      <c r="C5" s="294" t="inlineStr">
        <is>
          <t>Обозначение</t>
        </is>
      </c>
      <c r="D5" s="294" t="inlineStr">
        <is>
          <t>Формула</t>
        </is>
      </c>
      <c r="E5" s="294" t="inlineStr">
        <is>
          <t>Величина элемента</t>
        </is>
      </c>
      <c r="F5" s="294" t="inlineStr">
        <is>
          <t>Наименования обосновывающих документов</t>
        </is>
      </c>
      <c r="G5" s="293" t="n"/>
    </row>
    <row r="6" ht="15.75" customHeight="1" s="291">
      <c r="A6" s="294" t="n">
        <v>1</v>
      </c>
      <c r="B6" s="294" t="n">
        <v>2</v>
      </c>
      <c r="C6" s="294" t="n">
        <v>3</v>
      </c>
      <c r="D6" s="294" t="n">
        <v>4</v>
      </c>
      <c r="E6" s="294" t="n">
        <v>5</v>
      </c>
      <c r="F6" s="294" t="n">
        <v>6</v>
      </c>
      <c r="G6" s="293" t="n"/>
    </row>
    <row r="7" ht="110.25" customHeight="1" s="291">
      <c r="A7" s="295" t="inlineStr">
        <is>
          <t>1.1</t>
        </is>
      </c>
      <c r="B7" s="30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25" t="inlineStr">
        <is>
          <t>С1ср</t>
        </is>
      </c>
      <c r="D7" s="325" t="inlineStr">
        <is>
          <t>-</t>
        </is>
      </c>
      <c r="E7" s="298" t="n">
        <v>47872.94</v>
      </c>
      <c r="F7" s="30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93" t="n"/>
    </row>
    <row r="8" ht="31.5" customHeight="1" s="291">
      <c r="A8" s="295" t="inlineStr">
        <is>
          <t>1.2</t>
        </is>
      </c>
      <c r="B8" s="300" t="inlineStr">
        <is>
          <t>Среднегодовое нормативное число часов работы одного рабочего в месяц, часы (ч.)</t>
        </is>
      </c>
      <c r="C8" s="325" t="inlineStr">
        <is>
          <t>tср</t>
        </is>
      </c>
      <c r="D8" s="325" t="inlineStr">
        <is>
          <t>1973ч/12мес.</t>
        </is>
      </c>
      <c r="E8" s="299">
        <f>1973/12</f>
        <v/>
      </c>
      <c r="F8" s="300" t="inlineStr">
        <is>
          <t>Производственный календарь 2023 год
(40-часов.неделя)</t>
        </is>
      </c>
      <c r="G8" s="302" t="n"/>
    </row>
    <row r="9" ht="15.75" customHeight="1" s="291">
      <c r="A9" s="295" t="inlineStr">
        <is>
          <t>1.3</t>
        </is>
      </c>
      <c r="B9" s="300" t="inlineStr">
        <is>
          <t>Коэффициент увеличения</t>
        </is>
      </c>
      <c r="C9" s="325" t="inlineStr">
        <is>
          <t>Кув</t>
        </is>
      </c>
      <c r="D9" s="325" t="inlineStr">
        <is>
          <t>-</t>
        </is>
      </c>
      <c r="E9" s="299" t="n">
        <v>1</v>
      </c>
      <c r="F9" s="300" t="n"/>
      <c r="G9" s="302" t="n"/>
    </row>
    <row r="10" ht="15.75" customHeight="1" s="291">
      <c r="A10" s="295" t="inlineStr">
        <is>
          <t>1.4</t>
        </is>
      </c>
      <c r="B10" s="300" t="inlineStr">
        <is>
          <t>Средний разряд работ</t>
        </is>
      </c>
      <c r="C10" s="325" t="n"/>
      <c r="D10" s="325" t="n"/>
      <c r="E10" s="419" t="n">
        <v>3.8</v>
      </c>
      <c r="F10" s="300" t="inlineStr">
        <is>
          <t>РТМ</t>
        </is>
      </c>
      <c r="G10" s="302" t="n"/>
    </row>
    <row r="11" ht="78.75" customHeight="1" s="291">
      <c r="A11" s="295" t="inlineStr">
        <is>
          <t>1.5</t>
        </is>
      </c>
      <c r="B11" s="300" t="inlineStr">
        <is>
          <t>Тарифный коэффициент среднего разряда работ</t>
        </is>
      </c>
      <c r="C11" s="325" t="inlineStr">
        <is>
          <t>КТ</t>
        </is>
      </c>
      <c r="D11" s="325" t="inlineStr">
        <is>
          <t>-</t>
        </is>
      </c>
      <c r="E11" s="420" t="n">
        <v>1.308</v>
      </c>
      <c r="F11" s="30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93" t="n"/>
    </row>
    <row r="12" ht="78.75" customHeight="1" s="291">
      <c r="A12" s="295" t="inlineStr">
        <is>
          <t>1.6</t>
        </is>
      </c>
      <c r="B12" s="305" t="inlineStr">
        <is>
          <t>Коэффициент инфляции, определяемый поквартально</t>
        </is>
      </c>
      <c r="C12" s="325" t="inlineStr">
        <is>
          <t>Кинф</t>
        </is>
      </c>
      <c r="D12" s="325" t="inlineStr">
        <is>
          <t>-</t>
        </is>
      </c>
      <c r="E12" s="421" t="n">
        <v>1.139</v>
      </c>
      <c r="F12" s="30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02" t="n"/>
    </row>
    <row r="13" ht="63" customHeight="1" s="291">
      <c r="A13" s="295" t="inlineStr">
        <is>
          <t>1.7</t>
        </is>
      </c>
      <c r="B13" s="311" t="inlineStr">
        <is>
          <t>Размер средств на оплату труда рабочих-строителей в текущем уровне цен (ФОТр.тек.), руб/чел.-ч</t>
        </is>
      </c>
      <c r="C13" s="325" t="inlineStr">
        <is>
          <t>ФОТр.тек.</t>
        </is>
      </c>
      <c r="D13" s="325" t="inlineStr">
        <is>
          <t>(С1ср/tср*КТ*Т*Кув)*Кинф</t>
        </is>
      </c>
      <c r="E13" s="312">
        <f>((E7*E9/E8)*E11)*E12</f>
        <v/>
      </c>
      <c r="F13" s="30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93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2025-01-24T12:01:50Z</dcterms:modified>
  <cp:lastModifiedBy>Nikolay Ivanov</cp:lastModifiedBy>
  <cp:lastPrinted>2023-11-27T07:54:22Z</cp:lastPrinted>
</cp:coreProperties>
</file>