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табл'!$A$1:$E$32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стоим'!$A$1:$J$33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'Прил.3'!$A$1:$H$89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ОБ'!$A$1:$J$102</definedName>
    <definedName name="_xlnm.Print_Area" localSheetId="5">'Прил.6 Расчет ОБ'!$A$1:$G$35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'Прил.10'!$A$1:$D$31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FF99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3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8" fillId="0" borderId="0" pivotButton="0" quotePrefix="0" xfId="0"/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right"/>
    </xf>
    <xf numFmtId="0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" fontId="19" fillId="0" borderId="1" applyAlignment="1" pivotButton="0" quotePrefix="0" xfId="0">
      <alignment vertical="top"/>
    </xf>
    <xf numFmtId="0" fontId="19" fillId="0" borderId="0" pivotButton="0" quotePrefix="0" xfId="0"/>
    <xf numFmtId="0" fontId="16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4" fontId="16" fillId="0" borderId="1" applyAlignment="1" pivotButton="0" quotePrefix="0" xfId="0">
      <alignment vertical="top"/>
    </xf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21" fillId="0" borderId="0" applyAlignment="1" pivotButton="0" quotePrefix="0" xfId="0">
      <alignment horizontal="right" vertical="center"/>
    </xf>
    <xf numFmtId="10" fontId="16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justify" vertical="center"/>
    </xf>
    <xf numFmtId="0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top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67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vertical="center" wrapText="1"/>
    </xf>
    <xf numFmtId="10" fontId="1" fillId="4" borderId="1" applyAlignment="1" pivotButton="0" quotePrefix="0" xfId="0">
      <alignment vertical="center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0" fontId="16" fillId="0" borderId="6" applyAlignment="1" pivotButton="0" quotePrefix="0" xfId="0">
      <alignment vertical="center" wrapText="1"/>
    </xf>
    <xf numFmtId="0" fontId="16" fillId="0" borderId="7" applyAlignment="1" pivotButton="0" quotePrefix="0" xfId="0">
      <alignment vertical="center" wrapText="1"/>
    </xf>
    <xf numFmtId="169" fontId="16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2" applyAlignment="1" pivotButton="0" quotePrefix="0" xfId="0">
      <alignment horizontal="right" vertical="center" wrapText="1"/>
    </xf>
    <xf numFmtId="0" fontId="19" fillId="0" borderId="6" applyAlignment="1" pivotButton="0" quotePrefix="0" xfId="0">
      <alignment horizontal="right" vertical="center" wrapText="1"/>
    </xf>
    <xf numFmtId="0" fontId="19" fillId="0" borderId="7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top" wrapText="1"/>
    </xf>
    <xf numFmtId="0" fontId="16" fillId="0" borderId="4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left" vertical="center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0" fillId="0" borderId="0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169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G32"/>
  <sheetViews>
    <sheetView view="pageBreakPreview" topLeftCell="A13" zoomScale="70" zoomScaleNormal="55" workbookViewId="0">
      <selection activeCell="C28" sqref="C28"/>
    </sheetView>
  </sheetViews>
  <sheetFormatPr baseColWidth="8" defaultColWidth="9.140625" defaultRowHeight="15.75"/>
  <cols>
    <col width="9.140625" customWidth="1" style="292" min="1" max="2"/>
    <col width="36.85546875" customWidth="1" style="292" min="3" max="3"/>
    <col width="36.5703125" customWidth="1" style="292" min="4" max="5"/>
    <col width="17.5703125" customWidth="1" style="292" min="6" max="6"/>
    <col width="18.7109375" customWidth="1" style="292" min="7" max="7"/>
    <col width="9.140625" customWidth="1" style="292" min="8" max="8"/>
  </cols>
  <sheetData>
    <row r="3">
      <c r="B3" s="328" t="inlineStr">
        <is>
          <t>Приложение № 1</t>
        </is>
      </c>
    </row>
    <row r="4">
      <c r="B4" s="329" t="inlineStr">
        <is>
          <t>Сравнительная таблица отбора объекта-представителя</t>
        </is>
      </c>
    </row>
    <row r="5">
      <c r="B5" s="165" t="n"/>
      <c r="C5" s="165" t="n"/>
      <c r="D5" s="165" t="n"/>
      <c r="E5" s="165" t="n"/>
    </row>
    <row r="6">
      <c r="B6" s="165" t="n"/>
      <c r="C6" s="165" t="n"/>
      <c r="D6" s="165" t="n"/>
      <c r="E6" s="165" t="n"/>
    </row>
    <row r="7">
      <c r="B7" s="330" t="inlineStr">
        <is>
          <t>Наименование разрабатываемого показателя УНЦ — Комплекс систем безопасности ПС. Шкаф ЦК системы видеонаблюдения</t>
        </is>
      </c>
    </row>
    <row r="8" ht="31.5" customHeight="1" s="290">
      <c r="B8" s="331" t="inlineStr">
        <is>
          <t>Сопоставимый уровень цен: 3 кв 2017</t>
        </is>
      </c>
    </row>
    <row r="9">
      <c r="B9" s="331" t="inlineStr">
        <is>
          <t>Единица измерения  — 1 ед.</t>
        </is>
      </c>
    </row>
    <row r="10">
      <c r="B10" s="331" t="n"/>
    </row>
    <row r="11">
      <c r="B11" s="336" t="inlineStr">
        <is>
          <t>№ п/п</t>
        </is>
      </c>
      <c r="C11" s="336" t="inlineStr">
        <is>
          <t>Параметр</t>
        </is>
      </c>
      <c r="D11" s="304" t="inlineStr">
        <is>
          <t>Объект-представитель 1</t>
        </is>
      </c>
      <c r="E11" s="304" t="inlineStr">
        <is>
          <t>Объект-представитель 2</t>
        </is>
      </c>
    </row>
    <row r="12" ht="157.5" customHeight="1" s="290">
      <c r="B12" s="336" t="n">
        <v>1</v>
      </c>
      <c r="C12" s="304" t="inlineStr">
        <is>
          <t>Наименование объекта-представителя</t>
        </is>
      </c>
      <c r="D12" s="336" t="inlineStr">
        <is>
          <t>ПС 220 кВ Звезда с заходами ВЛ 220 кВ Береговая-2-Перевал. Корректировка</t>
        </is>
      </c>
      <c r="E12" s="336" t="inlineStr">
        <is>
          <t>Строительство ПС 220кВ Восточный НХК трансформаторной мощностью 500 МВА(2х250 МВА), строительство двух одноцепных ВЛ 220 кВ Лозовая - Восточный НХК № 1, 2 ориентировочной протяженностью 30 км каждая с расширением ПС 500 кВ Лозовая на две линейные ячейки 220 кВ.</t>
        </is>
      </c>
    </row>
    <row r="13" ht="31.5" customHeight="1" s="290">
      <c r="B13" s="336" t="n">
        <v>2</v>
      </c>
      <c r="C13" s="304" t="inlineStr">
        <is>
          <t>Наименование субъекта Российской Федерации</t>
        </is>
      </c>
      <c r="D13" s="336" t="inlineStr">
        <is>
          <t>Приморский край</t>
        </is>
      </c>
      <c r="E13" s="336" t="inlineStr">
        <is>
          <t>Приморский край</t>
        </is>
      </c>
    </row>
    <row r="14">
      <c r="B14" s="336" t="n">
        <v>3</v>
      </c>
      <c r="C14" s="304" t="inlineStr">
        <is>
          <t>Климатический район и подрайон</t>
        </is>
      </c>
      <c r="D14" s="336" t="inlineStr">
        <is>
          <t>IIг</t>
        </is>
      </c>
      <c r="E14" s="336" t="inlineStr">
        <is>
          <t>IIг</t>
        </is>
      </c>
    </row>
    <row r="15">
      <c r="B15" s="336" t="n">
        <v>4</v>
      </c>
      <c r="C15" s="304" t="inlineStr">
        <is>
          <t>Мощность объекта</t>
        </is>
      </c>
      <c r="D15" s="336" t="n">
        <v>1</v>
      </c>
      <c r="E15" s="336" t="n">
        <v>1</v>
      </c>
    </row>
    <row r="16" ht="94.5" customHeight="1" s="290">
      <c r="B16" s="336" t="n">
        <v>5</v>
      </c>
      <c r="C16" s="16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6" t="inlineStr">
        <is>
          <t xml:space="preserve">Шкаф управления ТК - 1 комплект
ШГП ТВК - 1 комплект
</t>
        </is>
      </c>
      <c r="E16" s="336" t="inlineStr">
        <is>
          <t xml:space="preserve">Шкаф управления ТК - 1 комплект
ШГП ТВК - 1 комплект
</t>
        </is>
      </c>
    </row>
    <row r="17" ht="78.75" customHeight="1" s="290">
      <c r="B17" s="336" t="n">
        <v>6</v>
      </c>
      <c r="C17" s="16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0">
        <f>SUM(D18:D21)</f>
        <v/>
      </c>
      <c r="E17" s="170">
        <f>SUM(E18:E21)</f>
        <v/>
      </c>
    </row>
    <row r="18">
      <c r="B18" s="171" t="inlineStr">
        <is>
          <t>6.1</t>
        </is>
      </c>
      <c r="C18" s="304" t="inlineStr">
        <is>
          <t>строительно-монтажные работы</t>
        </is>
      </c>
      <c r="D18" s="170" t="n">
        <v>75.012</v>
      </c>
      <c r="E18" s="170" t="n">
        <v>177.17083</v>
      </c>
    </row>
    <row r="19" ht="15.75" customHeight="1" s="290">
      <c r="B19" s="171" t="inlineStr">
        <is>
          <t>6.2</t>
        </is>
      </c>
      <c r="C19" s="304" t="inlineStr">
        <is>
          <t>оборудование и инвентарь</t>
        </is>
      </c>
      <c r="D19" s="170" t="n">
        <v>5174.8103</v>
      </c>
      <c r="E19" s="170" t="n">
        <v>1048.1925</v>
      </c>
    </row>
    <row r="20" ht="16.5" customHeight="1" s="290">
      <c r="B20" s="171" t="inlineStr">
        <is>
          <t>6.3</t>
        </is>
      </c>
      <c r="C20" s="304" t="inlineStr">
        <is>
          <t>пусконаладочные работы</t>
        </is>
      </c>
      <c r="D20" s="170">
        <f>D19/(146205.12*4.28)*4057.67*11.1</f>
        <v/>
      </c>
      <c r="E20" s="170">
        <f>E19/(127854.09*4.37)*7159.83*11.66</f>
        <v/>
      </c>
      <c r="G20" s="172" t="n"/>
    </row>
    <row r="21" ht="35.25" customHeight="1" s="290">
      <c r="B21" s="171" t="inlineStr">
        <is>
          <t>6.4</t>
        </is>
      </c>
      <c r="C21" s="173" t="inlineStr">
        <is>
          <t>прочие и лимитированные затраты</t>
        </is>
      </c>
      <c r="D21" s="170">
        <f>D18*3.9%+(D18+D18*3.9%)*3.2%</f>
        <v/>
      </c>
      <c r="E21" s="170">
        <f>E18*3.9%+(E18+E18*3.9%)*3.2%*1*1.05</f>
        <v/>
      </c>
    </row>
    <row r="22">
      <c r="B22" s="336" t="n">
        <v>7</v>
      </c>
      <c r="C22" s="173" t="inlineStr">
        <is>
          <t>Сопоставимый уровень цен</t>
        </is>
      </c>
      <c r="D22" s="336" t="inlineStr">
        <is>
          <t>3 кв 2017</t>
        </is>
      </c>
      <c r="E22" s="336" t="inlineStr">
        <is>
          <t>3 кв 2017</t>
        </is>
      </c>
    </row>
    <row r="23" ht="123" customHeight="1" s="290">
      <c r="B23" s="336" t="n">
        <v>8</v>
      </c>
      <c r="C23" s="17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0">
        <f>D17</f>
        <v/>
      </c>
      <c r="E23" s="170">
        <f>E17</f>
        <v/>
      </c>
    </row>
    <row r="24" ht="51" customHeight="1" s="290">
      <c r="B24" s="336" t="n">
        <v>9</v>
      </c>
      <c r="C24" s="169" t="inlineStr">
        <is>
          <t>Приведенная сметная стоимость на единицу мощности, тыс. руб. (строка 8/строку 4)</t>
        </is>
      </c>
      <c r="D24" s="170">
        <f>D23/D15</f>
        <v/>
      </c>
      <c r="E24" s="170">
        <f>E23/E15</f>
        <v/>
      </c>
    </row>
    <row r="25" ht="110.25" customHeight="1" s="290">
      <c r="B25" s="336" t="n">
        <v>10</v>
      </c>
      <c r="C25" s="304" t="inlineStr">
        <is>
          <t>Примечание</t>
        </is>
      </c>
      <c r="D25" s="336" t="n"/>
      <c r="E25" s="336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 
Рекомендуемая расчетная единица  УНЦ - 1 ед.</t>
        </is>
      </c>
    </row>
    <row r="26">
      <c r="B26" s="175" t="n"/>
      <c r="C26" s="176" t="n"/>
      <c r="D26" s="176" t="n"/>
      <c r="E26" s="176" t="n"/>
    </row>
    <row r="27">
      <c r="B27" s="177" t="n"/>
    </row>
    <row r="28">
      <c r="B28" s="292" t="inlineStr">
        <is>
          <t>Составил ______________________        Д.Ю. Нефедова</t>
        </is>
      </c>
    </row>
    <row r="29">
      <c r="B29" s="177" t="inlineStr">
        <is>
          <t xml:space="preserve">                         (подпись, инициалы, фамилия)</t>
        </is>
      </c>
    </row>
    <row r="31">
      <c r="B31" s="292" t="inlineStr">
        <is>
          <t>Проверил ______________________        А.В. Костянецкая</t>
        </is>
      </c>
    </row>
    <row r="32">
      <c r="B32" s="177" t="inlineStr">
        <is>
          <t xml:space="preserve">                        (подпись, инициалы, фамилия)</t>
        </is>
      </c>
    </row>
  </sheetData>
  <mergeCells count="5">
    <mergeCell ref="B9:E9"/>
    <mergeCell ref="B8:E8"/>
    <mergeCell ref="B4:E4"/>
    <mergeCell ref="B7:E7"/>
    <mergeCell ref="B3:E3"/>
  </mergeCells>
  <pageMargins left="0.7" right="0.7" top="0.75" bottom="0.75" header="0.3" footer="0.3"/>
  <pageSetup orientation="portrait" paperSize="9" scale="68" fitToHeight="0"/>
</worksheet>
</file>

<file path=xl/worksheets/sheet2.xml><?xml version="1.0" encoding="utf-8"?>
<worksheet xmlns="http://schemas.openxmlformats.org/spreadsheetml/2006/main">
  <sheetPr codeName="Лист5">
    <outlinePr summaryBelow="1" summaryRight="1"/>
    <pageSetUpPr/>
  </sheetPr>
  <dimension ref="B3:L33"/>
  <sheetViews>
    <sheetView view="pageBreakPreview" zoomScale="70" zoomScaleNormal="70" workbookViewId="0">
      <selection activeCell="C29" sqref="C29"/>
    </sheetView>
  </sheetViews>
  <sheetFormatPr baseColWidth="8" defaultColWidth="9.140625" defaultRowHeight="15.75"/>
  <cols>
    <col width="5.5703125" customWidth="1" style="292" min="1" max="1"/>
    <col width="9.140625" customWidth="1" style="292" min="2" max="2"/>
    <col width="35.28515625" customWidth="1" style="292" min="3" max="3"/>
    <col width="13.85546875" customWidth="1" style="292" min="4" max="4"/>
    <col width="24.85546875" customWidth="1" style="292" min="5" max="5"/>
    <col width="15.5703125" customWidth="1" style="292" min="6" max="6"/>
    <col width="14.85546875" customWidth="1" style="292" min="7" max="7"/>
    <col width="16.7109375" customWidth="1" style="292" min="8" max="8"/>
    <col width="13" customWidth="1" style="292" min="9" max="10"/>
    <col width="18" customWidth="1" style="292" min="11" max="11"/>
    <col width="9.140625" customWidth="1" style="292" min="12" max="12"/>
  </cols>
  <sheetData>
    <row r="3">
      <c r="B3" s="328" t="inlineStr">
        <is>
          <t>Приложение № 2</t>
        </is>
      </c>
      <c r="K3" s="177" t="n"/>
    </row>
    <row r="4">
      <c r="B4" s="329" t="inlineStr">
        <is>
          <t>Расчет стоимости основных видов работ для выбора объекта-представителя</t>
        </is>
      </c>
    </row>
    <row r="5">
      <c r="B5" s="165" t="n"/>
      <c r="C5" s="165" t="n"/>
      <c r="D5" s="165" t="n"/>
      <c r="E5" s="165" t="n"/>
      <c r="F5" s="165" t="n"/>
      <c r="G5" s="165" t="n"/>
      <c r="H5" s="165" t="n"/>
      <c r="I5" s="165" t="n"/>
      <c r="J5" s="165" t="n"/>
      <c r="K5" s="165" t="n"/>
    </row>
    <row r="6" ht="15.75" customHeight="1" s="290">
      <c r="B6" s="341" t="inlineStr">
        <is>
          <t>Наименование разрабатываемого показателя УНЦ —  Комплекс систем безопасности ПС. Шкаф ЦК системы видеонаблюдения</t>
        </is>
      </c>
      <c r="K6" s="177" t="n"/>
      <c r="L6" s="178" t="n"/>
    </row>
    <row r="7">
      <c r="B7" s="331" t="inlineStr">
        <is>
          <t>Единица измерения  — 1 ед.</t>
        </is>
      </c>
      <c r="L7" s="178" t="n"/>
    </row>
    <row r="8">
      <c r="B8" s="331" t="n"/>
    </row>
    <row r="9" ht="15.75" customHeight="1" s="290">
      <c r="B9" s="336" t="inlineStr">
        <is>
          <t>№ п/п</t>
        </is>
      </c>
      <c r="C9" s="3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6" t="inlineStr">
        <is>
          <t>Объект-представитель 1</t>
        </is>
      </c>
      <c r="E9" s="420" t="n"/>
      <c r="F9" s="420" t="n"/>
      <c r="G9" s="420" t="n"/>
      <c r="H9" s="420" t="n"/>
      <c r="I9" s="420" t="n"/>
      <c r="J9" s="421" t="n"/>
    </row>
    <row r="10" ht="15.75" customHeight="1" s="290">
      <c r="B10" s="422" t="n"/>
      <c r="C10" s="422" t="n"/>
      <c r="D10" s="336" t="inlineStr">
        <is>
          <t>Номер сметы</t>
        </is>
      </c>
      <c r="E10" s="336" t="inlineStr">
        <is>
          <t>Наименование сметы</t>
        </is>
      </c>
      <c r="F10" s="336" t="inlineStr">
        <is>
          <t>Сметная стоимость в уровне цен 3 кв. 2016 г., тыс. руб.</t>
        </is>
      </c>
      <c r="G10" s="420" t="n"/>
      <c r="H10" s="420" t="n"/>
      <c r="I10" s="420" t="n"/>
      <c r="J10" s="421" t="n"/>
    </row>
    <row r="11" ht="31.5" customHeight="1" s="290">
      <c r="B11" s="423" t="n"/>
      <c r="C11" s="423" t="n"/>
      <c r="D11" s="423" t="n"/>
      <c r="E11" s="423" t="n"/>
      <c r="F11" s="336" t="inlineStr">
        <is>
          <t>Строительные работы</t>
        </is>
      </c>
      <c r="G11" s="336" t="inlineStr">
        <is>
          <t>Монтажные работы</t>
        </is>
      </c>
      <c r="H11" s="336" t="inlineStr">
        <is>
          <t>Оборудование</t>
        </is>
      </c>
      <c r="I11" s="336" t="inlineStr">
        <is>
          <t>Прочее</t>
        </is>
      </c>
      <c r="J11" s="336" t="inlineStr">
        <is>
          <t>Всего</t>
        </is>
      </c>
    </row>
    <row r="12" ht="47.25" customHeight="1" s="290">
      <c r="B12" s="337" t="n">
        <v>1</v>
      </c>
      <c r="C12" s="309" t="inlineStr">
        <is>
          <t>Шкаф управления ТК - 1 комплект
ШГП ТВК - 1 комплект</t>
        </is>
      </c>
      <c r="D12" s="275" t="inlineStr">
        <is>
          <t>05-01-05</t>
        </is>
      </c>
      <c r="E12" s="299" t="inlineStr">
        <is>
          <t>КСТСБ. Система охранного телевидения ПС 220 кВ Звезда</t>
        </is>
      </c>
      <c r="F12" s="179" t="n"/>
      <c r="G12" s="179" t="n">
        <v>75.012</v>
      </c>
      <c r="H12" s="179" t="n">
        <v>5174.8103</v>
      </c>
      <c r="I12" s="180" t="n"/>
      <c r="J12" s="181">
        <f>SUM(F12:I12)</f>
        <v/>
      </c>
    </row>
    <row r="13" ht="15.75" customHeight="1" s="290">
      <c r="B13" s="335" t="inlineStr">
        <is>
          <t>Всего по объекту:</t>
        </is>
      </c>
      <c r="C13" s="420" t="n"/>
      <c r="D13" s="420" t="n"/>
      <c r="E13" s="421" t="n"/>
      <c r="F13" s="182">
        <f>SUM(F12:F12)</f>
        <v/>
      </c>
      <c r="G13" s="182">
        <f>SUM(G12:G12)</f>
        <v/>
      </c>
      <c r="H13" s="182">
        <f>SUM(H12:H12)</f>
        <v/>
      </c>
      <c r="I13" s="316" t="n"/>
      <c r="J13" s="184">
        <f>SUM(F13:I13)</f>
        <v/>
      </c>
    </row>
    <row r="14" ht="28.5" customHeight="1" s="290">
      <c r="B14" s="335" t="inlineStr">
        <is>
          <t>Всего по объекту в сопоставимом уровне цен 3 кв. 2016 г:</t>
        </is>
      </c>
      <c r="C14" s="420" t="n"/>
      <c r="D14" s="420" t="n"/>
      <c r="E14" s="421" t="n"/>
      <c r="F14" s="182">
        <f>F13</f>
        <v/>
      </c>
      <c r="G14" s="182">
        <f>G13</f>
        <v/>
      </c>
      <c r="H14" s="182">
        <f>H13</f>
        <v/>
      </c>
      <c r="I14" s="316" t="n"/>
      <c r="J14" s="184">
        <f>SUM(F14:I14)</f>
        <v/>
      </c>
    </row>
    <row r="15">
      <c r="B15" s="331" t="n"/>
    </row>
    <row r="16">
      <c r="B16" s="336" t="inlineStr">
        <is>
          <t>№ п/п</t>
        </is>
      </c>
      <c r="C16" s="3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6" s="336" t="inlineStr">
        <is>
          <t>Объект-представитель 2</t>
        </is>
      </c>
      <c r="E16" s="420" t="n"/>
      <c r="F16" s="420" t="n"/>
      <c r="G16" s="420" t="n"/>
      <c r="H16" s="420" t="n"/>
      <c r="I16" s="420" t="n"/>
      <c r="J16" s="421" t="n"/>
    </row>
    <row r="17" ht="15.75" customHeight="1" s="290">
      <c r="B17" s="422" t="n"/>
      <c r="C17" s="422" t="n"/>
      <c r="D17" s="336" t="inlineStr">
        <is>
          <t>Номер сметы</t>
        </is>
      </c>
      <c r="E17" s="336" t="inlineStr">
        <is>
          <t>Наименование сметы</t>
        </is>
      </c>
      <c r="F17" s="336" t="inlineStr">
        <is>
          <t>Сметная стоимость в уровне цен 3 кв. 2017 г., тыс. руб.</t>
        </is>
      </c>
      <c r="G17" s="420" t="n"/>
      <c r="H17" s="420" t="n"/>
      <c r="I17" s="420" t="n"/>
      <c r="J17" s="421" t="n"/>
    </row>
    <row r="18" ht="31.5" customHeight="1" s="290">
      <c r="B18" s="423" t="n"/>
      <c r="C18" s="423" t="n"/>
      <c r="D18" s="423" t="n"/>
      <c r="E18" s="423" t="n"/>
      <c r="F18" s="336" t="inlineStr">
        <is>
          <t>Строительные работы</t>
        </is>
      </c>
      <c r="G18" s="336" t="inlineStr">
        <is>
          <t>Монтажные работы</t>
        </is>
      </c>
      <c r="H18" s="336" t="inlineStr">
        <is>
          <t>Оборудование</t>
        </is>
      </c>
      <c r="I18" s="336" t="inlineStr">
        <is>
          <t>Прочее</t>
        </is>
      </c>
      <c r="J18" s="336" t="inlineStr">
        <is>
          <t>Всего</t>
        </is>
      </c>
    </row>
    <row r="19" ht="47.25" customHeight="1" s="290">
      <c r="B19" s="293" t="n">
        <v>1</v>
      </c>
      <c r="C19" s="319" t="inlineStr">
        <is>
          <t>Шкаф управления ТК - 1 комплект
ШГП ТВК - 1 комплект</t>
        </is>
      </c>
      <c r="D19" s="275" t="inlineStr">
        <is>
          <t>02-13-02</t>
        </is>
      </c>
      <c r="E19" s="299" t="inlineStr">
        <is>
          <t>Кабельное хозяйство. Контрольный кабедь. ПС 220 кВ ВНХК</t>
        </is>
      </c>
      <c r="F19" s="179" t="n"/>
      <c r="G19" s="179" t="n">
        <v>119.1746</v>
      </c>
      <c r="H19" s="179" t="n"/>
      <c r="I19" s="180" t="n"/>
      <c r="J19" s="181">
        <f>SUM(F19:I19)</f>
        <v/>
      </c>
    </row>
    <row r="20" ht="47.25" customHeight="1" s="290">
      <c r="B20" s="423" t="n"/>
      <c r="C20" s="423" t="n"/>
      <c r="D20" s="275" t="inlineStr">
        <is>
          <t>02-15-02</t>
        </is>
      </c>
      <c r="E20" s="299" t="inlineStr">
        <is>
          <t>Система охранное телевидиния (СОТ, СТТ) ПС 220 кВ ВНХК</t>
        </is>
      </c>
      <c r="F20" s="179" t="n"/>
      <c r="G20" s="179" t="n">
        <v>57.996</v>
      </c>
      <c r="H20" s="179" t="n">
        <v>1048.1925</v>
      </c>
      <c r="I20" s="180" t="n"/>
      <c r="J20" s="181">
        <f>SUM(F20:I20)</f>
        <v/>
      </c>
    </row>
    <row r="21" ht="15.75" customHeight="1" s="290">
      <c r="B21" s="335" t="inlineStr">
        <is>
          <t>Всего по объекту:</t>
        </is>
      </c>
      <c r="C21" s="420" t="n"/>
      <c r="D21" s="420" t="n"/>
      <c r="E21" s="421" t="n"/>
      <c r="F21" s="182">
        <f>SUM(F19:F20)</f>
        <v/>
      </c>
      <c r="G21" s="182">
        <f>SUM(G19:G20)</f>
        <v/>
      </c>
      <c r="H21" s="182">
        <f>SUM(H19:H20)</f>
        <v/>
      </c>
      <c r="I21" s="316" t="n"/>
      <c r="J21" s="184">
        <f>SUM(F21:I21)</f>
        <v/>
      </c>
    </row>
    <row r="22" ht="28.5" customHeight="1" s="290">
      <c r="B22" s="335" t="inlineStr">
        <is>
          <t>Всего по объекту в сопоставимом уровне цен 3 кв. 2017 г:</t>
        </is>
      </c>
      <c r="C22" s="420" t="n"/>
      <c r="D22" s="420" t="n"/>
      <c r="E22" s="421" t="n"/>
      <c r="F22" s="182">
        <f>F21</f>
        <v/>
      </c>
      <c r="G22" s="182">
        <f>G21</f>
        <v/>
      </c>
      <c r="H22" s="182">
        <f>H21</f>
        <v/>
      </c>
      <c r="I22" s="316" t="n"/>
      <c r="J22" s="184">
        <f>SUM(F22:I22)</f>
        <v/>
      </c>
    </row>
    <row r="25">
      <c r="B25" s="347" t="inlineStr">
        <is>
          <t>*</t>
        </is>
      </c>
      <c r="C25" s="292" t="inlineStr">
        <is>
          <t xml:space="preserve"> - стоимость с учетом исключения затрат на корректровку по транспортировке  свыше 30 км.</t>
        </is>
      </c>
    </row>
    <row r="29">
      <c r="B29" s="292" t="inlineStr">
        <is>
          <t>Составил ______________________        Д.Ю. Нефедова</t>
        </is>
      </c>
    </row>
    <row r="30">
      <c r="B30" s="177" t="inlineStr">
        <is>
          <t xml:space="preserve">                         (подпись, инициалы, фамилия)</t>
        </is>
      </c>
    </row>
    <row r="32">
      <c r="B32" s="292" t="inlineStr">
        <is>
          <t>Проверил ______________________        А.В. Костянецкая</t>
        </is>
      </c>
    </row>
    <row r="33">
      <c r="B33" s="177" t="inlineStr">
        <is>
          <t xml:space="preserve">                        (подпись, инициалы, фамилия)</t>
        </is>
      </c>
    </row>
  </sheetData>
  <mergeCells count="22">
    <mergeCell ref="E17:E18"/>
    <mergeCell ref="D9:J9"/>
    <mergeCell ref="F10:J10"/>
    <mergeCell ref="D17:D18"/>
    <mergeCell ref="E10:E11"/>
    <mergeCell ref="B4:K4"/>
    <mergeCell ref="B7:K7"/>
    <mergeCell ref="B16:B18"/>
    <mergeCell ref="B19:B20"/>
    <mergeCell ref="B6:J6"/>
    <mergeCell ref="B22:E22"/>
    <mergeCell ref="F17:J17"/>
    <mergeCell ref="B21:E21"/>
    <mergeCell ref="B14:E14"/>
    <mergeCell ref="C19:C20"/>
    <mergeCell ref="B3:J3"/>
    <mergeCell ref="D10:D11"/>
    <mergeCell ref="B13:E13"/>
    <mergeCell ref="C16:C18"/>
    <mergeCell ref="D16:J16"/>
    <mergeCell ref="B9:B11"/>
    <mergeCell ref="C9:C11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6">
    <outlinePr summaryBelow="1" summaryRight="1"/>
    <pageSetUpPr/>
  </sheetPr>
  <dimension ref="A2:M89"/>
  <sheetViews>
    <sheetView view="pageBreakPreview" topLeftCell="A58" zoomScale="70" workbookViewId="0">
      <selection activeCell="C85" sqref="C85"/>
    </sheetView>
  </sheetViews>
  <sheetFormatPr baseColWidth="8" defaultColWidth="9.140625" defaultRowHeight="15.75"/>
  <cols>
    <col width="9.140625" customWidth="1" style="292" min="1" max="1"/>
    <col width="12.5703125" customWidth="1" style="292" min="2" max="2"/>
    <col width="22.42578125" customWidth="1" style="292" min="3" max="3"/>
    <col width="49.7109375" customWidth="1" style="292" min="4" max="4"/>
    <col width="10.140625" customWidth="1" style="186" min="5" max="5"/>
    <col width="20.7109375" customWidth="1" style="292" min="6" max="6"/>
    <col width="16.140625" customWidth="1" style="292" min="7" max="7"/>
    <col width="16.7109375" customWidth="1" style="292" min="8" max="8"/>
    <col width="9.140625" customWidth="1" style="292" min="9" max="9"/>
    <col width="10.28515625" customWidth="1" style="292" min="10" max="10"/>
    <col width="11.42578125" customWidth="1" style="292" min="11" max="11"/>
    <col width="9.140625" customWidth="1" style="292" min="12" max="12"/>
  </cols>
  <sheetData>
    <row r="2">
      <c r="A2" s="328" t="inlineStr">
        <is>
          <t xml:space="preserve">Приложение № 3 </t>
        </is>
      </c>
    </row>
    <row r="3">
      <c r="A3" s="329" t="inlineStr">
        <is>
          <t>Объектная ресурсная ведомость</t>
        </is>
      </c>
    </row>
    <row r="4">
      <c r="A4" s="331" t="n"/>
    </row>
    <row r="5">
      <c r="A5" s="341" t="inlineStr">
        <is>
          <t>Наименование разрабатываемого показателя УНЦ - Комплекс систем безопасности ПС. Шкаф ЦК системы видеонаблюдения</t>
        </is>
      </c>
    </row>
    <row r="6" s="290">
      <c r="A6" s="341" t="n"/>
      <c r="B6" s="341" t="n"/>
      <c r="C6" s="341" t="n"/>
      <c r="D6" s="341" t="n"/>
      <c r="E6" s="341" t="n"/>
      <c r="F6" s="341" t="n"/>
      <c r="G6" s="341" t="n"/>
      <c r="H6" s="341" t="n"/>
      <c r="I6" s="292" t="n"/>
      <c r="J6" s="292" t="n"/>
      <c r="K6" s="292" t="n"/>
      <c r="L6" s="292" t="n"/>
    </row>
    <row r="7" s="290">
      <c r="A7" s="341" t="n"/>
      <c r="B7" s="341" t="n"/>
      <c r="C7" s="341" t="n"/>
      <c r="D7" s="341" t="n"/>
      <c r="E7" s="341" t="n"/>
      <c r="F7" s="341" t="n"/>
      <c r="G7" s="341" t="n"/>
      <c r="H7" s="341" t="n"/>
      <c r="I7" s="292" t="n"/>
      <c r="J7" s="292" t="n"/>
      <c r="K7" s="292" t="n"/>
      <c r="L7" s="292" t="n"/>
    </row>
    <row r="8">
      <c r="A8" s="341" t="n"/>
      <c r="B8" s="341" t="n"/>
      <c r="C8" s="341" t="n"/>
      <c r="D8" s="341" t="n"/>
      <c r="E8" s="165" t="n"/>
      <c r="F8" s="341" t="n"/>
      <c r="G8" s="341" t="n"/>
      <c r="H8" s="341" t="n"/>
    </row>
    <row r="9" ht="38.25" customHeight="1" s="290">
      <c r="A9" s="336" t="inlineStr">
        <is>
          <t>п/п</t>
        </is>
      </c>
      <c r="B9" s="336" t="inlineStr">
        <is>
          <t>№ЛСР</t>
        </is>
      </c>
      <c r="C9" s="336" t="inlineStr">
        <is>
          <t>Код ресурса</t>
        </is>
      </c>
      <c r="D9" s="336" t="inlineStr">
        <is>
          <t>Наименование ресурса</t>
        </is>
      </c>
      <c r="E9" s="336" t="inlineStr">
        <is>
          <t>Ед. изм.</t>
        </is>
      </c>
      <c r="F9" s="336" t="inlineStr">
        <is>
          <t>Кол-во единиц по данным объекта-представителя</t>
        </is>
      </c>
      <c r="G9" s="336" t="inlineStr">
        <is>
          <t>Сметная стоимость в ценах на 01.01.2000 (руб.)</t>
        </is>
      </c>
      <c r="H9" s="421" t="n"/>
    </row>
    <row r="10" ht="40.5" customHeight="1" s="290">
      <c r="A10" s="423" t="n"/>
      <c r="B10" s="423" t="n"/>
      <c r="C10" s="423" t="n"/>
      <c r="D10" s="423" t="n"/>
      <c r="E10" s="423" t="n"/>
      <c r="F10" s="423" t="n"/>
      <c r="G10" s="336" t="inlineStr">
        <is>
          <t>на ед.изм.</t>
        </is>
      </c>
      <c r="H10" s="336" t="inlineStr">
        <is>
          <t>общая</t>
        </is>
      </c>
    </row>
    <row r="11">
      <c r="A11" s="309" t="n">
        <v>1</v>
      </c>
      <c r="B11" s="309" t="n"/>
      <c r="C11" s="309" t="n">
        <v>2</v>
      </c>
      <c r="D11" s="309" t="inlineStr">
        <is>
          <t>З</t>
        </is>
      </c>
      <c r="E11" s="309" t="n">
        <v>4</v>
      </c>
      <c r="F11" s="309" t="n">
        <v>5</v>
      </c>
      <c r="G11" s="309" t="n">
        <v>6</v>
      </c>
      <c r="H11" s="309" t="n">
        <v>7</v>
      </c>
    </row>
    <row r="12" customFormat="1" s="281">
      <c r="A12" s="342" t="inlineStr">
        <is>
          <t>Затраты труда рабочих</t>
        </is>
      </c>
      <c r="B12" s="420" t="n"/>
      <c r="C12" s="420" t="n"/>
      <c r="D12" s="420" t="n"/>
      <c r="E12" s="421" t="n"/>
      <c r="F12" s="189" t="n">
        <v>343.33</v>
      </c>
      <c r="G12" s="189" t="n"/>
      <c r="H12" s="189">
        <f>SUM(H13:H21)</f>
        <v/>
      </c>
      <c r="I12" s="292" t="n"/>
      <c r="J12" s="292" t="n"/>
      <c r="K12" s="292" t="n"/>
      <c r="L12" s="292" t="n"/>
      <c r="M12" s="292" t="n"/>
    </row>
    <row r="13">
      <c r="A13" s="343" t="n">
        <v>1</v>
      </c>
      <c r="B13" s="192" t="inlineStr">
        <is>
          <t> </t>
        </is>
      </c>
      <c r="C13" s="273" t="inlineStr">
        <is>
          <t>1-3-8</t>
        </is>
      </c>
      <c r="D13" s="344" t="inlineStr">
        <is>
          <t>Затраты труда рабочих (ср 3,8)</t>
        </is>
      </c>
      <c r="E13" s="194" t="inlineStr">
        <is>
          <t>чел.-ч</t>
        </is>
      </c>
      <c r="F13" s="343" t="n">
        <v>122.56</v>
      </c>
      <c r="G13" s="195" t="n">
        <v>9.4</v>
      </c>
      <c r="H13" s="195">
        <f>ROUND(F13*G13,2)</f>
        <v/>
      </c>
    </row>
    <row r="14">
      <c r="A14" s="343" t="n">
        <v>2</v>
      </c>
      <c r="B14" s="192" t="inlineStr">
        <is>
          <t> </t>
        </is>
      </c>
      <c r="C14" s="273" t="inlineStr">
        <is>
          <t>1-4-0</t>
        </is>
      </c>
      <c r="D14" s="344" t="inlineStr">
        <is>
          <t>Затраты труда рабочих (ср 4)</t>
        </is>
      </c>
      <c r="E14" s="194" t="inlineStr">
        <is>
          <t>чел.-ч</t>
        </is>
      </c>
      <c r="F14" s="343" t="n">
        <v>102.63</v>
      </c>
      <c r="G14" s="195" t="n">
        <v>9.619999999999999</v>
      </c>
      <c r="H14" s="195">
        <f>ROUND(F14*G14,2)</f>
        <v/>
      </c>
    </row>
    <row r="15">
      <c r="A15" s="343" t="n">
        <v>3</v>
      </c>
      <c r="B15" s="192" t="inlineStr">
        <is>
          <t> </t>
        </is>
      </c>
      <c r="C15" s="273" t="inlineStr">
        <is>
          <t>1-3-0</t>
        </is>
      </c>
      <c r="D15" s="344" t="inlineStr">
        <is>
          <t>Затраты труда рабочих (ср 3)</t>
        </is>
      </c>
      <c r="E15" s="194" t="inlineStr">
        <is>
          <t>чел.-ч</t>
        </is>
      </c>
      <c r="F15" s="343" t="n">
        <v>58.8</v>
      </c>
      <c r="G15" s="195" t="n">
        <v>8.529999999999999</v>
      </c>
      <c r="H15" s="195">
        <f>ROUND(F15*G15,2)</f>
        <v/>
      </c>
    </row>
    <row r="16">
      <c r="A16" s="343" t="n">
        <v>4</v>
      </c>
      <c r="B16" s="192" t="inlineStr">
        <is>
          <t> </t>
        </is>
      </c>
      <c r="C16" s="273" t="inlineStr">
        <is>
          <t>10-3-1</t>
        </is>
      </c>
      <c r="D16" s="344" t="inlineStr">
        <is>
          <t>Инженер I категории</t>
        </is>
      </c>
      <c r="E16" s="194" t="inlineStr">
        <is>
          <t>чел.-ч</t>
        </is>
      </c>
      <c r="F16" s="343" t="n">
        <v>16</v>
      </c>
      <c r="G16" s="195" t="n">
        <v>15.49</v>
      </c>
      <c r="H16" s="195">
        <f>ROUND(F16*G16,2)</f>
        <v/>
      </c>
    </row>
    <row r="17">
      <c r="A17" s="343" t="n">
        <v>5</v>
      </c>
      <c r="B17" s="192" t="inlineStr">
        <is>
          <t> </t>
        </is>
      </c>
      <c r="C17" s="273" t="inlineStr">
        <is>
          <t>10-3-2</t>
        </is>
      </c>
      <c r="D17" s="344" t="inlineStr">
        <is>
          <t>Инженер II категории</t>
        </is>
      </c>
      <c r="E17" s="194" t="inlineStr">
        <is>
          <t>чел.-ч</t>
        </is>
      </c>
      <c r="F17" s="343" t="n">
        <v>16</v>
      </c>
      <c r="G17" s="195" t="n">
        <v>14.09</v>
      </c>
      <c r="H17" s="195">
        <f>ROUND(F17*G17,2)</f>
        <v/>
      </c>
    </row>
    <row r="18">
      <c r="A18" s="343" t="n">
        <v>6</v>
      </c>
      <c r="B18" s="192" t="inlineStr">
        <is>
          <t> </t>
        </is>
      </c>
      <c r="C18" s="273" t="inlineStr">
        <is>
          <t>1-6-0</t>
        </is>
      </c>
      <c r="D18" s="344" t="inlineStr">
        <is>
          <t>Затраты труда рабочих (ср 6)</t>
        </is>
      </c>
      <c r="E18" s="194" t="inlineStr">
        <is>
          <t>чел.-ч</t>
        </is>
      </c>
      <c r="F18" s="343" t="n">
        <v>8.75</v>
      </c>
      <c r="G18" s="195" t="n">
        <v>12.92</v>
      </c>
      <c r="H18" s="195">
        <f>ROUND(F18*G18,2)</f>
        <v/>
      </c>
    </row>
    <row r="19">
      <c r="A19" s="343" t="n">
        <v>7</v>
      </c>
      <c r="B19" s="192" t="inlineStr">
        <is>
          <t> </t>
        </is>
      </c>
      <c r="C19" s="273" t="inlineStr">
        <is>
          <t>1-5-0</t>
        </is>
      </c>
      <c r="D19" s="344" t="inlineStr">
        <is>
          <t>Затраты труда рабочих (ср 5)</t>
        </is>
      </c>
      <c r="E19" s="194" t="inlineStr">
        <is>
          <t>чел.-ч</t>
        </is>
      </c>
      <c r="F19" s="343" t="n">
        <v>9.300000000000001</v>
      </c>
      <c r="G19" s="195" t="n">
        <v>11.09</v>
      </c>
      <c r="H19" s="195">
        <f>ROUND(F19*G19,2)</f>
        <v/>
      </c>
    </row>
    <row r="20">
      <c r="A20" s="343" t="n">
        <v>8</v>
      </c>
      <c r="B20" s="192" t="inlineStr">
        <is>
          <t> </t>
        </is>
      </c>
      <c r="C20" s="273" t="inlineStr">
        <is>
          <t>1-3-1</t>
        </is>
      </c>
      <c r="D20" s="344" t="inlineStr">
        <is>
          <t>Затраты труда рабочих (ср 3,1)</t>
        </is>
      </c>
      <c r="E20" s="194" t="inlineStr">
        <is>
          <t>чел.-ч</t>
        </is>
      </c>
      <c r="F20" s="343" t="n">
        <v>7.21</v>
      </c>
      <c r="G20" s="195" t="n">
        <v>8.640000000000001</v>
      </c>
      <c r="H20" s="195">
        <f>ROUND(F20*G20,2)</f>
        <v/>
      </c>
    </row>
    <row r="21">
      <c r="A21" s="343" t="n">
        <v>9</v>
      </c>
      <c r="B21" s="192" t="inlineStr">
        <is>
          <t> </t>
        </is>
      </c>
      <c r="C21" s="273" t="inlineStr">
        <is>
          <t>1-4-2</t>
        </is>
      </c>
      <c r="D21" s="344" t="inlineStr">
        <is>
          <t>Затраты труда рабочих (ср 4,2)</t>
        </is>
      </c>
      <c r="E21" s="194" t="inlineStr">
        <is>
          <t>чел.-ч</t>
        </is>
      </c>
      <c r="F21" s="343" t="n">
        <v>2.08</v>
      </c>
      <c r="G21" s="195" t="n">
        <v>9.92</v>
      </c>
      <c r="H21" s="195">
        <f>ROUND(F21*G21,2)</f>
        <v/>
      </c>
    </row>
    <row r="22">
      <c r="A22" s="342" t="inlineStr">
        <is>
          <t>Затраты труда машинистов</t>
        </is>
      </c>
      <c r="B22" s="420" t="n"/>
      <c r="C22" s="420" t="n"/>
      <c r="D22" s="420" t="n"/>
      <c r="E22" s="421" t="n"/>
      <c r="F22" s="342" t="n">
        <v>7.33</v>
      </c>
      <c r="G22" s="189" t="n"/>
      <c r="H22" s="189">
        <f>H23</f>
        <v/>
      </c>
    </row>
    <row r="23">
      <c r="A23" s="343" t="n">
        <v>10</v>
      </c>
      <c r="B23" s="343" t="inlineStr">
        <is>
          <t> </t>
        </is>
      </c>
      <c r="C23" s="319" t="n">
        <v>2</v>
      </c>
      <c r="D23" s="344" t="inlineStr">
        <is>
          <t>Затраты труда машинистов</t>
        </is>
      </c>
      <c r="E23" s="194" t="inlineStr">
        <is>
          <t>чел.-ч</t>
        </is>
      </c>
      <c r="F23" s="343" t="n">
        <v>7.33</v>
      </c>
      <c r="G23" s="195" t="n"/>
      <c r="H23" s="195" t="n">
        <v>77.03</v>
      </c>
    </row>
    <row r="24" customFormat="1" s="281">
      <c r="A24" s="342" t="inlineStr">
        <is>
          <t>Машины и механизмы</t>
        </is>
      </c>
      <c r="B24" s="420" t="n"/>
      <c r="C24" s="420" t="n"/>
      <c r="D24" s="420" t="n"/>
      <c r="E24" s="421" t="n"/>
      <c r="F24" s="342" t="n"/>
      <c r="G24" s="189" t="n"/>
      <c r="H24" s="189">
        <f>SUM(H25:H31)</f>
        <v/>
      </c>
      <c r="I24" s="292" t="n"/>
      <c r="J24" s="292" t="n"/>
      <c r="K24" s="292" t="n"/>
      <c r="L24" s="292" t="n"/>
      <c r="M24" s="292" t="n"/>
    </row>
    <row r="25">
      <c r="A25" s="343" t="n">
        <v>11</v>
      </c>
      <c r="B25" s="343" t="inlineStr">
        <is>
          <t> </t>
        </is>
      </c>
      <c r="C25" s="319" t="inlineStr">
        <is>
          <t>91.06.05-011</t>
        </is>
      </c>
      <c r="D25" s="344" t="inlineStr">
        <is>
          <t>Погрузчики, грузоподъемность 5 т</t>
        </is>
      </c>
      <c r="E25" s="194" t="inlineStr">
        <is>
          <t>маш.час</t>
        </is>
      </c>
      <c r="F25" s="343" t="n">
        <v>5.98</v>
      </c>
      <c r="G25" s="195" t="n">
        <v>89.98999999999999</v>
      </c>
      <c r="H25" s="195">
        <f>ROUND(F25*G25,2)</f>
        <v/>
      </c>
    </row>
    <row r="26" ht="31.5" customFormat="1" customHeight="1" s="281">
      <c r="A26" s="343" t="n">
        <v>12</v>
      </c>
      <c r="B26" s="343" t="inlineStr">
        <is>
          <t> </t>
        </is>
      </c>
      <c r="C26" s="319" t="inlineStr">
        <is>
          <t>91.17.04-233</t>
        </is>
      </c>
      <c r="D26" s="344" t="inlineStr">
        <is>
          <t>Установки для сварки ручной дуговой (постоянного тока)</t>
        </is>
      </c>
      <c r="E26" s="194" t="inlineStr">
        <is>
          <t>маш.час</t>
        </is>
      </c>
      <c r="F26" s="343" t="n">
        <v>19.76</v>
      </c>
      <c r="G26" s="195" t="n">
        <v>8.1</v>
      </c>
      <c r="H26" s="195">
        <f>ROUND(F26*G26,2)</f>
        <v/>
      </c>
      <c r="I26" s="292" t="n"/>
      <c r="J26" s="292" t="n"/>
      <c r="K26" s="292" t="n"/>
      <c r="L26" s="292" t="n"/>
      <c r="M26" s="292" t="n"/>
    </row>
    <row r="27" ht="31.5" customFormat="1" customHeight="1" s="281">
      <c r="A27" s="343" t="n">
        <v>13</v>
      </c>
      <c r="B27" s="343" t="inlineStr">
        <is>
          <t> </t>
        </is>
      </c>
      <c r="C27" s="319" t="inlineStr">
        <is>
          <t>91.05.05-015</t>
        </is>
      </c>
      <c r="D27" s="344" t="inlineStr">
        <is>
          <t>Краны на автомобильном ходу, грузоподъемность 16 т</t>
        </is>
      </c>
      <c r="E27" s="194" t="inlineStr">
        <is>
          <t>маш.час</t>
        </is>
      </c>
      <c r="F27" s="343" t="n">
        <v>0.64</v>
      </c>
      <c r="G27" s="195" t="n">
        <v>115.4</v>
      </c>
      <c r="H27" s="195">
        <f>ROUND(F27*G27,2)</f>
        <v/>
      </c>
      <c r="I27" s="292" t="n"/>
      <c r="J27" s="292" t="n"/>
      <c r="K27" s="292" t="n"/>
      <c r="L27" s="292" t="n"/>
      <c r="M27" s="292" t="n"/>
    </row>
    <row r="28" ht="31.5" customFormat="1" customHeight="1" s="281">
      <c r="A28" s="343" t="n">
        <v>14</v>
      </c>
      <c r="B28" s="343" t="inlineStr">
        <is>
          <t> </t>
        </is>
      </c>
      <c r="C28" s="319" t="inlineStr">
        <is>
          <t>91.14.02-001</t>
        </is>
      </c>
      <c r="D28" s="344" t="inlineStr">
        <is>
          <t>Автомобили бортовые, грузоподъемность до 5 т</t>
        </is>
      </c>
      <c r="E28" s="194" t="inlineStr">
        <is>
          <t>маш.час</t>
        </is>
      </c>
      <c r="F28" s="343" t="n">
        <v>0.71</v>
      </c>
      <c r="G28" s="195" t="n">
        <v>65.70999999999999</v>
      </c>
      <c r="H28" s="195">
        <f>ROUND(F28*G28,2)</f>
        <v/>
      </c>
      <c r="I28" s="292" t="n"/>
      <c r="J28" s="292" t="n"/>
      <c r="K28" s="292" t="n"/>
      <c r="L28" s="292" t="n"/>
      <c r="M28" s="292" t="n"/>
    </row>
    <row r="29" ht="31.5" customFormat="1" customHeight="1" s="281">
      <c r="A29" s="343" t="n">
        <v>15</v>
      </c>
      <c r="B29" s="343" t="inlineStr">
        <is>
          <t> </t>
        </is>
      </c>
      <c r="C29" s="319" t="inlineStr">
        <is>
          <t>91.17.04-194</t>
        </is>
      </c>
      <c r="D29" s="344" t="inlineStr">
        <is>
          <t>Аппараты сварочные для сварки оптических кабелей со скалывателем</t>
        </is>
      </c>
      <c r="E29" s="194" t="inlineStr">
        <is>
          <t>маш.час</t>
        </is>
      </c>
      <c r="F29" s="343" t="n">
        <v>3.68</v>
      </c>
      <c r="G29" s="195" t="n">
        <v>12.14</v>
      </c>
      <c r="H29" s="195">
        <f>ROUND(F29*G29,2)</f>
        <v/>
      </c>
      <c r="I29" s="292" t="n"/>
      <c r="J29" s="292" t="n"/>
      <c r="K29" s="292" t="n"/>
      <c r="L29" s="292" t="n"/>
      <c r="M29" s="292" t="n"/>
    </row>
    <row r="30" customFormat="1" s="281">
      <c r="A30" s="343" t="n">
        <v>16</v>
      </c>
      <c r="B30" s="343" t="inlineStr">
        <is>
          <t> </t>
        </is>
      </c>
      <c r="C30" s="319" t="inlineStr">
        <is>
          <t>91.21.22-341</t>
        </is>
      </c>
      <c r="D30" s="344" t="inlineStr">
        <is>
          <t>Рефлектометры</t>
        </is>
      </c>
      <c r="E30" s="194" t="inlineStr">
        <is>
          <t>маш.час</t>
        </is>
      </c>
      <c r="F30" s="343" t="n">
        <v>2.59</v>
      </c>
      <c r="G30" s="195" t="n">
        <v>10.62</v>
      </c>
      <c r="H30" s="195">
        <f>ROUND(F30*G30,2)</f>
        <v/>
      </c>
      <c r="I30" s="292" t="n"/>
      <c r="J30" s="292" t="n"/>
      <c r="K30" s="292" t="n"/>
      <c r="L30" s="292" t="n"/>
      <c r="M30" s="292" t="n"/>
    </row>
    <row r="31" ht="31.5" customFormat="1" customHeight="1" s="281">
      <c r="A31" s="343" t="n">
        <v>17</v>
      </c>
      <c r="B31" s="343" t="inlineStr">
        <is>
          <t> </t>
        </is>
      </c>
      <c r="C31" s="319" t="inlineStr">
        <is>
          <t>91.06.03-060</t>
        </is>
      </c>
      <c r="D31" s="344" t="inlineStr">
        <is>
          <t>Лебедки электрические тяговым усилием до 5,79 кН (0,59 т)</t>
        </is>
      </c>
      <c r="E31" s="194" t="inlineStr">
        <is>
          <t>маш.час</t>
        </is>
      </c>
      <c r="F31" s="343" t="n">
        <v>4.1</v>
      </c>
      <c r="G31" s="195" t="n">
        <v>1.7</v>
      </c>
      <c r="H31" s="195">
        <f>ROUND(F31*G31,2)</f>
        <v/>
      </c>
      <c r="I31" s="292" t="n"/>
      <c r="J31" s="292" t="n"/>
      <c r="K31" s="292" t="n"/>
      <c r="L31" s="292" t="n"/>
      <c r="M31" s="292" t="n"/>
    </row>
    <row r="32">
      <c r="A32" s="342" t="inlineStr">
        <is>
          <t>Оборудование</t>
        </is>
      </c>
      <c r="B32" s="420" t="n"/>
      <c r="C32" s="420" t="n"/>
      <c r="D32" s="420" t="n"/>
      <c r="E32" s="421" t="n"/>
      <c r="F32" s="342" t="n"/>
      <c r="G32" s="189" t="n"/>
      <c r="H32" s="189">
        <f>SUM(H33:H48)</f>
        <v/>
      </c>
    </row>
    <row r="33" customFormat="1" s="281">
      <c r="A33" s="343" t="n">
        <v>18</v>
      </c>
      <c r="B33" s="343" t="inlineStr">
        <is>
          <t> </t>
        </is>
      </c>
      <c r="C33" s="319" t="inlineStr">
        <is>
          <t>61.3.05.04-0002</t>
        </is>
      </c>
      <c r="D33" s="344" t="inlineStr">
        <is>
          <t>Сервер HP ProLiant DL360</t>
        </is>
      </c>
      <c r="E33" s="194" t="inlineStr">
        <is>
          <t>компл</t>
        </is>
      </c>
      <c r="F33" s="343" t="n">
        <v>1</v>
      </c>
      <c r="G33" s="195" t="n">
        <v>167692.96</v>
      </c>
      <c r="H33" s="195">
        <f>ROUND(F33*G33,2)</f>
        <v/>
      </c>
      <c r="I33" s="292" t="n"/>
      <c r="J33" s="292" t="n"/>
      <c r="K33" s="292" t="n"/>
      <c r="L33" s="292" t="n"/>
      <c r="M33" s="292" t="n"/>
    </row>
    <row r="34" ht="31.5" customFormat="1" customHeight="1" s="281">
      <c r="A34" s="343" t="n">
        <v>19</v>
      </c>
      <c r="B34" s="343" t="inlineStr">
        <is>
          <t> </t>
        </is>
      </c>
      <c r="C34" s="319" t="inlineStr">
        <is>
          <t>62.4.02.01-0047</t>
        </is>
      </c>
      <c r="D34" s="344" t="inlineStr">
        <is>
          <t>Источник бесперебойного питания: APC SMART-UPS RT 4000VA RM/230</t>
        </is>
      </c>
      <c r="E34" s="194" t="inlineStr">
        <is>
          <t>шт</t>
        </is>
      </c>
      <c r="F34" s="343" t="n">
        <v>3</v>
      </c>
      <c r="G34" s="195" t="n">
        <v>16999.43</v>
      </c>
      <c r="H34" s="195">
        <f>ROUND(F34*G34,2)</f>
        <v/>
      </c>
      <c r="I34" s="292" t="n"/>
      <c r="J34" s="292" t="n"/>
      <c r="K34" s="292" t="n"/>
      <c r="L34" s="292" t="n"/>
      <c r="M34" s="292" t="n"/>
    </row>
    <row r="35" ht="47.25" customFormat="1" customHeight="1" s="281">
      <c r="A35" s="343" t="n">
        <v>20</v>
      </c>
      <c r="B35" s="343" t="inlineStr">
        <is>
          <t> </t>
        </is>
      </c>
      <c r="C35" s="319" t="inlineStr">
        <is>
          <t>61.3.01.02-0031</t>
        </is>
      </c>
      <c r="D35" s="344" t="inlineStr">
        <is>
          <t>Видеорегистратор 8-ми канальный DVR-630-08A200 с комплектом расширения хранилища на 2 ТБ DVR XS200-A</t>
        </is>
      </c>
      <c r="E35" s="194" t="inlineStr">
        <is>
          <t>компл</t>
        </is>
      </c>
      <c r="F35" s="343" t="n">
        <v>1</v>
      </c>
      <c r="G35" s="195" t="n">
        <v>43171.35</v>
      </c>
      <c r="H35" s="195">
        <f>ROUND(F35*G35,2)</f>
        <v/>
      </c>
      <c r="I35" s="292" t="n"/>
      <c r="J35" s="292" t="n"/>
      <c r="K35" s="292" t="n"/>
      <c r="L35" s="292" t="n"/>
      <c r="M35" s="292" t="n"/>
    </row>
    <row r="36" ht="31.5" customFormat="1" customHeight="1" s="281">
      <c r="A36" s="343" t="n">
        <v>21</v>
      </c>
      <c r="B36" s="343" t="inlineStr">
        <is>
          <t> </t>
        </is>
      </c>
      <c r="C36" s="319" t="inlineStr">
        <is>
          <t>61.2.07.05-0067</t>
        </is>
      </c>
      <c r="D36" s="344" t="inlineStr">
        <is>
          <t>Модуль центральный ECB с Ethernet интерфейсом</t>
        </is>
      </c>
      <c r="E36" s="194" t="inlineStr">
        <is>
          <t>шт</t>
        </is>
      </c>
      <c r="F36" s="343" t="n">
        <v>1</v>
      </c>
      <c r="G36" s="195" t="n">
        <v>37158.83</v>
      </c>
      <c r="H36" s="195">
        <f>ROUND(F36*G36,2)</f>
        <v/>
      </c>
      <c r="I36" s="292" t="n"/>
      <c r="J36" s="292" t="n"/>
      <c r="K36" s="292" t="n"/>
      <c r="L36" s="292" t="n"/>
      <c r="M36" s="292" t="n"/>
    </row>
    <row r="37" ht="47.25" customFormat="1" customHeight="1" s="281">
      <c r="A37" s="343" t="n">
        <v>22</v>
      </c>
      <c r="B37" s="343" t="inlineStr">
        <is>
          <t> </t>
        </is>
      </c>
      <c r="C37" s="319" t="inlineStr">
        <is>
          <t>62.4.02.01-0048</t>
        </is>
      </c>
      <c r="D37" s="344" t="inlineStr">
        <is>
          <t>Источники бесперебойного питания, полная выходная мощность 15 кВА, номинальное входное напряжение 230 В</t>
        </is>
      </c>
      <c r="E37" s="194" t="inlineStr">
        <is>
          <t>шт</t>
        </is>
      </c>
      <c r="F37" s="343" t="n">
        <v>1</v>
      </c>
      <c r="G37" s="195" t="n">
        <v>35055.62</v>
      </c>
      <c r="H37" s="195">
        <f>ROUND(F37*G37,2)</f>
        <v/>
      </c>
      <c r="I37" s="292" t="n"/>
      <c r="J37" s="292" t="n"/>
      <c r="K37" s="292" t="n"/>
      <c r="L37" s="292" t="n"/>
      <c r="M37" s="292" t="n"/>
    </row>
    <row r="38" ht="31.5" customFormat="1" customHeight="1" s="281">
      <c r="A38" s="343" t="n">
        <v>23</v>
      </c>
      <c r="B38" s="343" t="inlineStr">
        <is>
          <t> </t>
        </is>
      </c>
      <c r="C38" s="319" t="inlineStr">
        <is>
          <t>61.2.07.05-0050</t>
        </is>
      </c>
      <c r="D38" s="344" t="inlineStr">
        <is>
          <t>Модуль расширения внешний IPO 500 EXP MOD PHONE 30</t>
        </is>
      </c>
      <c r="E38" s="194" t="inlineStr">
        <is>
          <t>щт</t>
        </is>
      </c>
      <c r="F38" s="343" t="n">
        <v>1</v>
      </c>
      <c r="G38" s="195" t="n">
        <v>11831</v>
      </c>
      <c r="H38" s="195">
        <f>ROUND(F38*G38,2)</f>
        <v/>
      </c>
      <c r="I38" s="292" t="n"/>
      <c r="J38" s="292" t="n"/>
      <c r="K38" s="292" t="n"/>
      <c r="L38" s="292" t="n"/>
      <c r="M38" s="292" t="n"/>
    </row>
    <row r="39" ht="31.5" customFormat="1" customHeight="1" s="281">
      <c r="A39" s="343" t="n">
        <v>24</v>
      </c>
      <c r="B39" s="343" t="inlineStr">
        <is>
          <t> </t>
        </is>
      </c>
      <c r="C39" s="319" t="inlineStr">
        <is>
          <t>61.2.07.05-0050</t>
        </is>
      </c>
      <c r="D39" s="344" t="inlineStr">
        <is>
          <t>Модуль расширения внешний IPO 500 EXP MOD PHONE 30</t>
        </is>
      </c>
      <c r="E39" s="194" t="inlineStr">
        <is>
          <t>шт</t>
        </is>
      </c>
      <c r="F39" s="343" t="n">
        <v>1</v>
      </c>
      <c r="G39" s="195" t="n">
        <v>11831</v>
      </c>
      <c r="H39" s="195">
        <f>ROUND(F39*G39,2)</f>
        <v/>
      </c>
      <c r="I39" s="292" t="n"/>
      <c r="J39" s="292" t="n"/>
      <c r="K39" s="292" t="n"/>
      <c r="L39" s="292" t="n"/>
      <c r="M39" s="292" t="n"/>
    </row>
    <row r="40" ht="31.5" customFormat="1" customHeight="1" s="281">
      <c r="A40" s="343" t="n">
        <v>25</v>
      </c>
      <c r="B40" s="343" t="inlineStr">
        <is>
          <t> </t>
        </is>
      </c>
      <c r="C40" s="319" t="inlineStr">
        <is>
          <t>61.2.07.05-0050</t>
        </is>
      </c>
      <c r="D40" s="344" t="inlineStr">
        <is>
          <t>Модуль расширения внешний IPO 500 EXP MOD PHONE 30</t>
        </is>
      </c>
      <c r="E40" s="194" t="inlineStr">
        <is>
          <t>шт</t>
        </is>
      </c>
      <c r="F40" s="343" t="n">
        <v>1</v>
      </c>
      <c r="G40" s="195" t="n">
        <v>11831</v>
      </c>
      <c r="H40" s="195">
        <f>ROUND(F40*G40,2)</f>
        <v/>
      </c>
      <c r="I40" s="292" t="n"/>
      <c r="J40" s="292" t="n"/>
      <c r="K40" s="292" t="n"/>
      <c r="L40" s="292" t="n"/>
      <c r="M40" s="292" t="n"/>
    </row>
    <row r="41" ht="31.5" customFormat="1" customHeight="1" s="281">
      <c r="A41" s="343" t="n">
        <v>26</v>
      </c>
      <c r="B41" s="343" t="inlineStr">
        <is>
          <t> </t>
        </is>
      </c>
      <c r="C41" s="319" t="inlineStr">
        <is>
          <t>61.2.07.05-0050</t>
        </is>
      </c>
      <c r="D41" s="344" t="inlineStr">
        <is>
          <t>Модуль расширения внешний IPO 500 EXP MOD PHONE 30</t>
        </is>
      </c>
      <c r="E41" s="194" t="inlineStr">
        <is>
          <t>шт</t>
        </is>
      </c>
      <c r="F41" s="343" t="n">
        <v>1</v>
      </c>
      <c r="G41" s="195" t="n">
        <v>11831</v>
      </c>
      <c r="H41" s="195">
        <f>ROUND(F41*G41,2)</f>
        <v/>
      </c>
      <c r="I41" s="292" t="n"/>
      <c r="J41" s="292" t="n"/>
      <c r="K41" s="292" t="n"/>
      <c r="L41" s="292" t="n"/>
      <c r="M41" s="292" t="n"/>
    </row>
    <row r="42" ht="31.5" customFormat="1" customHeight="1" s="281">
      <c r="A42" s="343" t="n">
        <v>27</v>
      </c>
      <c r="B42" s="343" t="inlineStr">
        <is>
          <t> </t>
        </is>
      </c>
      <c r="C42" s="319" t="inlineStr">
        <is>
          <t>61.3.05.02-0002</t>
        </is>
      </c>
      <c r="D42" s="344" t="inlineStr">
        <is>
          <t>Монитор ЖК UML 202-90, диагональ 20 дюймов, расширение 1600x1200 пикселов</t>
        </is>
      </c>
      <c r="E42" s="194" t="inlineStr">
        <is>
          <t>шт</t>
        </is>
      </c>
      <c r="F42" s="343" t="n">
        <v>1</v>
      </c>
      <c r="G42" s="195" t="n">
        <v>11279.02</v>
      </c>
      <c r="H42" s="195">
        <f>ROUND(F42*G42,2)</f>
        <v/>
      </c>
      <c r="I42" s="292" t="n"/>
      <c r="J42" s="292" t="n"/>
      <c r="K42" s="292" t="n"/>
      <c r="L42" s="292" t="n"/>
      <c r="M42" s="292" t="n"/>
    </row>
    <row r="43" ht="31.5" customFormat="1" customHeight="1" s="281">
      <c r="A43" s="343" t="n">
        <v>28</v>
      </c>
      <c r="B43" s="343" t="inlineStr">
        <is>
          <t> </t>
        </is>
      </c>
      <c r="C43" s="319" t="inlineStr">
        <is>
          <t>61.1.04.08-0002</t>
        </is>
      </c>
      <c r="D43" s="344" t="inlineStr">
        <is>
          <t>Шкаф телекоммуникационный, размер 800х800х2080 мм</t>
        </is>
      </c>
      <c r="E43" s="194" t="inlineStr">
        <is>
          <t>шт</t>
        </is>
      </c>
      <c r="F43" s="343" t="n">
        <v>1</v>
      </c>
      <c r="G43" s="195" t="n">
        <v>9392.75</v>
      </c>
      <c r="H43" s="195">
        <f>ROUND(F43*G43,2)</f>
        <v/>
      </c>
      <c r="I43" s="292" t="n"/>
      <c r="J43" s="292" t="n"/>
      <c r="K43" s="292" t="n"/>
      <c r="L43" s="292" t="n"/>
      <c r="M43" s="292" t="n"/>
    </row>
    <row r="44" ht="31.5" customFormat="1" customHeight="1" s="281">
      <c r="A44" s="343" t="n">
        <v>29</v>
      </c>
      <c r="B44" s="343" t="inlineStr">
        <is>
          <t> </t>
        </is>
      </c>
      <c r="C44" s="319" t="inlineStr">
        <is>
          <t>61.1.04.08-0002</t>
        </is>
      </c>
      <c r="D44" s="344" t="inlineStr">
        <is>
          <t>Шкаф телекоммуникационный марки TFL-428080-GMMM-GY размером 800х800х2080 мм</t>
        </is>
      </c>
      <c r="E44" s="194" t="inlineStr">
        <is>
          <t>шт.</t>
        </is>
      </c>
      <c r="F44" s="343" t="n">
        <v>1</v>
      </c>
      <c r="G44" s="195" t="n">
        <v>9392.75</v>
      </c>
      <c r="H44" s="195">
        <f>ROUND(F44*G44,2)</f>
        <v/>
      </c>
      <c r="I44" s="292" t="n"/>
      <c r="J44" s="292" t="n"/>
      <c r="K44" s="292" t="n"/>
      <c r="L44" s="292" t="n"/>
      <c r="M44" s="292" t="n"/>
    </row>
    <row r="45" ht="31.5" customFormat="1" customHeight="1" s="281">
      <c r="A45" s="343" t="n">
        <v>30</v>
      </c>
      <c r="B45" s="343" t="inlineStr">
        <is>
          <t> </t>
        </is>
      </c>
      <c r="C45" s="319" t="inlineStr">
        <is>
          <t>61.2.07.04-0007</t>
        </is>
      </c>
      <c r="D45" s="344" t="inlineStr">
        <is>
          <t>Контроллер сектора охраны с выносной панелью индикации и управления ВПИУ-16</t>
        </is>
      </c>
      <c r="E45" s="194" t="inlineStr">
        <is>
          <t>компл</t>
        </is>
      </c>
      <c r="F45" s="343" t="n">
        <v>1</v>
      </c>
      <c r="G45" s="195" t="n">
        <v>9372.959999999999</v>
      </c>
      <c r="H45" s="195">
        <f>ROUND(F45*G45,2)</f>
        <v/>
      </c>
      <c r="I45" s="292" t="n"/>
      <c r="J45" s="292" t="n"/>
      <c r="K45" s="292" t="n"/>
      <c r="L45" s="292" t="n"/>
      <c r="M45" s="292" t="n"/>
    </row>
    <row r="46" ht="31.5" customFormat="1" customHeight="1" s="281">
      <c r="A46" s="343" t="n">
        <v>31</v>
      </c>
      <c r="B46" s="343" t="inlineStr">
        <is>
          <t> </t>
        </is>
      </c>
      <c r="C46" s="319" t="inlineStr">
        <is>
          <t>61.2.07.05-0056</t>
        </is>
      </c>
      <c r="D46" s="344" t="inlineStr">
        <is>
          <t>Модуль ресурсов IP-телефонии IPO 500 MC VCM на 64 канала</t>
        </is>
      </c>
      <c r="E46" s="194" t="inlineStr">
        <is>
          <t>шт</t>
        </is>
      </c>
      <c r="F46" s="343" t="n">
        <v>2</v>
      </c>
      <c r="G46" s="195" t="n">
        <v>3850.19</v>
      </c>
      <c r="H46" s="195">
        <f>ROUND(F46*G46,2)</f>
        <v/>
      </c>
      <c r="I46" s="292" t="n"/>
      <c r="J46" s="292" t="n"/>
      <c r="K46" s="292" t="n"/>
      <c r="L46" s="292" t="n"/>
      <c r="M46" s="292" t="n"/>
    </row>
    <row r="47" ht="47.25" customFormat="1" customHeight="1" s="281">
      <c r="A47" s="343" t="n">
        <v>32</v>
      </c>
      <c r="B47" s="343" t="inlineStr">
        <is>
          <t> </t>
        </is>
      </c>
      <c r="C47" s="319" t="inlineStr">
        <is>
          <t>61.2.07.05-0011</t>
        </is>
      </c>
      <c r="D47" s="344" t="inlineStr">
        <is>
          <t>Модуль-CD для PAM-60/120/240/360 Inter-M, PAM-CDM для использования в системах оповещения</t>
        </is>
      </c>
      <c r="E47" s="194" t="inlineStr">
        <is>
          <t>шт</t>
        </is>
      </c>
      <c r="F47" s="343" t="n">
        <v>2</v>
      </c>
      <c r="G47" s="195" t="n">
        <v>1983.71</v>
      </c>
      <c r="H47" s="195">
        <f>ROUND(F47*G47,2)</f>
        <v/>
      </c>
      <c r="I47" s="292" t="n"/>
      <c r="J47" s="292" t="n"/>
      <c r="K47" s="292" t="n"/>
      <c r="L47" s="292" t="n"/>
      <c r="M47" s="292" t="n"/>
    </row>
    <row r="48" ht="47.25" customFormat="1" customHeight="1" s="281">
      <c r="A48" s="343" t="n">
        <v>33</v>
      </c>
      <c r="B48" s="343" t="inlineStr">
        <is>
          <t> </t>
        </is>
      </c>
      <c r="C48" s="319" t="inlineStr">
        <is>
          <t>61.3.05.01-0001</t>
        </is>
      </c>
      <c r="D48" s="344" t="inlineStr">
        <is>
          <t>Диск жесткий серверный типа HDD, объем памяти 2000 Гб, буферная память 64 Мб, внешняя скорость передачи данных 300 Мб/с</t>
        </is>
      </c>
      <c r="E48" s="194" t="inlineStr">
        <is>
          <t>шт</t>
        </is>
      </c>
      <c r="F48" s="343" t="n">
        <v>1</v>
      </c>
      <c r="G48" s="195" t="n">
        <v>925.45</v>
      </c>
      <c r="H48" s="195">
        <f>ROUND(F48*G48,2)</f>
        <v/>
      </c>
      <c r="I48" s="292" t="n"/>
      <c r="J48" s="292" t="n"/>
      <c r="K48" s="292" t="n"/>
      <c r="L48" s="292" t="n"/>
      <c r="M48" s="292" t="n"/>
    </row>
    <row r="49">
      <c r="A49" s="342" t="inlineStr">
        <is>
          <t>Материалы</t>
        </is>
      </c>
      <c r="B49" s="420" t="n"/>
      <c r="C49" s="420" t="n"/>
      <c r="D49" s="420" t="n"/>
      <c r="E49" s="421" t="n"/>
      <c r="F49" s="342" t="n"/>
      <c r="G49" s="189" t="n"/>
      <c r="H49" s="189">
        <f>SUM(H50:H82)</f>
        <v/>
      </c>
    </row>
    <row r="50">
      <c r="A50" s="343" t="n">
        <v>34</v>
      </c>
      <c r="B50" s="343" t="inlineStr">
        <is>
          <t> </t>
        </is>
      </c>
      <c r="C50" s="319" t="inlineStr">
        <is>
          <t>21.1.08.03-0693</t>
        </is>
      </c>
      <c r="D50" s="344" t="inlineStr">
        <is>
          <t>Кабель контрольный КВВГЭнг-LS 4х1,5</t>
        </is>
      </c>
      <c r="E50" s="194" t="inlineStr">
        <is>
          <t>1000 м</t>
        </is>
      </c>
      <c r="F50" s="343" t="n">
        <v>0.408</v>
      </c>
      <c r="G50" s="195" t="n">
        <v>8958.610000000001</v>
      </c>
      <c r="H50" s="195">
        <f>ROUND(F50*G50,2)</f>
        <v/>
      </c>
    </row>
    <row r="51">
      <c r="A51" s="343" t="n">
        <v>35</v>
      </c>
      <c r="B51" s="343" t="inlineStr">
        <is>
          <t> </t>
        </is>
      </c>
      <c r="C51" s="319" t="inlineStr">
        <is>
          <t>01.7.03.01-0005</t>
        </is>
      </c>
      <c r="D51" s="344" t="inlineStr">
        <is>
          <t>Вода дистиллированная</t>
        </is>
      </c>
      <c r="E51" s="194" t="inlineStr">
        <is>
          <t>кг</t>
        </is>
      </c>
      <c r="F51" s="343" t="n">
        <v>55.8</v>
      </c>
      <c r="G51" s="195" t="n">
        <v>4.16</v>
      </c>
      <c r="H51" s="195">
        <f>ROUND(F51*G51,2)</f>
        <v/>
      </c>
    </row>
    <row r="52">
      <c r="A52" s="343" t="n">
        <v>36</v>
      </c>
      <c r="B52" s="343" t="inlineStr">
        <is>
          <t> </t>
        </is>
      </c>
      <c r="C52" s="319" t="inlineStr">
        <is>
          <t>01.7.11.07-0034</t>
        </is>
      </c>
      <c r="D52" s="344" t="inlineStr">
        <is>
          <t>Электроды сварочные Э42А, диаметр 4 мм</t>
        </is>
      </c>
      <c r="E52" s="194" t="inlineStr">
        <is>
          <t>кг</t>
        </is>
      </c>
      <c r="F52" s="343" t="n">
        <v>12</v>
      </c>
      <c r="G52" s="195" t="n">
        <v>10.57</v>
      </c>
      <c r="H52" s="195">
        <f>ROUND(F52*G52,2)</f>
        <v/>
      </c>
    </row>
    <row r="53">
      <c r="A53" s="343" t="n">
        <v>37</v>
      </c>
      <c r="B53" s="343" t="inlineStr">
        <is>
          <t> </t>
        </is>
      </c>
      <c r="C53" s="319" t="inlineStr">
        <is>
          <t>01.3.03.05-0002</t>
        </is>
      </c>
      <c r="D53" s="344" t="inlineStr">
        <is>
          <t>Кислота серная аккумуляторная, сорт высший</t>
        </is>
      </c>
      <c r="E53" s="194" t="inlineStr">
        <is>
          <t>т</t>
        </is>
      </c>
      <c r="F53" s="343" t="n">
        <v>0.0186</v>
      </c>
      <c r="G53" s="195" t="n">
        <v>6720</v>
      </c>
      <c r="H53" s="195">
        <f>ROUND(F53*G53,2)</f>
        <v/>
      </c>
    </row>
    <row r="54">
      <c r="A54" s="343" t="n">
        <v>38</v>
      </c>
      <c r="B54" s="343" t="inlineStr">
        <is>
          <t> </t>
        </is>
      </c>
      <c r="C54" s="319" t="inlineStr">
        <is>
          <t>01.7.02.07-0011</t>
        </is>
      </c>
      <c r="D54" s="344" t="inlineStr">
        <is>
          <t>Прессшпан листовой, марка А</t>
        </is>
      </c>
      <c r="E54" s="194" t="inlineStr">
        <is>
          <t>кг</t>
        </is>
      </c>
      <c r="F54" s="343" t="n">
        <v>2.2</v>
      </c>
      <c r="G54" s="195" t="n">
        <v>47.57</v>
      </c>
      <c r="H54" s="195">
        <f>ROUND(F54*G54,2)</f>
        <v/>
      </c>
    </row>
    <row r="55" ht="31.5" customHeight="1" s="290">
      <c r="A55" s="343" t="n">
        <v>39</v>
      </c>
      <c r="B55" s="343" t="inlineStr">
        <is>
          <t> </t>
        </is>
      </c>
      <c r="C55" s="319" t="inlineStr">
        <is>
          <t>11.2.11.05-0002</t>
        </is>
      </c>
      <c r="D55" s="344" t="inlineStr">
        <is>
          <t>Фанера клееная обрезная, сорт В/ВВ, ФК, ФБА, толщина 4 мм</t>
        </is>
      </c>
      <c r="E55" s="194" t="inlineStr">
        <is>
          <t>м3</t>
        </is>
      </c>
      <c r="F55" s="343" t="n">
        <v>0.016</v>
      </c>
      <c r="G55" s="195" t="n">
        <v>4949.4</v>
      </c>
      <c r="H55" s="195">
        <f>ROUND(F55*G55,2)</f>
        <v/>
      </c>
    </row>
    <row r="56" ht="31.5" customHeight="1" s="290">
      <c r="A56" s="343" t="n">
        <v>40</v>
      </c>
      <c r="B56" s="343" t="inlineStr">
        <is>
          <t> </t>
        </is>
      </c>
      <c r="C56" s="319" t="inlineStr">
        <is>
          <t>999-9950</t>
        </is>
      </c>
      <c r="D56" s="344" t="inlineStr">
        <is>
          <t>Вспомогательные ненормируемые ресурсы (2% от Оплаты труда рабочих)</t>
        </is>
      </c>
      <c r="E56" s="194" t="inlineStr">
        <is>
          <t>руб</t>
        </is>
      </c>
      <c r="F56" s="343" t="n">
        <v>68.28</v>
      </c>
      <c r="G56" s="195" t="n">
        <v>1</v>
      </c>
      <c r="H56" s="195">
        <f>ROUND(F56*G56,2)</f>
        <v/>
      </c>
    </row>
    <row r="57">
      <c r="A57" s="343" t="n">
        <v>41</v>
      </c>
      <c r="B57" s="343" t="inlineStr">
        <is>
          <t> </t>
        </is>
      </c>
      <c r="C57" s="319" t="inlineStr">
        <is>
          <t>01.7.15.04-0011</t>
        </is>
      </c>
      <c r="D57" s="344" t="inlineStr">
        <is>
          <t>Винты с полукруглой головкой, длина 50 мм</t>
        </is>
      </c>
      <c r="E57" s="194" t="inlineStr">
        <is>
          <t>т</t>
        </is>
      </c>
      <c r="F57" s="343" t="n">
        <v>0.00232</v>
      </c>
      <c r="G57" s="195" t="n">
        <v>12430</v>
      </c>
      <c r="H57" s="195">
        <f>ROUND(F57*G57,2)</f>
        <v/>
      </c>
    </row>
    <row r="58">
      <c r="A58" s="343" t="n">
        <v>42</v>
      </c>
      <c r="B58" s="343" t="inlineStr">
        <is>
          <t> </t>
        </is>
      </c>
      <c r="C58" s="319" t="inlineStr">
        <is>
          <t>20.2.10.03-0020</t>
        </is>
      </c>
      <c r="D58" s="344" t="inlineStr">
        <is>
          <t>Наконечники кабельные П2.5-4Д-МУ3</t>
        </is>
      </c>
      <c r="E58" s="194" t="inlineStr">
        <is>
          <t>100 шт</t>
        </is>
      </c>
      <c r="F58" s="343" t="n">
        <v>0.1</v>
      </c>
      <c r="G58" s="195" t="n">
        <v>203</v>
      </c>
      <c r="H58" s="195">
        <f>ROUND(F58*G58,2)</f>
        <v/>
      </c>
    </row>
    <row r="59" ht="31.5" customHeight="1" s="290">
      <c r="A59" s="343" t="n">
        <v>43</v>
      </c>
      <c r="B59" s="343" t="inlineStr">
        <is>
          <t> </t>
        </is>
      </c>
      <c r="C59" s="319" t="inlineStr">
        <is>
          <t>01.3.01.07-0009</t>
        </is>
      </c>
      <c r="D59" s="344" t="inlineStr">
        <is>
          <t>Спирт этиловый ректификованный технический, сорт I</t>
        </is>
      </c>
      <c r="E59" s="194" t="inlineStr">
        <is>
          <t>кг</t>
        </is>
      </c>
      <c r="F59" s="343" t="n">
        <v>0.31</v>
      </c>
      <c r="G59" s="195" t="n">
        <v>38.89</v>
      </c>
      <c r="H59" s="195">
        <f>ROUND(F59*G59,2)</f>
        <v/>
      </c>
    </row>
    <row r="60">
      <c r="A60" s="343" t="n">
        <v>44</v>
      </c>
      <c r="B60" s="343" t="inlineStr">
        <is>
          <t> </t>
        </is>
      </c>
      <c r="C60" s="319" t="inlineStr">
        <is>
          <t>14.4.02.09-0001</t>
        </is>
      </c>
      <c r="D60" s="344" t="inlineStr">
        <is>
          <t>Краска</t>
        </is>
      </c>
      <c r="E60" s="194" t="inlineStr">
        <is>
          <t>кг</t>
        </is>
      </c>
      <c r="F60" s="343" t="n">
        <v>0.4</v>
      </c>
      <c r="G60" s="195" t="n">
        <v>28.6</v>
      </c>
      <c r="H60" s="195">
        <f>ROUND(F60*G60,2)</f>
        <v/>
      </c>
    </row>
    <row r="61">
      <c r="A61" s="343" t="n">
        <v>45</v>
      </c>
      <c r="B61" s="343" t="inlineStr">
        <is>
          <t> </t>
        </is>
      </c>
      <c r="C61" s="319" t="inlineStr">
        <is>
          <t>01.7.15.07-0014</t>
        </is>
      </c>
      <c r="D61" s="344" t="inlineStr">
        <is>
          <t>Дюбели распорные полипропиленовые</t>
        </is>
      </c>
      <c r="E61" s="194" t="inlineStr">
        <is>
          <t>100 шт</t>
        </is>
      </c>
      <c r="F61" s="343" t="n">
        <v>0.1</v>
      </c>
      <c r="G61" s="195" t="n">
        <v>86</v>
      </c>
      <c r="H61" s="195">
        <f>ROUND(F61*G61,2)</f>
        <v/>
      </c>
    </row>
    <row r="62" ht="31.5" customHeight="1" s="290">
      <c r="A62" s="343" t="n">
        <v>46</v>
      </c>
      <c r="B62" s="343" t="inlineStr">
        <is>
          <t> </t>
        </is>
      </c>
      <c r="C62" s="319" t="inlineStr">
        <is>
          <t>01.7.15.07-0012</t>
        </is>
      </c>
      <c r="D62" s="344" t="inlineStr">
        <is>
          <t>Дюбели пластмассовые с шурупами, размер 12х70 мм</t>
        </is>
      </c>
      <c r="E62" s="194" t="inlineStr">
        <is>
          <t>100 шт</t>
        </is>
      </c>
      <c r="F62" s="343" t="n">
        <v>0.1</v>
      </c>
      <c r="G62" s="195" t="n">
        <v>83</v>
      </c>
      <c r="H62" s="195">
        <f>ROUND(F62*G62,2)</f>
        <v/>
      </c>
    </row>
    <row r="63">
      <c r="A63" s="343" t="n">
        <v>47</v>
      </c>
      <c r="B63" s="343" t="inlineStr">
        <is>
          <t> </t>
        </is>
      </c>
      <c r="C63" s="319" t="inlineStr">
        <is>
          <t>01.7.20.03-0012</t>
        </is>
      </c>
      <c r="D63" s="344" t="inlineStr">
        <is>
          <t>Мешковина джутовая</t>
        </is>
      </c>
      <c r="E63" s="194" t="inlineStr">
        <is>
          <t>м2</t>
        </is>
      </c>
      <c r="F63" s="343" t="n">
        <v>0.9</v>
      </c>
      <c r="G63" s="195" t="n">
        <v>8.33</v>
      </c>
      <c r="H63" s="195">
        <f>ROUND(F63*G63,2)</f>
        <v/>
      </c>
    </row>
    <row r="64">
      <c r="A64" s="343" t="n">
        <v>48</v>
      </c>
      <c r="B64" s="343" t="inlineStr">
        <is>
          <t> </t>
        </is>
      </c>
      <c r="C64" s="319" t="inlineStr">
        <is>
          <t>21.2.03.09-0101</t>
        </is>
      </c>
      <c r="D64" s="344" t="inlineStr">
        <is>
          <t>Провод силовой АПРН 1х35-660</t>
        </is>
      </c>
      <c r="E64" s="194" t="inlineStr">
        <is>
          <t>1000 м</t>
        </is>
      </c>
      <c r="F64" s="343" t="n">
        <v>0.0007</v>
      </c>
      <c r="G64" s="195" t="n">
        <v>10534.99</v>
      </c>
      <c r="H64" s="195">
        <f>ROUND(F64*G64,2)</f>
        <v/>
      </c>
    </row>
    <row r="65">
      <c r="A65" s="343" t="n">
        <v>49</v>
      </c>
      <c r="B65" s="343" t="inlineStr">
        <is>
          <t> </t>
        </is>
      </c>
      <c r="C65" s="319" t="inlineStr">
        <is>
          <t>10.1.01.02-0011</t>
        </is>
      </c>
      <c r="D65" s="344" t="inlineStr">
        <is>
          <t>Сплавы алюминиевые литейные АК5М2</t>
        </is>
      </c>
      <c r="E65" s="194" t="inlineStr">
        <is>
          <t>т</t>
        </is>
      </c>
      <c r="F65" s="343" t="n">
        <v>0.00015</v>
      </c>
      <c r="G65" s="195" t="n">
        <v>41210</v>
      </c>
      <c r="H65" s="195">
        <f>ROUND(F65*G65,2)</f>
        <v/>
      </c>
    </row>
    <row r="66">
      <c r="A66" s="343" t="n">
        <v>50</v>
      </c>
      <c r="B66" s="343" t="inlineStr">
        <is>
          <t> </t>
        </is>
      </c>
      <c r="C66" s="319" t="inlineStr">
        <is>
          <t>24.3.03.01-0101</t>
        </is>
      </c>
      <c r="D66" s="344" t="inlineStr">
        <is>
          <t>Трубка полиэтиленовая, диаметр 6-10 мм</t>
        </is>
      </c>
      <c r="E66" s="194" t="inlineStr">
        <is>
          <t>10 м</t>
        </is>
      </c>
      <c r="F66" s="343" t="n">
        <v>0.2</v>
      </c>
      <c r="G66" s="195" t="n">
        <v>29.75</v>
      </c>
      <c r="H66" s="195">
        <f>ROUND(F66*G66,2)</f>
        <v/>
      </c>
    </row>
    <row r="67" ht="31.5" customHeight="1" s="290">
      <c r="A67" s="343" t="n">
        <v>51</v>
      </c>
      <c r="B67" s="343" t="inlineStr">
        <is>
          <t> </t>
        </is>
      </c>
      <c r="C67" s="319" t="inlineStr">
        <is>
          <t>10.3.02.03-0012</t>
        </is>
      </c>
      <c r="D67" s="344" t="inlineStr">
        <is>
          <t>Припои оловянно-свинцовые бессурьмянистые, марка ПОС40</t>
        </is>
      </c>
      <c r="E67" s="194" t="inlineStr">
        <is>
          <t>т</t>
        </is>
      </c>
      <c r="F67" s="343" t="n">
        <v>6.3e-05</v>
      </c>
      <c r="G67" s="195" t="n">
        <v>65750</v>
      </c>
      <c r="H67" s="195">
        <f>ROUND(F67*G67,2)</f>
        <v/>
      </c>
    </row>
    <row r="68" ht="31.5" customHeight="1" s="290">
      <c r="A68" s="343" t="n">
        <v>52</v>
      </c>
      <c r="B68" s="343" t="inlineStr">
        <is>
          <t> </t>
        </is>
      </c>
      <c r="C68" s="319" t="inlineStr">
        <is>
          <t>01.7.15.03-0031</t>
        </is>
      </c>
      <c r="D68" s="344" t="inlineStr">
        <is>
          <t>Болты с гайками и шайбами оцинкованные, диаметр 6 мм</t>
        </is>
      </c>
      <c r="E68" s="194" t="inlineStr">
        <is>
          <t>кг</t>
        </is>
      </c>
      <c r="F68" s="343" t="n">
        <v>0.14</v>
      </c>
      <c r="G68" s="195" t="n">
        <v>28.22</v>
      </c>
      <c r="H68" s="195">
        <f>ROUND(F68*G68,2)</f>
        <v/>
      </c>
    </row>
    <row r="69" ht="31.5" customHeight="1" s="290">
      <c r="A69" s="343" t="n">
        <v>53</v>
      </c>
      <c r="B69" s="343" t="inlineStr">
        <is>
          <t> </t>
        </is>
      </c>
      <c r="C69" s="319" t="inlineStr">
        <is>
          <t>10.2.02.08-0001</t>
        </is>
      </c>
      <c r="D69" s="344" t="inlineStr">
        <is>
          <t>Проволока медная, круглая, мягкая, электротехническая, диаметр 1,0-3,0 мм и выше</t>
        </is>
      </c>
      <c r="E69" s="194" t="inlineStr">
        <is>
          <t>т</t>
        </is>
      </c>
      <c r="F69" s="343" t="n">
        <v>0.0001</v>
      </c>
      <c r="G69" s="195" t="n">
        <v>37517</v>
      </c>
      <c r="H69" s="195">
        <f>ROUND(F69*G69,2)</f>
        <v/>
      </c>
    </row>
    <row r="70" ht="31.5" customHeight="1" s="290">
      <c r="A70" s="343" t="n">
        <v>54</v>
      </c>
      <c r="B70" s="343" t="inlineStr">
        <is>
          <t> </t>
        </is>
      </c>
      <c r="C70" s="319" t="inlineStr">
        <is>
          <t>24.3.01.01-0004</t>
        </is>
      </c>
      <c r="D70" s="344" t="inlineStr">
        <is>
          <t>Трубка электроизоляционная ПВХ-305, диаметр 6-10 мм</t>
        </is>
      </c>
      <c r="E70" s="194" t="inlineStr">
        <is>
          <t>кг</t>
        </is>
      </c>
      <c r="F70" s="343" t="n">
        <v>0.08</v>
      </c>
      <c r="G70" s="195" t="n">
        <v>38.34</v>
      </c>
      <c r="H70" s="195">
        <f>ROUND(F70*G70,2)</f>
        <v/>
      </c>
    </row>
    <row r="71">
      <c r="A71" s="343" t="n">
        <v>55</v>
      </c>
      <c r="B71" s="343" t="inlineStr">
        <is>
          <t> </t>
        </is>
      </c>
      <c r="C71" s="319" t="inlineStr">
        <is>
          <t>01.3.05.23-0061</t>
        </is>
      </c>
      <c r="D71" s="344" t="inlineStr">
        <is>
          <t>Натрий едкий марка ТД, технический</t>
        </is>
      </c>
      <c r="E71" s="194" t="inlineStr">
        <is>
          <t>т</t>
        </is>
      </c>
      <c r="F71" s="343" t="n">
        <v>0.00051</v>
      </c>
      <c r="G71" s="195" t="n">
        <v>5850</v>
      </c>
      <c r="H71" s="195">
        <f>ROUND(F71*G71,2)</f>
        <v/>
      </c>
    </row>
    <row r="72">
      <c r="A72" s="343" t="n">
        <v>56</v>
      </c>
      <c r="B72" s="343" t="inlineStr">
        <is>
          <t> </t>
        </is>
      </c>
      <c r="C72" s="319" t="inlineStr">
        <is>
          <t>01.7.15.03-0042</t>
        </is>
      </c>
      <c r="D72" s="344" t="inlineStr">
        <is>
          <t>Болты с гайками и шайбами строительные</t>
        </is>
      </c>
      <c r="E72" s="194" t="inlineStr">
        <is>
          <t>кг</t>
        </is>
      </c>
      <c r="F72" s="343" t="n">
        <v>0.3</v>
      </c>
      <c r="G72" s="195" t="n">
        <v>9.039999999999999</v>
      </c>
      <c r="H72" s="195">
        <f>ROUND(F72*G72,2)</f>
        <v/>
      </c>
    </row>
    <row r="73" ht="47.25" customHeight="1" s="290">
      <c r="A73" s="343" t="n">
        <v>57</v>
      </c>
      <c r="B73" s="343" t="inlineStr">
        <is>
          <t> </t>
        </is>
      </c>
      <c r="C73" s="319" t="inlineStr">
        <is>
          <t>01.7.06.05-0042</t>
        </is>
      </c>
      <c r="D73" s="344" t="inlineStr">
        <is>
          <t>Лента липкая изоляционная на поликасиновом компаунде, ширина 20-30 мм, толщина от 0,14 до 0,19 мм</t>
        </is>
      </c>
      <c r="E73" s="194" t="inlineStr">
        <is>
          <t>кг</t>
        </is>
      </c>
      <c r="F73" s="343" t="n">
        <v>0.02</v>
      </c>
      <c r="G73" s="195" t="n">
        <v>91.29000000000001</v>
      </c>
      <c r="H73" s="195">
        <f>ROUND(F73*G73,2)</f>
        <v/>
      </c>
    </row>
    <row r="74" ht="47.25" customHeight="1" s="290">
      <c r="A74" s="343" t="n">
        <v>58</v>
      </c>
      <c r="B74" s="343" t="inlineStr">
        <is>
          <t> </t>
        </is>
      </c>
      <c r="C74" s="319" t="inlineStr">
        <is>
          <t>11.1.03.06-0013</t>
        </is>
      </c>
      <c r="D74" s="344" t="inlineStr">
        <is>
          <t>Доска обрезная, лиственных пород (береза, липа), длина 2-3,75 м, все ширины, толщина 19-22 мм, сорт IIIа</t>
        </is>
      </c>
      <c r="E74" s="194" t="inlineStr">
        <is>
          <t>м3</t>
        </is>
      </c>
      <c r="F74" s="343" t="n">
        <v>0.002</v>
      </c>
      <c r="G74" s="195" t="n">
        <v>542.1</v>
      </c>
      <c r="H74" s="195">
        <f>ROUND(F74*G74,2)</f>
        <v/>
      </c>
    </row>
    <row r="75">
      <c r="A75" s="343" t="n">
        <v>59</v>
      </c>
      <c r="B75" s="343" t="inlineStr">
        <is>
          <t> </t>
        </is>
      </c>
      <c r="C75" s="319" t="inlineStr">
        <is>
          <t>14.4.03.17-0011</t>
        </is>
      </c>
      <c r="D75" s="344" t="inlineStr">
        <is>
          <t>Лак электроизоляционный 318</t>
        </is>
      </c>
      <c r="E75" s="194" t="inlineStr">
        <is>
          <t>кг</t>
        </is>
      </c>
      <c r="F75" s="343" t="n">
        <v>0.03</v>
      </c>
      <c r="G75" s="195" t="n">
        <v>35.63</v>
      </c>
      <c r="H75" s="195">
        <f>ROUND(F75*G75,2)</f>
        <v/>
      </c>
    </row>
    <row r="76">
      <c r="A76" s="343" t="n">
        <v>60</v>
      </c>
      <c r="B76" s="343" t="inlineStr">
        <is>
          <t> </t>
        </is>
      </c>
      <c r="C76" s="319" t="inlineStr">
        <is>
          <t>14.1.01.01-0003</t>
        </is>
      </c>
      <c r="D76" s="344" t="inlineStr">
        <is>
          <t>Клей столярный сухой</t>
        </is>
      </c>
      <c r="E76" s="194" t="inlineStr">
        <is>
          <t>кг</t>
        </is>
      </c>
      <c r="F76" s="343" t="n">
        <v>0.05</v>
      </c>
      <c r="G76" s="195" t="n">
        <v>16.95</v>
      </c>
      <c r="H76" s="195">
        <f>ROUND(F76*G76,2)</f>
        <v/>
      </c>
    </row>
    <row r="77">
      <c r="A77" s="343" t="n">
        <v>61</v>
      </c>
      <c r="B77" s="343" t="inlineStr">
        <is>
          <t> </t>
        </is>
      </c>
      <c r="C77" s="319" t="inlineStr">
        <is>
          <t>01.7.15.14-0165</t>
        </is>
      </c>
      <c r="D77" s="344" t="inlineStr">
        <is>
          <t>Шурупы с полукруглой головкой 4х40 мм</t>
        </is>
      </c>
      <c r="E77" s="194" t="inlineStr">
        <is>
          <t>т</t>
        </is>
      </c>
      <c r="F77" s="343" t="n">
        <v>4e-05</v>
      </c>
      <c r="G77" s="195" t="n">
        <v>12430</v>
      </c>
      <c r="H77" s="195">
        <f>ROUND(F77*G77,2)</f>
        <v/>
      </c>
    </row>
    <row r="78" ht="31.5" customHeight="1" s="290">
      <c r="A78" s="343" t="n">
        <v>62</v>
      </c>
      <c r="B78" s="343" t="inlineStr">
        <is>
          <t> </t>
        </is>
      </c>
      <c r="C78" s="319" t="inlineStr">
        <is>
          <t>14.3.02.01-0219</t>
        </is>
      </c>
      <c r="D78" s="344" t="inlineStr">
        <is>
          <t>Краска универсальная, акриловая для внутренних и наружных работ</t>
        </is>
      </c>
      <c r="E78" s="194" t="inlineStr">
        <is>
          <t>т</t>
        </is>
      </c>
      <c r="F78" s="343" t="n">
        <v>2e-05</v>
      </c>
      <c r="G78" s="195" t="n">
        <v>15481</v>
      </c>
      <c r="H78" s="195">
        <f>ROUND(F78*G78,2)</f>
        <v/>
      </c>
    </row>
    <row r="79">
      <c r="A79" s="343" t="n">
        <v>63</v>
      </c>
      <c r="B79" s="343" t="inlineStr">
        <is>
          <t> </t>
        </is>
      </c>
      <c r="C79" s="319" t="inlineStr">
        <is>
          <t>22.2.02.15-0001</t>
        </is>
      </c>
      <c r="D79" s="344" t="inlineStr">
        <is>
          <t>Скрепы 10х2 мм</t>
        </is>
      </c>
      <c r="E79" s="194" t="inlineStr">
        <is>
          <t>кг</t>
        </is>
      </c>
      <c r="F79" s="343" t="n">
        <v>0.02</v>
      </c>
      <c r="G79" s="195" t="n">
        <v>15.37</v>
      </c>
      <c r="H79" s="195">
        <f>ROUND(F79*G79,2)</f>
        <v/>
      </c>
    </row>
    <row r="80">
      <c r="A80" s="343" t="n">
        <v>64</v>
      </c>
      <c r="B80" s="343" t="inlineStr">
        <is>
          <t> </t>
        </is>
      </c>
      <c r="C80" s="319" t="inlineStr">
        <is>
          <t>01.3.05.17-0002</t>
        </is>
      </c>
      <c r="D80" s="344" t="inlineStr">
        <is>
          <t>Канифоль сосновая</t>
        </is>
      </c>
      <c r="E80" s="194" t="inlineStr">
        <is>
          <t>кг</t>
        </is>
      </c>
      <c r="F80" s="343" t="n">
        <v>0.01</v>
      </c>
      <c r="G80" s="195" t="n">
        <v>27.74</v>
      </c>
      <c r="H80" s="195">
        <f>ROUND(F80*G80,2)</f>
        <v/>
      </c>
    </row>
    <row r="81">
      <c r="A81" s="343" t="n">
        <v>65</v>
      </c>
      <c r="B81" s="343" t="inlineStr">
        <is>
          <t> </t>
        </is>
      </c>
      <c r="C81" s="319" t="inlineStr">
        <is>
          <t>03.1.01.01-0002</t>
        </is>
      </c>
      <c r="D81" s="344" t="inlineStr">
        <is>
          <t>Гипс строительный Г-3</t>
        </is>
      </c>
      <c r="E81" s="194" t="inlineStr">
        <is>
          <t>т</t>
        </is>
      </c>
      <c r="F81" s="343" t="n">
        <v>0.0003</v>
      </c>
      <c r="G81" s="195" t="n">
        <v>729.98</v>
      </c>
      <c r="H81" s="195">
        <f>ROUND(F81*G81,2)</f>
        <v/>
      </c>
    </row>
    <row r="82">
      <c r="A82" s="343" t="n">
        <v>66</v>
      </c>
      <c r="B82" s="343" t="inlineStr">
        <is>
          <t> </t>
        </is>
      </c>
      <c r="C82" s="319" t="inlineStr">
        <is>
          <t>999-0005</t>
        </is>
      </c>
      <c r="D82" s="344" t="inlineStr">
        <is>
          <t>Масса</t>
        </is>
      </c>
      <c r="E82" s="194" t="inlineStr">
        <is>
          <t>т</t>
        </is>
      </c>
      <c r="F82" s="343" t="n">
        <v>0.141</v>
      </c>
      <c r="G82" s="195" t="n"/>
      <c r="H82" s="195">
        <f>ROUND(F82*G82,2)</f>
        <v/>
      </c>
    </row>
    <row r="85">
      <c r="B85" s="292" t="inlineStr">
        <is>
          <t>Составил ______________________        Д.Ю. Нефедова</t>
        </is>
      </c>
    </row>
    <row r="86">
      <c r="B86" s="177" t="inlineStr">
        <is>
          <t xml:space="preserve">                         (подпись, инициалы, фамилия)</t>
        </is>
      </c>
    </row>
    <row r="88">
      <c r="B88" s="292" t="inlineStr">
        <is>
          <t>Проверил ______________________        А.В. Костянецкая</t>
        </is>
      </c>
    </row>
    <row r="89">
      <c r="B89" s="177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A24:E24"/>
    <mergeCell ref="F9:F10"/>
    <mergeCell ref="A9:A10"/>
    <mergeCell ref="A2:H2"/>
    <mergeCell ref="A49:E49"/>
    <mergeCell ref="A32:E32"/>
    <mergeCell ref="A5:H5"/>
    <mergeCell ref="G9:H9"/>
    <mergeCell ref="A22:E22"/>
  </mergeCells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 codeName="Лист7">
    <outlinePr summaryBelow="1" summaryRight="1"/>
    <pageSetUpPr/>
  </sheetPr>
  <dimension ref="B1:K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290" min="1" max="1"/>
    <col width="36.28515625" customWidth="1" style="290" min="2" max="2"/>
    <col width="18.85546875" customWidth="1" style="290" min="3" max="3"/>
    <col width="18.28515625" customWidth="1" style="290" min="4" max="4"/>
    <col width="18.85546875" customWidth="1" style="290" min="5" max="5"/>
    <col width="11.42578125" customWidth="1" style="290" min="6" max="6"/>
    <col width="9.140625" customWidth="1" style="290" min="7" max="10"/>
    <col width="13.5703125" customWidth="1" style="290" min="11" max="11"/>
    <col width="9.140625" customWidth="1" style="290" min="12" max="12"/>
  </cols>
  <sheetData>
    <row r="1">
      <c r="B1" s="286" t="n"/>
      <c r="C1" s="286" t="n"/>
      <c r="D1" s="286" t="n"/>
      <c r="E1" s="286" t="n"/>
    </row>
    <row r="2">
      <c r="B2" s="286" t="n"/>
      <c r="C2" s="286" t="n"/>
      <c r="D2" s="286" t="n"/>
      <c r="E2" s="367" t="inlineStr">
        <is>
          <t>Приложение № 4</t>
        </is>
      </c>
    </row>
    <row r="3">
      <c r="B3" s="286" t="n"/>
      <c r="C3" s="286" t="n"/>
      <c r="D3" s="286" t="n"/>
      <c r="E3" s="286" t="n"/>
    </row>
    <row r="4">
      <c r="B4" s="286" t="n"/>
      <c r="C4" s="286" t="n"/>
      <c r="D4" s="286" t="n"/>
      <c r="E4" s="286" t="n"/>
    </row>
    <row r="5">
      <c r="B5" s="321" t="inlineStr">
        <is>
          <t>Ресурсная модель</t>
        </is>
      </c>
    </row>
    <row r="6">
      <c r="B6" s="161" t="n"/>
      <c r="C6" s="286" t="n"/>
      <c r="D6" s="286" t="n"/>
      <c r="E6" s="286" t="n"/>
    </row>
    <row r="7" ht="25.5" customHeight="1" s="290">
      <c r="B7" s="345" t="inlineStr">
        <is>
          <t>Наименование разрабатываемого показателя УНЦ — Комплекс систем безопасности ПС. Шкаф ЦК системы видеонаблюдения</t>
        </is>
      </c>
    </row>
    <row r="8">
      <c r="B8" s="346" t="inlineStr">
        <is>
          <t>Единица измерения  — 1 ед.</t>
        </is>
      </c>
    </row>
    <row r="9">
      <c r="B9" s="161" t="n"/>
      <c r="C9" s="286" t="n"/>
      <c r="D9" s="286" t="n"/>
      <c r="E9" s="286" t="n"/>
    </row>
    <row r="10" ht="51" customHeight="1" s="290">
      <c r="B10" s="350" t="inlineStr">
        <is>
          <t>Наименование</t>
        </is>
      </c>
      <c r="C10" s="350" t="inlineStr">
        <is>
          <t>Сметная стоимость в ценах на 01.01.2023
 (руб.)</t>
        </is>
      </c>
      <c r="D10" s="350" t="inlineStr">
        <is>
          <t>Удельный вес, 
(в СМР)</t>
        </is>
      </c>
      <c r="E10" s="35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156">
        <f>'Прил.5 Расчет СМР и ОБ'!J16</f>
        <v/>
      </c>
      <c r="D11" s="157">
        <f>C11/$C$24</f>
        <v/>
      </c>
      <c r="E11" s="157">
        <f>C11/$C$40</f>
        <v/>
      </c>
    </row>
    <row r="12">
      <c r="B12" s="245" t="inlineStr">
        <is>
          <t>Эксплуатация машин основных</t>
        </is>
      </c>
      <c r="C12" s="156">
        <f>'Прил.5 Расчет СМР и ОБ'!J24</f>
        <v/>
      </c>
      <c r="D12" s="157">
        <f>C12/$C$24</f>
        <v/>
      </c>
      <c r="E12" s="157">
        <f>C12/$C$40</f>
        <v/>
      </c>
    </row>
    <row r="13">
      <c r="B13" s="245" t="inlineStr">
        <is>
          <t>Эксплуатация машин прочих</t>
        </is>
      </c>
      <c r="C13" s="156">
        <f>'Прил.5 Расчет СМР и ОБ'!J29</f>
        <v/>
      </c>
      <c r="D13" s="157">
        <f>C13/$C$24</f>
        <v/>
      </c>
      <c r="E13" s="157">
        <f>C13/$C$40</f>
        <v/>
      </c>
    </row>
    <row r="14">
      <c r="B14" s="245" t="inlineStr">
        <is>
          <t>ЭКСПЛУАТАЦИЯ МАШИН, ВСЕГО:</t>
        </is>
      </c>
      <c r="C14" s="156">
        <f>C13+C12</f>
        <v/>
      </c>
      <c r="D14" s="157">
        <f>C14/$C$24</f>
        <v/>
      </c>
      <c r="E14" s="157">
        <f>C14/$C$40</f>
        <v/>
      </c>
    </row>
    <row r="15">
      <c r="B15" s="245" t="inlineStr">
        <is>
          <t>в том числе зарплата машинистов</t>
        </is>
      </c>
      <c r="C15" s="156">
        <f>'Прил.5 Расчет СМР и ОБ'!J18</f>
        <v/>
      </c>
      <c r="D15" s="157">
        <f>C15/$C$24</f>
        <v/>
      </c>
      <c r="E15" s="157">
        <f>C15/$C$40</f>
        <v/>
      </c>
    </row>
    <row r="16">
      <c r="B16" s="245" t="inlineStr">
        <is>
          <t>Материалы основные</t>
        </is>
      </c>
      <c r="C16" s="156">
        <f>'Прил.5 Расчет СМР и ОБ'!J56</f>
        <v/>
      </c>
      <c r="D16" s="157">
        <f>C16/$C$24</f>
        <v/>
      </c>
      <c r="E16" s="157">
        <f>C16/$C$40</f>
        <v/>
      </c>
    </row>
    <row r="17">
      <c r="B17" s="245" t="inlineStr">
        <is>
          <t>Материалы прочие</t>
        </is>
      </c>
      <c r="C17" s="156">
        <f>'Прил.5 Расчет СМР и ОБ'!J89</f>
        <v/>
      </c>
      <c r="D17" s="157">
        <f>C17/$C$24</f>
        <v/>
      </c>
      <c r="E17" s="157">
        <f>C17/$C$40</f>
        <v/>
      </c>
    </row>
    <row r="18">
      <c r="B18" s="245" t="inlineStr">
        <is>
          <t>МАТЕРИАЛЫ, ВСЕГО:</t>
        </is>
      </c>
      <c r="C18" s="156">
        <f>C17+C16</f>
        <v/>
      </c>
      <c r="D18" s="157">
        <f>C18/$C$24</f>
        <v/>
      </c>
      <c r="E18" s="157">
        <f>C18/$C$40</f>
        <v/>
      </c>
    </row>
    <row r="19">
      <c r="B19" s="245" t="inlineStr">
        <is>
          <t>ИТОГО</t>
        </is>
      </c>
      <c r="C19" s="156">
        <f>C18+C14+C11</f>
        <v/>
      </c>
      <c r="D19" s="157" t="n"/>
      <c r="E19" s="245" t="n"/>
    </row>
    <row r="20">
      <c r="B20" s="245" t="inlineStr">
        <is>
          <t>Сметная прибыль, руб.</t>
        </is>
      </c>
      <c r="C20" s="156">
        <f>ROUND(C21*(C11+C15),2)</f>
        <v/>
      </c>
      <c r="D20" s="157">
        <f>C20/$C$24</f>
        <v/>
      </c>
      <c r="E20" s="157">
        <f>C20/$C$40</f>
        <v/>
      </c>
    </row>
    <row r="21">
      <c r="B21" s="245" t="inlineStr">
        <is>
          <t>Сметная прибыль, %</t>
        </is>
      </c>
      <c r="C21" s="160">
        <f>'Прил.5 Расчет СМР и ОБ'!D93</f>
        <v/>
      </c>
      <c r="D21" s="157" t="n"/>
      <c r="E21" s="245" t="n"/>
    </row>
    <row r="22">
      <c r="B22" s="245" t="inlineStr">
        <is>
          <t>Накладные расходы, руб.</t>
        </is>
      </c>
      <c r="C22" s="156">
        <f>ROUND(C23*(C11+C15),2)</f>
        <v/>
      </c>
      <c r="D22" s="157">
        <f>C22/$C$24</f>
        <v/>
      </c>
      <c r="E22" s="157">
        <f>C22/$C$40</f>
        <v/>
      </c>
    </row>
    <row r="23">
      <c r="B23" s="245" t="inlineStr">
        <is>
          <t>Накладные расходы, %</t>
        </is>
      </c>
      <c r="C23" s="160">
        <f>'Прил.5 Расчет СМР и ОБ'!D92</f>
        <v/>
      </c>
      <c r="D23" s="157" t="n"/>
      <c r="E23" s="245" t="n"/>
    </row>
    <row r="24">
      <c r="B24" s="245" t="inlineStr">
        <is>
          <t>ВСЕГО СМР с НР и СП</t>
        </is>
      </c>
      <c r="C24" s="156">
        <f>C19+C20+C22</f>
        <v/>
      </c>
      <c r="D24" s="157">
        <f>C24/$C$24</f>
        <v/>
      </c>
      <c r="E24" s="157">
        <f>C24/$C$40</f>
        <v/>
      </c>
    </row>
    <row r="25" ht="25.5" customHeight="1" s="290">
      <c r="B25" s="245" t="inlineStr">
        <is>
          <t>ВСЕГО стоимость оборудования, в том числе</t>
        </is>
      </c>
      <c r="C25" s="156">
        <f>'Прил.5 Расчет СМР и ОБ'!J51</f>
        <v/>
      </c>
      <c r="D25" s="157" t="n"/>
      <c r="E25" s="157">
        <f>C25/$C$40</f>
        <v/>
      </c>
    </row>
    <row r="26" ht="25.5" customHeight="1" s="290">
      <c r="B26" s="245" t="inlineStr">
        <is>
          <t>стоимость оборудования технологического</t>
        </is>
      </c>
      <c r="C26" s="156">
        <f>'Прил.5 Расчет СМР и ОБ'!J52</f>
        <v/>
      </c>
      <c r="D26" s="157" t="n"/>
      <c r="E26" s="157">
        <f>C26/$C$40</f>
        <v/>
      </c>
    </row>
    <row r="27">
      <c r="B27" s="245" t="inlineStr">
        <is>
          <t>ИТОГО (СМР + ОБОРУДОВАНИЕ)</t>
        </is>
      </c>
      <c r="C27" s="159">
        <f>C24+C25</f>
        <v/>
      </c>
      <c r="D27" s="157" t="n"/>
      <c r="E27" s="157">
        <f>C27/$C$40</f>
        <v/>
      </c>
    </row>
    <row r="28" ht="33" customHeight="1" s="29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158" t="n"/>
    </row>
    <row r="29" ht="25.5" customHeight="1" s="290">
      <c r="B29" s="245" t="inlineStr">
        <is>
          <t>Временные здания и сооружения - 3,9%</t>
        </is>
      </c>
      <c r="C29" s="276">
        <f>ROUND(C24*3.9%,2)</f>
        <v/>
      </c>
      <c r="D29" s="277" t="n"/>
      <c r="E29" s="278">
        <f>C29/$C$40</f>
        <v/>
      </c>
    </row>
    <row r="30" ht="38.25" customHeight="1" s="29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76">
        <f>ROUND((C24+C29)*2.1%,2)</f>
        <v/>
      </c>
      <c r="D30" s="277" t="n"/>
      <c r="E30" s="278">
        <f>C30/$C$40</f>
        <v/>
      </c>
      <c r="F30" s="158" t="n"/>
    </row>
    <row r="31">
      <c r="B31" s="245" t="inlineStr">
        <is>
          <t>Пусконаладочные работы</t>
        </is>
      </c>
      <c r="C31" s="276" t="n">
        <v>160620</v>
      </c>
      <c r="D31" s="277" t="n"/>
      <c r="E31" s="278">
        <f>C31/$C$40</f>
        <v/>
      </c>
    </row>
    <row r="32" ht="25.5" customHeight="1" s="290">
      <c r="B32" s="245" t="inlineStr">
        <is>
          <t>Затраты по перевозке работников к месту работы и обратно</t>
        </is>
      </c>
      <c r="C32" s="276" t="n">
        <v>0</v>
      </c>
      <c r="D32" s="277" t="n"/>
      <c r="E32" s="278">
        <f>C32/$C$40</f>
        <v/>
      </c>
    </row>
    <row r="33" ht="25.5" customHeight="1" s="290">
      <c r="B33" s="245" t="inlineStr">
        <is>
          <t>Затраты, связанные с осуществлением работ вахтовым методом</t>
        </is>
      </c>
      <c r="C33" s="276" t="n">
        <v>0</v>
      </c>
      <c r="D33" s="277" t="n"/>
      <c r="E33" s="278">
        <f>C33/$C$40</f>
        <v/>
      </c>
    </row>
    <row r="34" ht="51" customHeight="1" s="29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9" t="n">
        <v>0</v>
      </c>
      <c r="D34" s="245" t="n"/>
      <c r="E34" s="157">
        <f>C34/$C$40</f>
        <v/>
      </c>
      <c r="G34" s="196" t="n"/>
    </row>
    <row r="35" ht="76.5" customHeight="1" s="29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76" t="n">
        <v>0</v>
      </c>
      <c r="D35" s="245" t="n"/>
      <c r="E35" s="157">
        <f>C35/$C$40</f>
        <v/>
      </c>
    </row>
    <row r="36" ht="25.5" customHeight="1" s="290">
      <c r="B36" s="245" t="inlineStr">
        <is>
          <t>Строительный контроль и содержание службы заказчика - 1,72%</t>
        </is>
      </c>
      <c r="C36" s="159">
        <f>ROUND((C27+C32+C33+C34+C35+C29+C31+C30)*1.72%,2)</f>
        <v/>
      </c>
      <c r="D36" s="245" t="n"/>
      <c r="E36" s="157">
        <f>C36/$C$40</f>
        <v/>
      </c>
      <c r="K36" s="158" t="n"/>
    </row>
    <row r="37">
      <c r="B37" s="245" t="inlineStr">
        <is>
          <t>Авторский надзор - 0,2%</t>
        </is>
      </c>
      <c r="C37" s="159">
        <f>ROUND((C27+C32+C33+C34+C35+C29+C31+C30)*0.2%,2)</f>
        <v/>
      </c>
      <c r="D37" s="245" t="n"/>
      <c r="E37" s="157">
        <f>C37/$C$40</f>
        <v/>
      </c>
      <c r="K37" s="158" t="n"/>
    </row>
    <row r="38" ht="38.25" customHeight="1" s="290">
      <c r="B38" s="245" t="inlineStr">
        <is>
          <t>ИТОГО (СМР+ОБОРУДОВАНИЕ+ПРОЧ. ЗАТР., УЧТЕННЫЕ ПОКАЗАТЕЛЕМ)</t>
        </is>
      </c>
      <c r="C38" s="156">
        <f>C27+C32+C33+C34+C35+C29+C31+C30+C36+C37</f>
        <v/>
      </c>
      <c r="D38" s="245" t="n"/>
      <c r="E38" s="157">
        <f>C38/$C$40</f>
        <v/>
      </c>
    </row>
    <row r="39" ht="13.5" customHeight="1" s="290">
      <c r="B39" s="245" t="inlineStr">
        <is>
          <t>Непредвиденные расходы</t>
        </is>
      </c>
      <c r="C39" s="156">
        <f>ROUND(C38*3%,2)</f>
        <v/>
      </c>
      <c r="D39" s="245" t="n"/>
      <c r="E39" s="157">
        <f>C39/$C$38</f>
        <v/>
      </c>
    </row>
    <row r="40">
      <c r="B40" s="245" t="inlineStr">
        <is>
          <t>ВСЕГО:</t>
        </is>
      </c>
      <c r="C40" s="156">
        <f>C39+C38</f>
        <v/>
      </c>
      <c r="D40" s="245" t="n"/>
      <c r="E40" s="157">
        <f>C40/$C$40</f>
        <v/>
      </c>
    </row>
    <row r="41">
      <c r="B41" s="245" t="inlineStr">
        <is>
          <t>ИТОГО ПОКАЗАТЕЛЬ НА ЕД. ИЗМ.</t>
        </is>
      </c>
      <c r="C41" s="156">
        <f>C40/'Прил.5 Расчет СМР и ОБ'!E96</f>
        <v/>
      </c>
      <c r="D41" s="245" t="n"/>
      <c r="E41" s="245" t="n"/>
    </row>
    <row r="42">
      <c r="B42" s="163" t="n"/>
      <c r="C42" s="286" t="n"/>
      <c r="D42" s="286" t="n"/>
      <c r="E42" s="286" t="n"/>
    </row>
    <row r="43">
      <c r="B43" s="163" t="inlineStr">
        <is>
          <t>Составил ____________________________ Д.Ю. Нефедова</t>
        </is>
      </c>
      <c r="C43" s="286" t="n"/>
      <c r="D43" s="286" t="n"/>
      <c r="E43" s="286" t="n"/>
    </row>
    <row r="44">
      <c r="B44" s="163" t="inlineStr">
        <is>
          <t xml:space="preserve">(должность, подпись, инициалы, фамилия) </t>
        </is>
      </c>
      <c r="C44" s="286" t="n"/>
      <c r="D44" s="286" t="n"/>
      <c r="E44" s="286" t="n"/>
    </row>
    <row r="45">
      <c r="B45" s="163" t="n"/>
      <c r="C45" s="286" t="n"/>
      <c r="D45" s="286" t="n"/>
      <c r="E45" s="286" t="n"/>
    </row>
    <row r="46">
      <c r="B46" s="163" t="inlineStr">
        <is>
          <t>Проверил ____________________________ А.В. Костянецкая</t>
        </is>
      </c>
      <c r="C46" s="286" t="n"/>
      <c r="D46" s="286" t="n"/>
      <c r="E46" s="286" t="n"/>
    </row>
    <row r="47">
      <c r="B47" s="346" t="inlineStr">
        <is>
          <t>(должность, подпись, инициалы, фамилия)</t>
        </is>
      </c>
      <c r="D47" s="286" t="n"/>
      <c r="E47" s="286" t="n"/>
    </row>
    <row r="49">
      <c r="B49" s="286" t="n"/>
      <c r="C49" s="286" t="n"/>
      <c r="D49" s="286" t="n"/>
      <c r="E49" s="286" t="n"/>
    </row>
    <row r="50">
      <c r="B50" s="286" t="n"/>
      <c r="C50" s="286" t="n"/>
      <c r="D50" s="286" t="n"/>
      <c r="E50" s="28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7" min="0" max="4" man="1"/>
  </rowBreaks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02"/>
  <sheetViews>
    <sheetView view="pageBreakPreview" topLeftCell="A41" workbookViewId="0">
      <selection activeCell="B98" sqref="B98"/>
    </sheetView>
  </sheetViews>
  <sheetFormatPr baseColWidth="8" defaultColWidth="9.140625" defaultRowHeight="15" outlineLevelRow="1"/>
  <cols>
    <col width="5.7109375" customWidth="1" style="287" min="1" max="1"/>
    <col width="22.5703125" customWidth="1" style="287" min="2" max="2"/>
    <col width="39.140625" customWidth="1" style="287" min="3" max="3"/>
    <col width="10.7109375" customWidth="1" style="287" min="4" max="4"/>
    <col width="12.7109375" customWidth="1" style="287" min="5" max="5"/>
    <col width="15" customWidth="1" style="287" min="6" max="6"/>
    <col width="13.42578125" customWidth="1" style="287" min="7" max="7"/>
    <col width="12.7109375" customWidth="1" style="287" min="8" max="8"/>
    <col width="13.85546875" customWidth="1" style="287" min="9" max="9"/>
    <col width="17.5703125" customWidth="1" style="287" min="10" max="10"/>
    <col width="10.85546875" customWidth="1" style="287" min="11" max="11"/>
    <col width="9.140625" customWidth="1" style="287" min="12" max="12"/>
    <col width="9.140625" customWidth="1" style="290" min="13" max="13"/>
  </cols>
  <sheetData>
    <row r="1" s="290">
      <c r="A1" s="287" t="n"/>
      <c r="B1" s="287" t="n"/>
      <c r="C1" s="287" t="n"/>
      <c r="D1" s="287" t="n"/>
      <c r="E1" s="287" t="n"/>
      <c r="F1" s="287" t="n"/>
      <c r="G1" s="287" t="n"/>
      <c r="H1" s="287" t="n"/>
      <c r="I1" s="287" t="n"/>
      <c r="J1" s="287" t="n"/>
      <c r="K1" s="287" t="n"/>
      <c r="L1" s="287" t="n"/>
      <c r="M1" s="287" t="n"/>
      <c r="N1" s="287" t="n"/>
    </row>
    <row r="2" ht="15.75" customHeight="1" s="290">
      <c r="A2" s="287" t="n"/>
      <c r="B2" s="287" t="n"/>
      <c r="C2" s="287" t="n"/>
      <c r="D2" s="287" t="n"/>
      <c r="E2" s="287" t="n"/>
      <c r="F2" s="287" t="n"/>
      <c r="G2" s="287" t="n"/>
      <c r="H2" s="347" t="inlineStr">
        <is>
          <t>Приложение №5</t>
        </is>
      </c>
      <c r="K2" s="287" t="n"/>
      <c r="L2" s="287" t="n"/>
      <c r="M2" s="287" t="n"/>
      <c r="N2" s="287" t="n"/>
    </row>
    <row r="3" s="290">
      <c r="A3" s="287" t="n"/>
      <c r="B3" s="287" t="n"/>
      <c r="C3" s="287" t="n"/>
      <c r="D3" s="287" t="n"/>
      <c r="E3" s="287" t="n"/>
      <c r="F3" s="287" t="n"/>
      <c r="G3" s="287" t="n"/>
      <c r="H3" s="287" t="n"/>
      <c r="I3" s="287" t="n"/>
      <c r="J3" s="287" t="n"/>
      <c r="K3" s="287" t="n"/>
      <c r="L3" s="287" t="n"/>
      <c r="M3" s="287" t="n"/>
      <c r="N3" s="287" t="n"/>
    </row>
    <row r="4" ht="12.75" customFormat="1" customHeight="1" s="286">
      <c r="A4" s="321" t="inlineStr">
        <is>
          <t>Расчет стоимости СМР и оборудования</t>
        </is>
      </c>
    </row>
    <row r="5" ht="12.75" customFormat="1" customHeight="1" s="286">
      <c r="A5" s="321" t="n"/>
      <c r="B5" s="321" t="n"/>
      <c r="C5" s="375" t="n"/>
      <c r="D5" s="321" t="n"/>
      <c r="E5" s="321" t="n"/>
      <c r="F5" s="321" t="n"/>
      <c r="G5" s="321" t="n"/>
      <c r="H5" s="321" t="n"/>
      <c r="I5" s="321" t="n"/>
      <c r="J5" s="321" t="n"/>
    </row>
    <row r="6" ht="12.75" customFormat="1" customHeight="1" s="286">
      <c r="A6" s="202" t="inlineStr">
        <is>
          <t>Наименование разрабатываемого показателя УНЦ</t>
        </is>
      </c>
      <c r="B6" s="203" t="n"/>
      <c r="C6" s="203" t="n"/>
      <c r="D6" s="353" t="inlineStr">
        <is>
          <t>Комплекс систем безопасности ПС. Шкаф ЦК системы видеонаблюдения</t>
        </is>
      </c>
    </row>
    <row r="7" ht="12.75" customFormat="1" customHeight="1" s="286">
      <c r="A7" s="324" t="inlineStr">
        <is>
          <t>Единица измерения  — 1 ед.</t>
        </is>
      </c>
      <c r="I7" s="345" t="n"/>
      <c r="J7" s="345" t="n"/>
    </row>
    <row r="8" ht="13.5" customFormat="1" customHeight="1" s="286">
      <c r="A8" s="324" t="n"/>
    </row>
    <row r="9" ht="27" customHeight="1" s="290">
      <c r="A9" s="350" t="inlineStr">
        <is>
          <t>№ пп.</t>
        </is>
      </c>
      <c r="B9" s="350" t="inlineStr">
        <is>
          <t>Код ресурса</t>
        </is>
      </c>
      <c r="C9" s="350" t="inlineStr">
        <is>
          <t>Наименование</t>
        </is>
      </c>
      <c r="D9" s="350" t="inlineStr">
        <is>
          <t>Ед. изм.</t>
        </is>
      </c>
      <c r="E9" s="350" t="inlineStr">
        <is>
          <t>Кол-во единиц по проектным данным</t>
        </is>
      </c>
      <c r="F9" s="350" t="inlineStr">
        <is>
          <t>Сметная стоимость в ценах на 01.01.2000 (руб.)</t>
        </is>
      </c>
      <c r="G9" s="421" t="n"/>
      <c r="H9" s="350" t="inlineStr">
        <is>
          <t>Удельный вес, %</t>
        </is>
      </c>
      <c r="I9" s="350" t="inlineStr">
        <is>
          <t>Сметная стоимость в ценах на 01.01.2023 (руб.)</t>
        </is>
      </c>
      <c r="J9" s="421" t="n"/>
      <c r="K9" s="287" t="n"/>
      <c r="L9" s="287" t="n"/>
      <c r="M9" s="287" t="n"/>
      <c r="N9" s="287" t="n"/>
    </row>
    <row r="10" ht="28.5" customHeight="1" s="290">
      <c r="A10" s="423" t="n"/>
      <c r="B10" s="423" t="n"/>
      <c r="C10" s="423" t="n"/>
      <c r="D10" s="423" t="n"/>
      <c r="E10" s="423" t="n"/>
      <c r="F10" s="350" t="inlineStr">
        <is>
          <t>на ед. изм.</t>
        </is>
      </c>
      <c r="G10" s="350" t="inlineStr">
        <is>
          <t>общая</t>
        </is>
      </c>
      <c r="H10" s="423" t="n"/>
      <c r="I10" s="350" t="inlineStr">
        <is>
          <t>на ед. изм.</t>
        </is>
      </c>
      <c r="J10" s="350" t="inlineStr">
        <is>
          <t>общая</t>
        </is>
      </c>
      <c r="K10" s="287" t="n"/>
      <c r="L10" s="287" t="n"/>
      <c r="M10" s="287" t="n"/>
      <c r="N10" s="287" t="n"/>
    </row>
    <row r="11" s="290">
      <c r="A11" s="350" t="n">
        <v>1</v>
      </c>
      <c r="B11" s="350" t="n">
        <v>2</v>
      </c>
      <c r="C11" s="350" t="n">
        <v>3</v>
      </c>
      <c r="D11" s="350" t="n">
        <v>4</v>
      </c>
      <c r="E11" s="350" t="n">
        <v>5</v>
      </c>
      <c r="F11" s="350" t="n">
        <v>6</v>
      </c>
      <c r="G11" s="350" t="n">
        <v>7</v>
      </c>
      <c r="H11" s="350" t="n">
        <v>8</v>
      </c>
      <c r="I11" s="351" t="n">
        <v>9</v>
      </c>
      <c r="J11" s="351" t="n">
        <v>10</v>
      </c>
      <c r="K11" s="287" t="n"/>
      <c r="L11" s="287" t="n"/>
      <c r="M11" s="287" t="n"/>
      <c r="N11" s="287" t="n"/>
    </row>
    <row r="12">
      <c r="A12" s="350" t="n"/>
      <c r="B12" s="358" t="inlineStr">
        <is>
          <t>Затраты труда рабочих-строителей</t>
        </is>
      </c>
      <c r="C12" s="420" t="n"/>
      <c r="D12" s="420" t="n"/>
      <c r="E12" s="420" t="n"/>
      <c r="F12" s="420" t="n"/>
      <c r="G12" s="420" t="n"/>
      <c r="H12" s="421" t="n"/>
      <c r="I12" s="225" t="n"/>
      <c r="J12" s="225" t="n"/>
    </row>
    <row r="13" ht="25.5" customHeight="1" s="290">
      <c r="A13" s="350" t="n">
        <v>1</v>
      </c>
      <c r="B13" s="213" t="inlineStr">
        <is>
          <t>1-3-8</t>
        </is>
      </c>
      <c r="C13" s="359" t="inlineStr">
        <is>
          <t>Затраты труда рабочих-строителей среднего разряда (3,8)</t>
        </is>
      </c>
      <c r="D13" s="350" t="inlineStr">
        <is>
          <t>чел.-ч.</t>
        </is>
      </c>
      <c r="E13" s="424">
        <f>G13/F13</f>
        <v/>
      </c>
      <c r="F13" s="230" t="n">
        <v>9.4</v>
      </c>
      <c r="G13" s="230">
        <f>Прил.3!H12-SUM(Прил.3!H16:H17)</f>
        <v/>
      </c>
      <c r="H13" s="220">
        <f>G13/$G$16</f>
        <v/>
      </c>
      <c r="I13" s="230">
        <f>ФОТр.тек.!E13</f>
        <v/>
      </c>
      <c r="J13" s="230">
        <f>ROUND(I13*E13,2)</f>
        <v/>
      </c>
    </row>
    <row r="14">
      <c r="A14" s="350" t="n">
        <v>2</v>
      </c>
      <c r="B14" s="213" t="inlineStr">
        <is>
          <t>10-30-1</t>
        </is>
      </c>
      <c r="C14" s="359" t="inlineStr">
        <is>
          <t>Инженер I категории</t>
        </is>
      </c>
      <c r="D14" s="350" t="inlineStr">
        <is>
          <t>чел.-ч.</t>
        </is>
      </c>
      <c r="E14" s="424">
        <f>G14/F14</f>
        <v/>
      </c>
      <c r="F14" s="230" t="n">
        <v>15.49</v>
      </c>
      <c r="G14" s="230">
        <f>Прил.3!H16</f>
        <v/>
      </c>
      <c r="H14" s="220">
        <f>G14/$G$16</f>
        <v/>
      </c>
      <c r="I14" s="230">
        <f>ФОТр.тек.!E21</f>
        <v/>
      </c>
      <c r="J14" s="230">
        <f>ROUND(I14*E14,2)</f>
        <v/>
      </c>
    </row>
    <row r="15">
      <c r="A15" s="350" t="n">
        <v>3</v>
      </c>
      <c r="B15" s="213" t="inlineStr">
        <is>
          <t>10-30-2</t>
        </is>
      </c>
      <c r="C15" s="359" t="inlineStr">
        <is>
          <t>Инженер II категории</t>
        </is>
      </c>
      <c r="D15" s="350" t="inlineStr">
        <is>
          <t>чел.-ч.</t>
        </is>
      </c>
      <c r="E15" s="424">
        <f>G15/F15</f>
        <v/>
      </c>
      <c r="F15" s="230" t="n">
        <v>14.09</v>
      </c>
      <c r="G15" s="230">
        <f>Прил.3!H17</f>
        <v/>
      </c>
      <c r="H15" s="220">
        <f>G15/$G$16</f>
        <v/>
      </c>
      <c r="I15" s="230">
        <f>ФОТр.тек.!E29</f>
        <v/>
      </c>
      <c r="J15" s="230">
        <f>ROUND(I15*E15,2)</f>
        <v/>
      </c>
    </row>
    <row r="16" ht="25.5" customFormat="1" customHeight="1" s="287">
      <c r="A16" s="350" t="n"/>
      <c r="B16" s="350" t="n"/>
      <c r="C16" s="358" t="inlineStr">
        <is>
          <t>Итого по разделу "Затраты труда рабочих-строителей"</t>
        </is>
      </c>
      <c r="D16" s="350" t="inlineStr">
        <is>
          <t>чел.-ч.</t>
        </is>
      </c>
      <c r="E16" s="424">
        <f>SUM(E13:E15)</f>
        <v/>
      </c>
      <c r="F16" s="230" t="n"/>
      <c r="G16" s="230">
        <f>SUM(G13:G15)</f>
        <v/>
      </c>
      <c r="H16" s="362" t="n">
        <v>1</v>
      </c>
      <c r="I16" s="225" t="n"/>
      <c r="J16" s="230">
        <f>SUM(J13:J15)</f>
        <v/>
      </c>
    </row>
    <row r="17" ht="14.25" customFormat="1" customHeight="1" s="287">
      <c r="A17" s="350" t="n"/>
      <c r="B17" s="359" t="inlineStr">
        <is>
          <t>Затраты труда машинистов</t>
        </is>
      </c>
      <c r="C17" s="420" t="n"/>
      <c r="D17" s="420" t="n"/>
      <c r="E17" s="420" t="n"/>
      <c r="F17" s="420" t="n"/>
      <c r="G17" s="420" t="n"/>
      <c r="H17" s="421" t="n"/>
      <c r="I17" s="225" t="n"/>
      <c r="J17" s="225" t="n"/>
    </row>
    <row r="18" ht="14.25" customFormat="1" customHeight="1" s="287">
      <c r="A18" s="350" t="n">
        <v>4</v>
      </c>
      <c r="B18" s="350" t="n">
        <v>2</v>
      </c>
      <c r="C18" s="359" t="inlineStr">
        <is>
          <t>Затраты труда машинистов</t>
        </is>
      </c>
      <c r="D18" s="350" t="inlineStr">
        <is>
          <t>чел.-ч.</t>
        </is>
      </c>
      <c r="E18" s="424">
        <f>Прил.3!F23</f>
        <v/>
      </c>
      <c r="F18" s="230">
        <f>G18/E18</f>
        <v/>
      </c>
      <c r="G18" s="230">
        <f>Прил.3!H22</f>
        <v/>
      </c>
      <c r="H18" s="362" t="n">
        <v>1</v>
      </c>
      <c r="I18" s="230">
        <f>ROUND(F18*Прил.10!D11,2)</f>
        <v/>
      </c>
      <c r="J18" s="230">
        <f>ROUND(I18*E18,2)</f>
        <v/>
      </c>
    </row>
    <row r="19" ht="14.25" customFormat="1" customHeight="1" s="287">
      <c r="A19" s="350" t="n"/>
      <c r="B19" s="358" t="inlineStr">
        <is>
          <t>Машины и механизмы</t>
        </is>
      </c>
      <c r="C19" s="420" t="n"/>
      <c r="D19" s="420" t="n"/>
      <c r="E19" s="420" t="n"/>
      <c r="F19" s="420" t="n"/>
      <c r="G19" s="420" t="n"/>
      <c r="H19" s="421" t="n"/>
      <c r="I19" s="225" t="n"/>
      <c r="J19" s="225" t="n"/>
    </row>
    <row r="20" ht="14.25" customFormat="1" customHeight="1" s="287">
      <c r="A20" s="350" t="n"/>
      <c r="B20" s="359" t="inlineStr">
        <is>
          <t>Основные машины и механизмы</t>
        </is>
      </c>
      <c r="C20" s="420" t="n"/>
      <c r="D20" s="420" t="n"/>
      <c r="E20" s="420" t="n"/>
      <c r="F20" s="420" t="n"/>
      <c r="G20" s="420" t="n"/>
      <c r="H20" s="421" t="n"/>
      <c r="I20" s="225" t="n"/>
      <c r="J20" s="225" t="n"/>
    </row>
    <row r="21" ht="14.25" customFormat="1" customHeight="1" s="287">
      <c r="A21" s="350" t="n">
        <v>5</v>
      </c>
      <c r="B21" s="213" t="inlineStr">
        <is>
          <t>91.06.05-011</t>
        </is>
      </c>
      <c r="C21" s="359" t="inlineStr">
        <is>
          <t>Погрузчики, грузоподъемность 5 т</t>
        </is>
      </c>
      <c r="D21" s="350" t="inlineStr">
        <is>
          <t>маш.час</t>
        </is>
      </c>
      <c r="E21" s="424" t="n">
        <v>5.98</v>
      </c>
      <c r="F21" s="361" t="n">
        <v>89.98999999999999</v>
      </c>
      <c r="G21" s="230">
        <f>ROUND(E21*F21,2)</f>
        <v/>
      </c>
      <c r="H21" s="220">
        <f>G21/$G$30</f>
        <v/>
      </c>
      <c r="I21" s="230">
        <f>ROUND(F21*Прил.10!$D$12,2)</f>
        <v/>
      </c>
      <c r="J21" s="230">
        <f>ROUND(I21*E21,2)</f>
        <v/>
      </c>
    </row>
    <row r="22" ht="25.5" customFormat="1" customHeight="1" s="287">
      <c r="A22" s="350" t="n">
        <v>6</v>
      </c>
      <c r="B22" s="213" t="inlineStr">
        <is>
          <t>91.17.04-233</t>
        </is>
      </c>
      <c r="C22" s="359" t="inlineStr">
        <is>
          <t>Установки для сварки ручной дуговой (постоянного тока)</t>
        </is>
      </c>
      <c r="D22" s="350" t="inlineStr">
        <is>
          <t>маш.час</t>
        </is>
      </c>
      <c r="E22" s="424" t="n">
        <v>19.76</v>
      </c>
      <c r="F22" s="361" t="n">
        <v>8.1</v>
      </c>
      <c r="G22" s="230">
        <f>ROUND(E22*F22,2)</f>
        <v/>
      </c>
      <c r="H22" s="220">
        <f>G22/$G$30</f>
        <v/>
      </c>
      <c r="I22" s="230">
        <f>ROUND(F22*Прил.10!$D$12,2)</f>
        <v/>
      </c>
      <c r="J22" s="230">
        <f>ROUND(I22*E22,2)</f>
        <v/>
      </c>
    </row>
    <row r="23" ht="25.5" customFormat="1" customHeight="1" s="287">
      <c r="A23" s="350" t="n">
        <v>7</v>
      </c>
      <c r="B23" s="213" t="inlineStr">
        <is>
          <t>91.05.05-015</t>
        </is>
      </c>
      <c r="C23" s="359" t="inlineStr">
        <is>
          <t>Краны на автомобильном ходу, грузоподъемность 16 т</t>
        </is>
      </c>
      <c r="D23" s="350" t="inlineStr">
        <is>
          <t>маш.час</t>
        </is>
      </c>
      <c r="E23" s="424" t="n">
        <v>0.64</v>
      </c>
      <c r="F23" s="361" t="n">
        <v>115.4</v>
      </c>
      <c r="G23" s="230">
        <f>ROUND(E23*F23,2)</f>
        <v/>
      </c>
      <c r="H23" s="220">
        <f>G23/$G$30</f>
        <v/>
      </c>
      <c r="I23" s="230">
        <f>ROUND(F23*Прил.10!$D$12,2)</f>
        <v/>
      </c>
      <c r="J23" s="230">
        <f>ROUND(I23*E23,2)</f>
        <v/>
      </c>
    </row>
    <row r="24" ht="14.25" customFormat="1" customHeight="1" s="287">
      <c r="A24" s="350" t="n"/>
      <c r="B24" s="350" t="n"/>
      <c r="C24" s="359" t="inlineStr">
        <is>
          <t>Итого основные машины и механизмы</t>
        </is>
      </c>
      <c r="D24" s="350" t="n"/>
      <c r="E24" s="424" t="n"/>
      <c r="F24" s="230" t="n"/>
      <c r="G24" s="230">
        <f>SUM(G21:G23)</f>
        <v/>
      </c>
      <c r="H24" s="362">
        <f>G24/G30</f>
        <v/>
      </c>
      <c r="I24" s="231" t="n"/>
      <c r="J24" s="230">
        <f>SUM(J21:J23)</f>
        <v/>
      </c>
    </row>
    <row r="25" hidden="1" outlineLevel="1" ht="25.5" customFormat="1" customHeight="1" s="287">
      <c r="A25" s="350" t="n">
        <v>8</v>
      </c>
      <c r="B25" s="213" t="inlineStr">
        <is>
          <t>91.14.02-001</t>
        </is>
      </c>
      <c r="C25" s="359" t="inlineStr">
        <is>
          <t>Автомобили бортовые, грузоподъемность до 5 т</t>
        </is>
      </c>
      <c r="D25" s="350" t="inlineStr">
        <is>
          <t>маш.час</t>
        </is>
      </c>
      <c r="E25" s="424" t="n">
        <v>0.71</v>
      </c>
      <c r="F25" s="361" t="n">
        <v>65.70999999999999</v>
      </c>
      <c r="G25" s="230">
        <f>ROUND(E25*F25,2)</f>
        <v/>
      </c>
      <c r="H25" s="220">
        <f>G25/$G$30</f>
        <v/>
      </c>
      <c r="I25" s="230">
        <f>ROUND(F25*Прил.10!$D$12,2)</f>
        <v/>
      </c>
      <c r="J25" s="230">
        <f>ROUND(I25*E25,2)</f>
        <v/>
      </c>
    </row>
    <row r="26" hidden="1" outlineLevel="1" ht="25.5" customFormat="1" customHeight="1" s="287">
      <c r="A26" s="350" t="n">
        <v>9</v>
      </c>
      <c r="B26" s="213" t="inlineStr">
        <is>
          <t>91.17.04-194</t>
        </is>
      </c>
      <c r="C26" s="359" t="inlineStr">
        <is>
          <t>Аппараты сварочные для сварки оптических кабелей со скалывателем</t>
        </is>
      </c>
      <c r="D26" s="350" t="inlineStr">
        <is>
          <t>маш.час</t>
        </is>
      </c>
      <c r="E26" s="424" t="n">
        <v>3.68</v>
      </c>
      <c r="F26" s="361" t="n">
        <v>12.14</v>
      </c>
      <c r="G26" s="230">
        <f>ROUND(E26*F26,2)</f>
        <v/>
      </c>
      <c r="H26" s="220">
        <f>G26/$G$30</f>
        <v/>
      </c>
      <c r="I26" s="230">
        <f>ROUND(F26*Прил.10!$D$12,2)</f>
        <v/>
      </c>
      <c r="J26" s="230">
        <f>ROUND(I26*E26,2)</f>
        <v/>
      </c>
    </row>
    <row r="27" hidden="1" outlineLevel="1" ht="14.25" customFormat="1" customHeight="1" s="287">
      <c r="A27" s="350" t="n">
        <v>10</v>
      </c>
      <c r="B27" s="213" t="inlineStr">
        <is>
          <t>91.21.22-341</t>
        </is>
      </c>
      <c r="C27" s="359" t="inlineStr">
        <is>
          <t>Рефлектометры</t>
        </is>
      </c>
      <c r="D27" s="350" t="inlineStr">
        <is>
          <t>маш.час</t>
        </is>
      </c>
      <c r="E27" s="424" t="n">
        <v>2.59</v>
      </c>
      <c r="F27" s="361" t="n">
        <v>10.62</v>
      </c>
      <c r="G27" s="230">
        <f>ROUND(E27*F27,2)</f>
        <v/>
      </c>
      <c r="H27" s="220">
        <f>G27/$G$30</f>
        <v/>
      </c>
      <c r="I27" s="230">
        <f>ROUND(F27*Прил.10!$D$12,2)</f>
        <v/>
      </c>
      <c r="J27" s="230">
        <f>ROUND(I27*E27,2)</f>
        <v/>
      </c>
    </row>
    <row r="28" hidden="1" outlineLevel="1" ht="25.5" customFormat="1" customHeight="1" s="287">
      <c r="A28" s="350" t="n">
        <v>11</v>
      </c>
      <c r="B28" s="213" t="inlineStr">
        <is>
          <t>91.06.03-060</t>
        </is>
      </c>
      <c r="C28" s="359" t="inlineStr">
        <is>
          <t>Лебедки электрические тяговым усилием до 5,79 кН (0,59 т)</t>
        </is>
      </c>
      <c r="D28" s="350" t="inlineStr">
        <is>
          <t>маш.час</t>
        </is>
      </c>
      <c r="E28" s="424" t="n">
        <v>4.1</v>
      </c>
      <c r="F28" s="361" t="n">
        <v>1.7</v>
      </c>
      <c r="G28" s="230">
        <f>ROUND(E28*F28,2)</f>
        <v/>
      </c>
      <c r="H28" s="220">
        <f>G28/$G$30</f>
        <v/>
      </c>
      <c r="I28" s="230">
        <f>ROUND(F28*Прил.10!$D$12,2)</f>
        <v/>
      </c>
      <c r="J28" s="230">
        <f>ROUND(I28*E28,2)</f>
        <v/>
      </c>
    </row>
    <row r="29" collapsed="1" ht="14.25" customFormat="1" customHeight="1" s="287">
      <c r="A29" s="350" t="n"/>
      <c r="B29" s="350" t="n"/>
      <c r="C29" s="359" t="inlineStr">
        <is>
          <t>Итого прочие машины и механизмы</t>
        </is>
      </c>
      <c r="D29" s="350" t="n"/>
      <c r="E29" s="360" t="n"/>
      <c r="F29" s="230" t="n"/>
      <c r="G29" s="231">
        <f>SUM(G25:G28)</f>
        <v/>
      </c>
      <c r="H29" s="220">
        <f>G29/G30</f>
        <v/>
      </c>
      <c r="I29" s="230" t="n"/>
      <c r="J29" s="230">
        <f>SUM(J25:J28)</f>
        <v/>
      </c>
    </row>
    <row r="30" ht="25.5" customFormat="1" customHeight="1" s="287">
      <c r="A30" s="350" t="n"/>
      <c r="B30" s="350" t="n"/>
      <c r="C30" s="358" t="inlineStr">
        <is>
          <t>Итого по разделу «Машины и механизмы»</t>
        </is>
      </c>
      <c r="D30" s="350" t="n"/>
      <c r="E30" s="360" t="n"/>
      <c r="F30" s="230" t="n"/>
      <c r="G30" s="230">
        <f>G29+G24</f>
        <v/>
      </c>
      <c r="H30" s="222" t="n">
        <v>1</v>
      </c>
      <c r="I30" s="223" t="n"/>
      <c r="J30" s="241">
        <f>J29+J24</f>
        <v/>
      </c>
    </row>
    <row r="31" ht="14.25" customFormat="1" customHeight="1" s="287">
      <c r="A31" s="350" t="n"/>
      <c r="B31" s="358" t="inlineStr">
        <is>
          <t>Оборудование</t>
        </is>
      </c>
      <c r="C31" s="420" t="n"/>
      <c r="D31" s="420" t="n"/>
      <c r="E31" s="420" t="n"/>
      <c r="F31" s="420" t="n"/>
      <c r="G31" s="420" t="n"/>
      <c r="H31" s="421" t="n"/>
      <c r="I31" s="225" t="n"/>
      <c r="J31" s="225" t="n"/>
    </row>
    <row r="32">
      <c r="A32" s="350" t="n"/>
      <c r="B32" s="359" t="inlineStr">
        <is>
          <t>Основное оборудование</t>
        </is>
      </c>
      <c r="C32" s="420" t="n"/>
      <c r="D32" s="420" t="n"/>
      <c r="E32" s="420" t="n"/>
      <c r="F32" s="420" t="n"/>
      <c r="G32" s="420" t="n"/>
      <c r="H32" s="421" t="n"/>
      <c r="I32" s="225" t="n"/>
      <c r="J32" s="225" t="n"/>
      <c r="K32" s="287" t="n"/>
      <c r="L32" s="287" t="n"/>
    </row>
    <row r="33" ht="14.25" customFormat="1" customHeight="1" s="287">
      <c r="A33" s="350" t="n">
        <v>12</v>
      </c>
      <c r="B33" s="350" t="inlineStr">
        <is>
          <t>61.3.05.04-0002</t>
        </is>
      </c>
      <c r="C33" s="359" t="inlineStr">
        <is>
          <t>Сервер HP ProLiant DL360</t>
        </is>
      </c>
      <c r="D33" s="350" t="inlineStr">
        <is>
          <t>компл</t>
        </is>
      </c>
      <c r="E33" s="425" t="n">
        <v>1</v>
      </c>
      <c r="F33" s="361" t="n">
        <v>167692.96</v>
      </c>
      <c r="G33" s="230">
        <f>ROUND(E33*F33,2)</f>
        <v/>
      </c>
      <c r="H33" s="220">
        <f>G33/$G$51</f>
        <v/>
      </c>
      <c r="I33" s="230">
        <f>ROUND(F33*Прил.10!$D$14,2)</f>
        <v/>
      </c>
      <c r="J33" s="230">
        <f>ROUND(I33*E33,2)</f>
        <v/>
      </c>
    </row>
    <row r="34" ht="25.5" customFormat="1" customHeight="1" s="287">
      <c r="A34" s="350" t="n">
        <v>13</v>
      </c>
      <c r="B34" s="350" t="inlineStr">
        <is>
          <t>62.4.02.01-0047</t>
        </is>
      </c>
      <c r="C34" s="359" t="inlineStr">
        <is>
          <t>Источник бесперебойного питания: APC SMART-UPS RT 4000VA RM/230</t>
        </is>
      </c>
      <c r="D34" s="350" t="inlineStr">
        <is>
          <t>шт</t>
        </is>
      </c>
      <c r="E34" s="425" t="n">
        <v>3</v>
      </c>
      <c r="F34" s="361" t="n">
        <v>16999.43</v>
      </c>
      <c r="G34" s="230">
        <f>ROUND(E34*F34,2)</f>
        <v/>
      </c>
      <c r="H34" s="220">
        <f>G34/$G$51</f>
        <v/>
      </c>
      <c r="I34" s="230">
        <f>ROUND(F34*Прил.10!$D$14,2)</f>
        <v/>
      </c>
      <c r="J34" s="230">
        <f>ROUND(I34*E34,2)</f>
        <v/>
      </c>
    </row>
    <row r="35" ht="38.25" customFormat="1" customHeight="1" s="287">
      <c r="A35" s="350" t="n">
        <v>14</v>
      </c>
      <c r="B35" s="350" t="inlineStr">
        <is>
          <t>61.3.01.02-0031</t>
        </is>
      </c>
      <c r="C35" s="359" t="inlineStr">
        <is>
          <t>Видеорегистратор 8-ми канальный DVR-630-08A200 с комплектом расширения хранилища на 2 ТБ DVR XS200-A</t>
        </is>
      </c>
      <c r="D35" s="350" t="inlineStr">
        <is>
          <t>компл</t>
        </is>
      </c>
      <c r="E35" s="425" t="n">
        <v>1</v>
      </c>
      <c r="F35" s="361" t="n">
        <v>43171.35</v>
      </c>
      <c r="G35" s="230">
        <f>ROUND(E35*F35,2)</f>
        <v/>
      </c>
      <c r="H35" s="220">
        <f>G35/$G$51</f>
        <v/>
      </c>
      <c r="I35" s="230">
        <f>ROUND(F35*Прил.10!$D$14,2)</f>
        <v/>
      </c>
      <c r="J35" s="230">
        <f>ROUND(I35*E35,2)</f>
        <v/>
      </c>
    </row>
    <row r="36" ht="25.5" customFormat="1" customHeight="1" s="287">
      <c r="A36" s="350" t="n">
        <v>15</v>
      </c>
      <c r="B36" s="350" t="inlineStr">
        <is>
          <t>61.2.07.05-0067</t>
        </is>
      </c>
      <c r="C36" s="359" t="inlineStr">
        <is>
          <t>Модуль центральный ECB с Ethernet интерфейсом</t>
        </is>
      </c>
      <c r="D36" s="350" t="inlineStr">
        <is>
          <t>шт</t>
        </is>
      </c>
      <c r="E36" s="425" t="n">
        <v>1</v>
      </c>
      <c r="F36" s="361" t="n">
        <v>37158.83</v>
      </c>
      <c r="G36" s="230">
        <f>ROUND(E36*F36,2)</f>
        <v/>
      </c>
      <c r="H36" s="220">
        <f>G36/$G$51</f>
        <v/>
      </c>
      <c r="I36" s="230">
        <f>ROUND(F36*Прил.10!$D$14,2)</f>
        <v/>
      </c>
      <c r="J36" s="230">
        <f>ROUND(I36*E36,2)</f>
        <v/>
      </c>
    </row>
    <row r="37" ht="38.25" customFormat="1" customHeight="1" s="287">
      <c r="A37" s="350" t="n">
        <v>16</v>
      </c>
      <c r="B37" s="350" t="inlineStr">
        <is>
          <t>62.4.02.01-0048</t>
        </is>
      </c>
      <c r="C37" s="359" t="inlineStr">
        <is>
          <t>Источники бесперебойного питания, полная выходная мощность 15 кВА, номинальное входное напряжение 230 В</t>
        </is>
      </c>
      <c r="D37" s="350" t="inlineStr">
        <is>
          <t>шт</t>
        </is>
      </c>
      <c r="E37" s="425" t="n">
        <v>1</v>
      </c>
      <c r="F37" s="361" t="n">
        <v>35055.62</v>
      </c>
      <c r="G37" s="230">
        <f>ROUND(E37*F37,2)</f>
        <v/>
      </c>
      <c r="H37" s="220">
        <f>G37/$G$51</f>
        <v/>
      </c>
      <c r="I37" s="230">
        <f>ROUND(F37*Прил.10!$D$14,2)</f>
        <v/>
      </c>
      <c r="J37" s="230">
        <f>ROUND(I37*E37,2)</f>
        <v/>
      </c>
    </row>
    <row r="38" ht="25.5" customFormat="1" customHeight="1" s="287">
      <c r="A38" s="350" t="n">
        <v>17</v>
      </c>
      <c r="B38" s="350" t="inlineStr">
        <is>
          <t>61.2.07.05-0050</t>
        </is>
      </c>
      <c r="C38" s="359" t="inlineStr">
        <is>
          <t>Модуль расширения внешний IPO 500 EXP MOD PHONE 30</t>
        </is>
      </c>
      <c r="D38" s="350" t="inlineStr">
        <is>
          <t>щт</t>
        </is>
      </c>
      <c r="E38" s="425" t="n">
        <v>1</v>
      </c>
      <c r="F38" s="361" t="n">
        <v>11831</v>
      </c>
      <c r="G38" s="230">
        <f>ROUND(E38*F38,2)</f>
        <v/>
      </c>
      <c r="H38" s="220">
        <f>G38/$G$51</f>
        <v/>
      </c>
      <c r="I38" s="230">
        <f>ROUND(F38*Прил.10!$D$14,2)</f>
        <v/>
      </c>
      <c r="J38" s="230">
        <f>ROUND(I38*E38,2)</f>
        <v/>
      </c>
    </row>
    <row r="39" ht="25.5" customFormat="1" customHeight="1" s="287">
      <c r="A39" s="350" t="n">
        <v>18</v>
      </c>
      <c r="B39" s="350" t="inlineStr">
        <is>
          <t>61.2.07.05-0050</t>
        </is>
      </c>
      <c r="C39" s="359" t="inlineStr">
        <is>
          <t>Модуль расширения внешний IPO 500 EXP MOD PHONE 30</t>
        </is>
      </c>
      <c r="D39" s="350" t="inlineStr">
        <is>
          <t>шт</t>
        </is>
      </c>
      <c r="E39" s="425" t="n">
        <v>1</v>
      </c>
      <c r="F39" s="361" t="n">
        <v>11831</v>
      </c>
      <c r="G39" s="230">
        <f>ROUND(E39*F39,2)</f>
        <v/>
      </c>
      <c r="H39" s="220">
        <f>G39/$G$51</f>
        <v/>
      </c>
      <c r="I39" s="230">
        <f>ROUND(F39*Прил.10!$D$14,2)</f>
        <v/>
      </c>
      <c r="J39" s="230">
        <f>ROUND(I39*E39,2)</f>
        <v/>
      </c>
    </row>
    <row r="40" ht="25.5" customFormat="1" customHeight="1" s="287">
      <c r="A40" s="350" t="n">
        <v>19</v>
      </c>
      <c r="B40" s="350" t="inlineStr">
        <is>
          <t>61.2.07.05-0050</t>
        </is>
      </c>
      <c r="C40" s="359" t="inlineStr">
        <is>
          <t>Модуль расширения внешний IPO 500 EXP MOD PHONE 30</t>
        </is>
      </c>
      <c r="D40" s="350" t="inlineStr">
        <is>
          <t>шт</t>
        </is>
      </c>
      <c r="E40" s="425" t="n">
        <v>1</v>
      </c>
      <c r="F40" s="361" t="n">
        <v>11831</v>
      </c>
      <c r="G40" s="230">
        <f>ROUND(E40*F40,2)</f>
        <v/>
      </c>
      <c r="H40" s="220">
        <f>G40/$G$51</f>
        <v/>
      </c>
      <c r="I40" s="230">
        <f>ROUND(F40*Прил.10!$D$14,2)</f>
        <v/>
      </c>
      <c r="J40" s="230">
        <f>ROUND(I40*E40,2)</f>
        <v/>
      </c>
    </row>
    <row r="41">
      <c r="A41" s="350" t="n"/>
      <c r="B41" s="350" t="n"/>
      <c r="C41" s="359" t="inlineStr">
        <is>
          <t>Итого основное оборудование</t>
        </is>
      </c>
      <c r="D41" s="350" t="n"/>
      <c r="E41" s="424" t="n"/>
      <c r="F41" s="361" t="n"/>
      <c r="G41" s="230">
        <f>SUM(G33:G40)</f>
        <v/>
      </c>
      <c r="H41" s="220">
        <f>G41/$G$51</f>
        <v/>
      </c>
      <c r="I41" s="231" t="n"/>
      <c r="J41" s="230">
        <f>SUM(J33:J40)</f>
        <v/>
      </c>
      <c r="K41" s="287" t="n"/>
      <c r="L41" s="287" t="n"/>
    </row>
    <row r="42" hidden="1" outlineLevel="1" ht="25.5" customFormat="1" customHeight="1" s="287">
      <c r="A42" s="350" t="n">
        <v>20</v>
      </c>
      <c r="B42" s="350" t="inlineStr">
        <is>
          <t>61.2.07.05-0050</t>
        </is>
      </c>
      <c r="C42" s="359" t="inlineStr">
        <is>
          <t>Модуль расширения внешний IPO 500 EXP MOD PHONE 30</t>
        </is>
      </c>
      <c r="D42" s="350" t="inlineStr">
        <is>
          <t>шт</t>
        </is>
      </c>
      <c r="E42" s="425" t="n">
        <v>1</v>
      </c>
      <c r="F42" s="361" t="n">
        <v>11831</v>
      </c>
      <c r="G42" s="230">
        <f>ROUND(E42*F42,2)</f>
        <v/>
      </c>
      <c r="H42" s="220">
        <f>G42/$G$51</f>
        <v/>
      </c>
      <c r="I42" s="230">
        <f>ROUND(F42*Прил.10!$D$14,2)</f>
        <v/>
      </c>
      <c r="J42" s="230">
        <f>ROUND(I42*E42,2)</f>
        <v/>
      </c>
    </row>
    <row r="43" hidden="1" outlineLevel="1" ht="25.5" customFormat="1" customHeight="1" s="287">
      <c r="A43" s="350" t="n">
        <v>21</v>
      </c>
      <c r="B43" s="350" t="inlineStr">
        <is>
          <t>61.3.05.02-0002</t>
        </is>
      </c>
      <c r="C43" s="359" t="inlineStr">
        <is>
          <t>Монитор ЖК UML 202-90, диагональ 20 дюймов, расширение 1600x1200 пикселов</t>
        </is>
      </c>
      <c r="D43" s="350" t="inlineStr">
        <is>
          <t>шт</t>
        </is>
      </c>
      <c r="E43" s="425" t="n">
        <v>1</v>
      </c>
      <c r="F43" s="361" t="n">
        <v>11279.02</v>
      </c>
      <c r="G43" s="230">
        <f>ROUND(E43*F43,2)</f>
        <v/>
      </c>
      <c r="H43" s="220">
        <f>G43/$G$51</f>
        <v/>
      </c>
      <c r="I43" s="230">
        <f>ROUND(F43*Прил.10!$D$14,2)</f>
        <v/>
      </c>
      <c r="J43" s="230">
        <f>ROUND(I43*E43,2)</f>
        <v/>
      </c>
    </row>
    <row r="44" hidden="1" outlineLevel="1" ht="25.5" customFormat="1" customHeight="1" s="287">
      <c r="A44" s="350" t="n">
        <v>22</v>
      </c>
      <c r="B44" s="350" t="inlineStr">
        <is>
          <t>61.1.04.08-0002</t>
        </is>
      </c>
      <c r="C44" s="359" t="inlineStr">
        <is>
          <t>Шкаф телекоммуникационный, размер 800х800х2080 мм</t>
        </is>
      </c>
      <c r="D44" s="350" t="inlineStr">
        <is>
          <t>шт</t>
        </is>
      </c>
      <c r="E44" s="425" t="n">
        <v>1</v>
      </c>
      <c r="F44" s="361" t="n">
        <v>9392.75</v>
      </c>
      <c r="G44" s="230">
        <f>ROUND(E44*F44,2)</f>
        <v/>
      </c>
      <c r="H44" s="220">
        <f>G44/$G$51</f>
        <v/>
      </c>
      <c r="I44" s="230">
        <f>ROUND(F44*Прил.10!$D$14,2)</f>
        <v/>
      </c>
      <c r="J44" s="230">
        <f>ROUND(I44*E44,2)</f>
        <v/>
      </c>
    </row>
    <row r="45" hidden="1" outlineLevel="1" ht="38.25" customFormat="1" customHeight="1" s="287">
      <c r="A45" s="350" t="n">
        <v>23</v>
      </c>
      <c r="B45" s="350" t="inlineStr">
        <is>
          <t>61.1.04.08-0002</t>
        </is>
      </c>
      <c r="C45" s="359" t="inlineStr">
        <is>
          <t>Шкаф телекоммуникационный марки TFL-428080-GMMM-GY размером 800х800х2080 мм</t>
        </is>
      </c>
      <c r="D45" s="350" t="inlineStr">
        <is>
          <t>шт.</t>
        </is>
      </c>
      <c r="E45" s="425" t="n">
        <v>1</v>
      </c>
      <c r="F45" s="361" t="n">
        <v>9392.75</v>
      </c>
      <c r="G45" s="230">
        <f>ROUND(E45*F45,2)</f>
        <v/>
      </c>
      <c r="H45" s="220">
        <f>G45/$G$51</f>
        <v/>
      </c>
      <c r="I45" s="230">
        <f>ROUND(F45*Прил.10!$D$14,2)</f>
        <v/>
      </c>
      <c r="J45" s="230">
        <f>ROUND(I45*E45,2)</f>
        <v/>
      </c>
    </row>
    <row r="46" hidden="1" outlineLevel="1" ht="38.25" customFormat="1" customHeight="1" s="287">
      <c r="A46" s="350" t="n">
        <v>24</v>
      </c>
      <c r="B46" s="350" t="inlineStr">
        <is>
          <t>61.2.07.04-0007</t>
        </is>
      </c>
      <c r="C46" s="359" t="inlineStr">
        <is>
          <t>Контроллер сектора охраны с выносной панелью индикации и управления ВПИУ-16</t>
        </is>
      </c>
      <c r="D46" s="350" t="inlineStr">
        <is>
          <t>компл</t>
        </is>
      </c>
      <c r="E46" s="425" t="n">
        <v>1</v>
      </c>
      <c r="F46" s="361" t="n">
        <v>9372.959999999999</v>
      </c>
      <c r="G46" s="230">
        <f>ROUND(E46*F46,2)</f>
        <v/>
      </c>
      <c r="H46" s="220">
        <f>G46/$G$51</f>
        <v/>
      </c>
      <c r="I46" s="230">
        <f>ROUND(F46*Прил.10!$D$14,2)</f>
        <v/>
      </c>
      <c r="J46" s="230">
        <f>ROUND(I46*E46,2)</f>
        <v/>
      </c>
    </row>
    <row r="47" hidden="1" outlineLevel="1" ht="25.5" customFormat="1" customHeight="1" s="287">
      <c r="A47" s="350" t="n">
        <v>25</v>
      </c>
      <c r="B47" s="350" t="inlineStr">
        <is>
          <t>61.2.07.05-0056</t>
        </is>
      </c>
      <c r="C47" s="359" t="inlineStr">
        <is>
          <t>Модуль ресурсов IP-телефонии IPO 500 MC VCM на 64 канала</t>
        </is>
      </c>
      <c r="D47" s="350" t="inlineStr">
        <is>
          <t>шт</t>
        </is>
      </c>
      <c r="E47" s="425" t="n">
        <v>2</v>
      </c>
      <c r="F47" s="361" t="n">
        <v>3850.19</v>
      </c>
      <c r="G47" s="230">
        <f>ROUND(E47*F47,2)</f>
        <v/>
      </c>
      <c r="H47" s="220">
        <f>G47/$G$51</f>
        <v/>
      </c>
      <c r="I47" s="230">
        <f>ROUND(F47*Прил.10!$D$14,2)</f>
        <v/>
      </c>
      <c r="J47" s="230">
        <f>ROUND(I47*E47,2)</f>
        <v/>
      </c>
    </row>
    <row r="48" hidden="1" outlineLevel="1" ht="38.25" customFormat="1" customHeight="1" s="287">
      <c r="A48" s="350" t="n">
        <v>26</v>
      </c>
      <c r="B48" s="350" t="inlineStr">
        <is>
          <t>61.2.07.05-0011</t>
        </is>
      </c>
      <c r="C48" s="359" t="inlineStr">
        <is>
          <t>Модуль-CD для PAM-60/120/240/360 Inter-M, PAM-CDM для использования в системах оповещения</t>
        </is>
      </c>
      <c r="D48" s="350" t="inlineStr">
        <is>
          <t>шт</t>
        </is>
      </c>
      <c r="E48" s="425" t="n">
        <v>2</v>
      </c>
      <c r="F48" s="361" t="n">
        <v>1983.71</v>
      </c>
      <c r="G48" s="230">
        <f>ROUND(E48*F48,2)</f>
        <v/>
      </c>
      <c r="H48" s="220">
        <f>G48/$G$51</f>
        <v/>
      </c>
      <c r="I48" s="230">
        <f>ROUND(F48*Прил.10!$D$14,2)</f>
        <v/>
      </c>
      <c r="J48" s="230">
        <f>ROUND(I48*E48,2)</f>
        <v/>
      </c>
    </row>
    <row r="49" hidden="1" outlineLevel="1" ht="51" customFormat="1" customHeight="1" s="287">
      <c r="A49" s="350" t="n">
        <v>27</v>
      </c>
      <c r="B49" s="350" t="inlineStr">
        <is>
          <t>61.3.05.01-0001</t>
        </is>
      </c>
      <c r="C49" s="359" t="inlineStr">
        <is>
          <t>Диск жесткий серверный типа HDD, объем памяти 2000 Гб, буферная память 64 Мб, внешняя скорость передачи данных 300 Мб/с</t>
        </is>
      </c>
      <c r="D49" s="350" t="inlineStr">
        <is>
          <t>шт</t>
        </is>
      </c>
      <c r="E49" s="425" t="n">
        <v>1</v>
      </c>
      <c r="F49" s="361" t="n">
        <v>925.45</v>
      </c>
      <c r="G49" s="230">
        <f>ROUND(E49*F49,2)</f>
        <v/>
      </c>
      <c r="H49" s="220">
        <f>G49/$G$51</f>
        <v/>
      </c>
      <c r="I49" s="230">
        <f>ROUND(F49*Прил.10!$D$14,2)</f>
        <v/>
      </c>
      <c r="J49" s="230">
        <f>ROUND(I49*E49,2)</f>
        <v/>
      </c>
    </row>
    <row r="50" collapsed="1" s="290">
      <c r="A50" s="350" t="n"/>
      <c r="B50" s="350" t="n"/>
      <c r="C50" s="359" t="inlineStr">
        <is>
          <t>Итого прочее оборудование</t>
        </is>
      </c>
      <c r="D50" s="350" t="n"/>
      <c r="E50" s="424" t="n"/>
      <c r="F50" s="361" t="n"/>
      <c r="G50" s="230">
        <f>SUM(G42:G49)</f>
        <v/>
      </c>
      <c r="H50" s="220">
        <f>G50/$G$51</f>
        <v/>
      </c>
      <c r="I50" s="231" t="n"/>
      <c r="J50" s="230">
        <f>SUM(J42:J49)</f>
        <v/>
      </c>
      <c r="K50" s="287" t="n"/>
      <c r="L50" s="287" t="n"/>
    </row>
    <row r="51">
      <c r="A51" s="350" t="n"/>
      <c r="B51" s="350" t="n"/>
      <c r="C51" s="358" t="inlineStr">
        <is>
          <t>Итого по разделу «Оборудование»</t>
        </is>
      </c>
      <c r="D51" s="350" t="n"/>
      <c r="E51" s="360" t="n"/>
      <c r="F51" s="361" t="n"/>
      <c r="G51" s="230">
        <f>G41+G50</f>
        <v/>
      </c>
      <c r="H51" s="362">
        <f>H41+H50</f>
        <v/>
      </c>
      <c r="I51" s="231" t="n"/>
      <c r="J51" s="230">
        <f>J50+J41</f>
        <v/>
      </c>
      <c r="K51" s="287" t="n"/>
      <c r="L51" s="287" t="n"/>
    </row>
    <row r="52" ht="25.5" customHeight="1" s="290">
      <c r="A52" s="350" t="n"/>
      <c r="B52" s="350" t="n"/>
      <c r="C52" s="359" t="inlineStr">
        <is>
          <t>в том числе технологическое оборудование</t>
        </is>
      </c>
      <c r="D52" s="350" t="n"/>
      <c r="E52" s="425" t="n"/>
      <c r="F52" s="361" t="n"/>
      <c r="G52" s="230">
        <f>'Прил.6 Расчет ОБ'!G28</f>
        <v/>
      </c>
      <c r="H52" s="362" t="n"/>
      <c r="I52" s="231" t="n"/>
      <c r="J52" s="230">
        <f>ROUND(G52*Прил.10!D14,2)</f>
        <v/>
      </c>
      <c r="K52" s="287" t="n"/>
      <c r="L52" s="287" t="n"/>
    </row>
    <row r="53" ht="14.25" customFormat="1" customHeight="1" s="287">
      <c r="A53" s="350" t="n"/>
      <c r="B53" s="358" t="inlineStr">
        <is>
          <t>Материалы</t>
        </is>
      </c>
      <c r="C53" s="420" t="n"/>
      <c r="D53" s="420" t="n"/>
      <c r="E53" s="420" t="n"/>
      <c r="F53" s="420" t="n"/>
      <c r="G53" s="420" t="n"/>
      <c r="H53" s="421" t="n"/>
      <c r="I53" s="225" t="n"/>
      <c r="J53" s="225" t="n"/>
    </row>
    <row r="54" ht="14.25" customFormat="1" customHeight="1" s="287">
      <c r="A54" s="351" t="n"/>
      <c r="B54" s="354" t="inlineStr">
        <is>
          <t>Основные материалы</t>
        </is>
      </c>
      <c r="C54" s="426" t="n"/>
      <c r="D54" s="426" t="n"/>
      <c r="E54" s="426" t="n"/>
      <c r="F54" s="426" t="n"/>
      <c r="G54" s="426" t="n"/>
      <c r="H54" s="427" t="n"/>
      <c r="I54" s="234" t="n"/>
      <c r="J54" s="234" t="n"/>
    </row>
    <row r="55" ht="14.25" customFormat="1" customHeight="1" s="287">
      <c r="A55" s="350" t="n">
        <v>28</v>
      </c>
      <c r="B55" s="350" t="inlineStr">
        <is>
          <t>21.1.08.03-0693</t>
        </is>
      </c>
      <c r="C55" s="359" t="inlineStr">
        <is>
          <t>Кабель контрольный КВВГЭнг-LS 4х1,5</t>
        </is>
      </c>
      <c r="D55" s="350" t="inlineStr">
        <is>
          <t>1000 м</t>
        </is>
      </c>
      <c r="E55" s="425" t="n">
        <v>0.408</v>
      </c>
      <c r="F55" s="361" t="n">
        <v>8958.610000000001</v>
      </c>
      <c r="G55" s="230">
        <f>ROUND(E55*F55,2)</f>
        <v/>
      </c>
      <c r="H55" s="220">
        <f>G55/$G$90</f>
        <v/>
      </c>
      <c r="I55" s="230">
        <f>ROUND(F55*Прил.10!$D$13,2)</f>
        <v/>
      </c>
      <c r="J55" s="230">
        <f>ROUND(I55*E55,2)</f>
        <v/>
      </c>
    </row>
    <row r="56" ht="14.25" customFormat="1" customHeight="1" s="287">
      <c r="A56" s="352" t="n"/>
      <c r="B56" s="236" t="n"/>
      <c r="C56" s="237" t="inlineStr">
        <is>
          <t>Итого основные материалы</t>
        </is>
      </c>
      <c r="D56" s="352" t="n"/>
      <c r="E56" s="428" t="n"/>
      <c r="F56" s="241" t="n"/>
      <c r="G56" s="241">
        <f>SUM(G55)</f>
        <v/>
      </c>
      <c r="H56" s="220">
        <f>G56/$G$90</f>
        <v/>
      </c>
      <c r="I56" s="230" t="n"/>
      <c r="J56" s="241">
        <f>SUM(J55)</f>
        <v/>
      </c>
      <c r="K56" s="26" t="n"/>
      <c r="L56" s="26" t="n"/>
    </row>
    <row r="57" hidden="1" outlineLevel="1" ht="14.25" customFormat="1" customHeight="1" s="287">
      <c r="A57" s="350" t="n">
        <v>29</v>
      </c>
      <c r="B57" s="350" t="inlineStr">
        <is>
          <t>01.7.03.01-0005</t>
        </is>
      </c>
      <c r="C57" s="359" t="inlineStr">
        <is>
          <t>Вода дистиллированная</t>
        </is>
      </c>
      <c r="D57" s="350" t="inlineStr">
        <is>
          <t>кг</t>
        </is>
      </c>
      <c r="E57" s="425" t="n">
        <v>55.8</v>
      </c>
      <c r="F57" s="361" t="n">
        <v>4.16</v>
      </c>
      <c r="G57" s="230">
        <f>ROUND(E57*F57,2)</f>
        <v/>
      </c>
      <c r="H57" s="220">
        <f>G57/$G$90</f>
        <v/>
      </c>
      <c r="I57" s="230">
        <f>ROUND(F57*Прил.10!$D$13,2)</f>
        <v/>
      </c>
      <c r="J57" s="230">
        <f>ROUND(I57*E57,2)</f>
        <v/>
      </c>
    </row>
    <row r="58" hidden="1" outlineLevel="1" ht="25.5" customFormat="1" customHeight="1" s="287">
      <c r="A58" s="350" t="n">
        <v>30</v>
      </c>
      <c r="B58" s="350" t="inlineStr">
        <is>
          <t>01.7.11.07-0034</t>
        </is>
      </c>
      <c r="C58" s="359" t="inlineStr">
        <is>
          <t>Электроды сварочные Э42А, диаметр 4 мм</t>
        </is>
      </c>
      <c r="D58" s="350" t="inlineStr">
        <is>
          <t>кг</t>
        </is>
      </c>
      <c r="E58" s="425" t="n">
        <v>12</v>
      </c>
      <c r="F58" s="361" t="n">
        <v>10.57</v>
      </c>
      <c r="G58" s="230">
        <f>ROUND(E58*F58,2)</f>
        <v/>
      </c>
      <c r="H58" s="220">
        <f>G58/$G$90</f>
        <v/>
      </c>
      <c r="I58" s="230">
        <f>ROUND(F58*Прил.10!$D$13,2)</f>
        <v/>
      </c>
      <c r="J58" s="230">
        <f>ROUND(I58*E58,2)</f>
        <v/>
      </c>
    </row>
    <row r="59" hidden="1" outlineLevel="1" ht="25.5" customFormat="1" customHeight="1" s="287">
      <c r="A59" s="350" t="n">
        <v>31</v>
      </c>
      <c r="B59" s="350" t="inlineStr">
        <is>
          <t>01.3.03.05-0002</t>
        </is>
      </c>
      <c r="C59" s="359" t="inlineStr">
        <is>
          <t>Кислота серная аккумуляторная, сорт высший</t>
        </is>
      </c>
      <c r="D59" s="350" t="inlineStr">
        <is>
          <t>т</t>
        </is>
      </c>
      <c r="E59" s="425" t="n">
        <v>0.0186</v>
      </c>
      <c r="F59" s="361" t="n">
        <v>6720</v>
      </c>
      <c r="G59" s="230">
        <f>ROUND(E59*F59,2)</f>
        <v/>
      </c>
      <c r="H59" s="220">
        <f>G59/$G$90</f>
        <v/>
      </c>
      <c r="I59" s="230">
        <f>ROUND(F59*Прил.10!$D$13,2)</f>
        <v/>
      </c>
      <c r="J59" s="230">
        <f>ROUND(I59*E59,2)</f>
        <v/>
      </c>
    </row>
    <row r="60" hidden="1" outlineLevel="1" ht="14.25" customFormat="1" customHeight="1" s="287">
      <c r="A60" s="350" t="n">
        <v>32</v>
      </c>
      <c r="B60" s="350" t="inlineStr">
        <is>
          <t>01.7.02.07-0011</t>
        </is>
      </c>
      <c r="C60" s="359" t="inlineStr">
        <is>
          <t>Прессшпан листовой, марка А</t>
        </is>
      </c>
      <c r="D60" s="350" t="inlineStr">
        <is>
          <t>кг</t>
        </is>
      </c>
      <c r="E60" s="425" t="n">
        <v>2.2</v>
      </c>
      <c r="F60" s="361" t="n">
        <v>47.57</v>
      </c>
      <c r="G60" s="230">
        <f>ROUND(E60*F60,2)</f>
        <v/>
      </c>
      <c r="H60" s="220">
        <f>G60/$G$90</f>
        <v/>
      </c>
      <c r="I60" s="230">
        <f>ROUND(F60*Прил.10!$D$13,2)</f>
        <v/>
      </c>
      <c r="J60" s="230">
        <f>ROUND(I60*E60,2)</f>
        <v/>
      </c>
    </row>
    <row r="61" hidden="1" outlineLevel="1" ht="25.5" customFormat="1" customHeight="1" s="287">
      <c r="A61" s="350" t="n">
        <v>33</v>
      </c>
      <c r="B61" s="350" t="inlineStr">
        <is>
          <t>11.2.11.05-0002</t>
        </is>
      </c>
      <c r="C61" s="359" t="inlineStr">
        <is>
          <t>Фанера клееная обрезная, сорт В/ВВ, ФК, ФБА, толщина 4 мм</t>
        </is>
      </c>
      <c r="D61" s="350" t="inlineStr">
        <is>
          <t>м3</t>
        </is>
      </c>
      <c r="E61" s="425" t="n">
        <v>0.016</v>
      </c>
      <c r="F61" s="361" t="n">
        <v>4949.4</v>
      </c>
      <c r="G61" s="230">
        <f>ROUND(E61*F61,2)</f>
        <v/>
      </c>
      <c r="H61" s="220">
        <f>G61/$G$90</f>
        <v/>
      </c>
      <c r="I61" s="230">
        <f>ROUND(F61*Прил.10!$D$13,2)</f>
        <v/>
      </c>
      <c r="J61" s="230">
        <f>ROUND(I61*E61,2)</f>
        <v/>
      </c>
    </row>
    <row r="62" hidden="1" outlineLevel="1" ht="25.5" customFormat="1" customHeight="1" s="287">
      <c r="A62" s="350" t="n">
        <v>34</v>
      </c>
      <c r="B62" s="350" t="inlineStr">
        <is>
          <t>999-9950</t>
        </is>
      </c>
      <c r="C62" s="359" t="inlineStr">
        <is>
          <t>Вспомогательные ненормируемые ресурсы (2% от Оплаты труда рабочих)</t>
        </is>
      </c>
      <c r="D62" s="350" t="inlineStr">
        <is>
          <t>руб</t>
        </is>
      </c>
      <c r="E62" s="425" t="n">
        <v>68.28</v>
      </c>
      <c r="F62" s="361" t="n">
        <v>1</v>
      </c>
      <c r="G62" s="230">
        <f>ROUND(E62*F62,2)</f>
        <v/>
      </c>
      <c r="H62" s="220">
        <f>G62/$G$90</f>
        <v/>
      </c>
      <c r="I62" s="230">
        <f>ROUND(F62*Прил.10!$D$13,2)</f>
        <v/>
      </c>
      <c r="J62" s="230">
        <f>ROUND(I62*E62,2)</f>
        <v/>
      </c>
    </row>
    <row r="63" hidden="1" outlineLevel="1" ht="25.5" customFormat="1" customHeight="1" s="287">
      <c r="A63" s="350" t="n">
        <v>35</v>
      </c>
      <c r="B63" s="350" t="inlineStr">
        <is>
          <t>01.7.15.04-0011</t>
        </is>
      </c>
      <c r="C63" s="359" t="inlineStr">
        <is>
          <t>Винты с полукруглой головкой, длина 50 мм</t>
        </is>
      </c>
      <c r="D63" s="350" t="inlineStr">
        <is>
          <t>т</t>
        </is>
      </c>
      <c r="E63" s="425" t="n">
        <v>0.00232</v>
      </c>
      <c r="F63" s="361" t="n">
        <v>12430</v>
      </c>
      <c r="G63" s="230">
        <f>ROUND(E63*F63,2)</f>
        <v/>
      </c>
      <c r="H63" s="220">
        <f>G63/$G$90</f>
        <v/>
      </c>
      <c r="I63" s="230">
        <f>ROUND(F63*Прил.10!$D$13,2)</f>
        <v/>
      </c>
      <c r="J63" s="230">
        <f>ROUND(I63*E63,2)</f>
        <v/>
      </c>
    </row>
    <row r="64" hidden="1" outlineLevel="1" ht="14.25" customFormat="1" customHeight="1" s="287">
      <c r="A64" s="350" t="n">
        <v>36</v>
      </c>
      <c r="B64" s="350" t="inlineStr">
        <is>
          <t>20.2.10.03-0020</t>
        </is>
      </c>
      <c r="C64" s="359" t="inlineStr">
        <is>
          <t>Наконечники кабельные П2.5-4Д-МУ3</t>
        </is>
      </c>
      <c r="D64" s="350" t="inlineStr">
        <is>
          <t>100 шт</t>
        </is>
      </c>
      <c r="E64" s="425" t="n">
        <v>0.1</v>
      </c>
      <c r="F64" s="361" t="n">
        <v>203</v>
      </c>
      <c r="G64" s="230">
        <f>ROUND(E64*F64,2)</f>
        <v/>
      </c>
      <c r="H64" s="220">
        <f>G64/$G$90</f>
        <v/>
      </c>
      <c r="I64" s="230">
        <f>ROUND(F64*Прил.10!$D$13,2)</f>
        <v/>
      </c>
      <c r="J64" s="230">
        <f>ROUND(I64*E64,2)</f>
        <v/>
      </c>
    </row>
    <row r="65" hidden="1" outlineLevel="1" ht="25.5" customFormat="1" customHeight="1" s="287">
      <c r="A65" s="350" t="n">
        <v>37</v>
      </c>
      <c r="B65" s="350" t="inlineStr">
        <is>
          <t>01.3.01.07-0009</t>
        </is>
      </c>
      <c r="C65" s="359" t="inlineStr">
        <is>
          <t>Спирт этиловый ректификованный технический, сорт I</t>
        </is>
      </c>
      <c r="D65" s="350" t="inlineStr">
        <is>
          <t>кг</t>
        </is>
      </c>
      <c r="E65" s="425" t="n">
        <v>0.31</v>
      </c>
      <c r="F65" s="361" t="n">
        <v>38.89</v>
      </c>
      <c r="G65" s="230">
        <f>ROUND(E65*F65,2)</f>
        <v/>
      </c>
      <c r="H65" s="220">
        <f>G65/$G$90</f>
        <v/>
      </c>
      <c r="I65" s="230">
        <f>ROUND(F65*Прил.10!$D$13,2)</f>
        <v/>
      </c>
      <c r="J65" s="230">
        <f>ROUND(I65*E65,2)</f>
        <v/>
      </c>
    </row>
    <row r="66" hidden="1" outlineLevel="1" ht="14.25" customFormat="1" customHeight="1" s="287">
      <c r="A66" s="350" t="n">
        <v>38</v>
      </c>
      <c r="B66" s="350" t="inlineStr">
        <is>
          <t>14.4.02.09-0001</t>
        </is>
      </c>
      <c r="C66" s="359" t="inlineStr">
        <is>
          <t>Краска</t>
        </is>
      </c>
      <c r="D66" s="350" t="inlineStr">
        <is>
          <t>кг</t>
        </is>
      </c>
      <c r="E66" s="425" t="n">
        <v>0.4</v>
      </c>
      <c r="F66" s="361" t="n">
        <v>28.6</v>
      </c>
      <c r="G66" s="230">
        <f>ROUND(E66*F66,2)</f>
        <v/>
      </c>
      <c r="H66" s="220">
        <f>G66/$G$90</f>
        <v/>
      </c>
      <c r="I66" s="230">
        <f>ROUND(F66*Прил.10!$D$13,2)</f>
        <v/>
      </c>
      <c r="J66" s="230">
        <f>ROUND(I66*E66,2)</f>
        <v/>
      </c>
    </row>
    <row r="67" hidden="1" outlineLevel="1" ht="14.25" customFormat="1" customHeight="1" s="287">
      <c r="A67" s="350" t="n">
        <v>39</v>
      </c>
      <c r="B67" s="350" t="inlineStr">
        <is>
          <t>01.7.15.07-0014</t>
        </is>
      </c>
      <c r="C67" s="359" t="inlineStr">
        <is>
          <t>Дюбели распорные полипропиленовые</t>
        </is>
      </c>
      <c r="D67" s="350" t="inlineStr">
        <is>
          <t>100 шт</t>
        </is>
      </c>
      <c r="E67" s="425" t="n">
        <v>0.1</v>
      </c>
      <c r="F67" s="361" t="n">
        <v>86</v>
      </c>
      <c r="G67" s="230">
        <f>ROUND(E67*F67,2)</f>
        <v/>
      </c>
      <c r="H67" s="220">
        <f>G67/$G$90</f>
        <v/>
      </c>
      <c r="I67" s="230">
        <f>ROUND(F67*Прил.10!$D$13,2)</f>
        <v/>
      </c>
      <c r="J67" s="230">
        <f>ROUND(I67*E67,2)</f>
        <v/>
      </c>
    </row>
    <row r="68" hidden="1" outlineLevel="1" ht="25.5" customFormat="1" customHeight="1" s="287">
      <c r="A68" s="350" t="n">
        <v>40</v>
      </c>
      <c r="B68" s="350" t="inlineStr">
        <is>
          <t>01.7.15.07-0012</t>
        </is>
      </c>
      <c r="C68" s="359" t="inlineStr">
        <is>
          <t>Дюбели пластмассовые с шурупами, размер 12х70 мм</t>
        </is>
      </c>
      <c r="D68" s="350" t="inlineStr">
        <is>
          <t>100 шт</t>
        </is>
      </c>
      <c r="E68" s="425" t="n">
        <v>0.1</v>
      </c>
      <c r="F68" s="361" t="n">
        <v>83</v>
      </c>
      <c r="G68" s="230">
        <f>ROUND(E68*F68,2)</f>
        <v/>
      </c>
      <c r="H68" s="220">
        <f>G68/$G$90</f>
        <v/>
      </c>
      <c r="I68" s="230">
        <f>ROUND(F68*Прил.10!$D$13,2)</f>
        <v/>
      </c>
      <c r="J68" s="230">
        <f>ROUND(I68*E68,2)</f>
        <v/>
      </c>
    </row>
    <row r="69" hidden="1" outlineLevel="1" ht="14.25" customFormat="1" customHeight="1" s="287">
      <c r="A69" s="350" t="n">
        <v>41</v>
      </c>
      <c r="B69" s="350" t="inlineStr">
        <is>
          <t>01.7.20.03-0012</t>
        </is>
      </c>
      <c r="C69" s="359" t="inlineStr">
        <is>
          <t>Мешковина джутовая</t>
        </is>
      </c>
      <c r="D69" s="350" t="inlineStr">
        <is>
          <t>м2</t>
        </is>
      </c>
      <c r="E69" s="425" t="n">
        <v>0.9</v>
      </c>
      <c r="F69" s="361" t="n">
        <v>8.33</v>
      </c>
      <c r="G69" s="230">
        <f>ROUND(E69*F69,2)</f>
        <v/>
      </c>
      <c r="H69" s="220">
        <f>G69/$G$90</f>
        <v/>
      </c>
      <c r="I69" s="230">
        <f>ROUND(F69*Прил.10!$D$13,2)</f>
        <v/>
      </c>
      <c r="J69" s="230">
        <f>ROUND(I69*E69,2)</f>
        <v/>
      </c>
    </row>
    <row r="70" hidden="1" outlineLevel="1" ht="14.25" customFormat="1" customHeight="1" s="287">
      <c r="A70" s="350" t="n">
        <v>42</v>
      </c>
      <c r="B70" s="350" t="inlineStr">
        <is>
          <t>21.2.03.09-0101</t>
        </is>
      </c>
      <c r="C70" s="359" t="inlineStr">
        <is>
          <t>Провод силовой АПРН 1х35-660</t>
        </is>
      </c>
      <c r="D70" s="350" t="inlineStr">
        <is>
          <t>1000 м</t>
        </is>
      </c>
      <c r="E70" s="425" t="n">
        <v>0.0007</v>
      </c>
      <c r="F70" s="361" t="n">
        <v>10534.99</v>
      </c>
      <c r="G70" s="230">
        <f>ROUND(E70*F70,2)</f>
        <v/>
      </c>
      <c r="H70" s="220">
        <f>G70/$G$90</f>
        <v/>
      </c>
      <c r="I70" s="230">
        <f>ROUND(F70*Прил.10!$D$13,2)</f>
        <v/>
      </c>
      <c r="J70" s="230">
        <f>ROUND(I70*E70,2)</f>
        <v/>
      </c>
    </row>
    <row r="71" hidden="1" outlineLevel="1" ht="14.25" customFormat="1" customHeight="1" s="287">
      <c r="A71" s="350" t="n">
        <v>43</v>
      </c>
      <c r="B71" s="350" t="inlineStr">
        <is>
          <t>10.1.01.02-0011</t>
        </is>
      </c>
      <c r="C71" s="359" t="inlineStr">
        <is>
          <t>Сплавы алюминиевые литейные АК5М2</t>
        </is>
      </c>
      <c r="D71" s="350" t="inlineStr">
        <is>
          <t>т</t>
        </is>
      </c>
      <c r="E71" s="425" t="n">
        <v>0.00015</v>
      </c>
      <c r="F71" s="361" t="n">
        <v>41210</v>
      </c>
      <c r="G71" s="230">
        <f>ROUND(E71*F71,2)</f>
        <v/>
      </c>
      <c r="H71" s="220">
        <f>G71/$G$90</f>
        <v/>
      </c>
      <c r="I71" s="230">
        <f>ROUND(F71*Прил.10!$D$13,2)</f>
        <v/>
      </c>
      <c r="J71" s="230">
        <f>ROUND(I71*E71,2)</f>
        <v/>
      </c>
    </row>
    <row r="72" hidden="1" outlineLevel="1" ht="14.25" customFormat="1" customHeight="1" s="287">
      <c r="A72" s="350" t="n">
        <v>44</v>
      </c>
      <c r="B72" s="350" t="inlineStr">
        <is>
          <t>24.3.03.01-0101</t>
        </is>
      </c>
      <c r="C72" s="359" t="inlineStr">
        <is>
          <t>Трубка полиэтиленовая, диаметр 6-10 мм</t>
        </is>
      </c>
      <c r="D72" s="350" t="inlineStr">
        <is>
          <t>10 м</t>
        </is>
      </c>
      <c r="E72" s="425" t="n">
        <v>0.2</v>
      </c>
      <c r="F72" s="361" t="n">
        <v>29.75</v>
      </c>
      <c r="G72" s="230">
        <f>ROUND(E72*F72,2)</f>
        <v/>
      </c>
      <c r="H72" s="220">
        <f>G72/$G$90</f>
        <v/>
      </c>
      <c r="I72" s="230">
        <f>ROUND(F72*Прил.10!$D$13,2)</f>
        <v/>
      </c>
      <c r="J72" s="230">
        <f>ROUND(I72*E72,2)</f>
        <v/>
      </c>
    </row>
    <row r="73" hidden="1" outlineLevel="1" ht="25.5" customFormat="1" customHeight="1" s="287">
      <c r="A73" s="350" t="n">
        <v>45</v>
      </c>
      <c r="B73" s="350" t="inlineStr">
        <is>
          <t>10.3.02.03-0012</t>
        </is>
      </c>
      <c r="C73" s="359" t="inlineStr">
        <is>
          <t>Припои оловянно-свинцовые бессурьмянистые, марка ПОС40</t>
        </is>
      </c>
      <c r="D73" s="350" t="inlineStr">
        <is>
          <t>т</t>
        </is>
      </c>
      <c r="E73" s="425" t="n">
        <v>6.3e-05</v>
      </c>
      <c r="F73" s="361" t="n">
        <v>65750</v>
      </c>
      <c r="G73" s="230">
        <f>ROUND(E73*F73,2)</f>
        <v/>
      </c>
      <c r="H73" s="220">
        <f>G73/$G$90</f>
        <v/>
      </c>
      <c r="I73" s="230">
        <f>ROUND(F73*Прил.10!$D$13,2)</f>
        <v/>
      </c>
      <c r="J73" s="230">
        <f>ROUND(I73*E73,2)</f>
        <v/>
      </c>
    </row>
    <row r="74" hidden="1" outlineLevel="1" ht="25.5" customFormat="1" customHeight="1" s="287">
      <c r="A74" s="350" t="n">
        <v>46</v>
      </c>
      <c r="B74" s="350" t="inlineStr">
        <is>
          <t>01.7.15.03-0031</t>
        </is>
      </c>
      <c r="C74" s="359" t="inlineStr">
        <is>
          <t>Болты с гайками и шайбами оцинкованные, диаметр 6 мм</t>
        </is>
      </c>
      <c r="D74" s="350" t="inlineStr">
        <is>
          <t>кг</t>
        </is>
      </c>
      <c r="E74" s="425" t="n">
        <v>0.14</v>
      </c>
      <c r="F74" s="361" t="n">
        <v>28.22</v>
      </c>
      <c r="G74" s="230">
        <f>ROUND(E74*F74,2)</f>
        <v/>
      </c>
      <c r="H74" s="220">
        <f>G74/$G$90</f>
        <v/>
      </c>
      <c r="I74" s="230">
        <f>ROUND(F74*Прил.10!$D$13,2)</f>
        <v/>
      </c>
      <c r="J74" s="230">
        <f>ROUND(I74*E74,2)</f>
        <v/>
      </c>
    </row>
    <row r="75" hidden="1" outlineLevel="1" ht="38.25" customFormat="1" customHeight="1" s="287">
      <c r="A75" s="350" t="n">
        <v>47</v>
      </c>
      <c r="B75" s="350" t="inlineStr">
        <is>
          <t>10.2.02.08-0001</t>
        </is>
      </c>
      <c r="C75" s="359" t="inlineStr">
        <is>
          <t>Проволока медная, круглая, мягкая, электротехническая, диаметр 1,0-3,0 мм и выше</t>
        </is>
      </c>
      <c r="D75" s="350" t="inlineStr">
        <is>
          <t>т</t>
        </is>
      </c>
      <c r="E75" s="425" t="n">
        <v>0.0001</v>
      </c>
      <c r="F75" s="361" t="n">
        <v>37517</v>
      </c>
      <c r="G75" s="230">
        <f>ROUND(E75*F75,2)</f>
        <v/>
      </c>
      <c r="H75" s="220">
        <f>G75/$G$90</f>
        <v/>
      </c>
      <c r="I75" s="230">
        <f>ROUND(F75*Прил.10!$D$13,2)</f>
        <v/>
      </c>
      <c r="J75" s="230">
        <f>ROUND(I75*E75,2)</f>
        <v/>
      </c>
    </row>
    <row r="76" hidden="1" outlineLevel="1" ht="25.5" customFormat="1" customHeight="1" s="287">
      <c r="A76" s="350" t="n">
        <v>48</v>
      </c>
      <c r="B76" s="350" t="inlineStr">
        <is>
          <t>24.3.01.01-0004</t>
        </is>
      </c>
      <c r="C76" s="359" t="inlineStr">
        <is>
          <t>Трубка электроизоляционная ПВХ-305, диаметр 6-10 мм</t>
        </is>
      </c>
      <c r="D76" s="350" t="inlineStr">
        <is>
          <t>кг</t>
        </is>
      </c>
      <c r="E76" s="425" t="n">
        <v>0.08</v>
      </c>
      <c r="F76" s="361" t="n">
        <v>38.34</v>
      </c>
      <c r="G76" s="230">
        <f>ROUND(E76*F76,2)</f>
        <v/>
      </c>
      <c r="H76" s="220">
        <f>G76/$G$90</f>
        <v/>
      </c>
      <c r="I76" s="230">
        <f>ROUND(F76*Прил.10!$D$13,2)</f>
        <v/>
      </c>
      <c r="J76" s="230">
        <f>ROUND(I76*E76,2)</f>
        <v/>
      </c>
    </row>
    <row r="77" hidden="1" outlineLevel="1" ht="14.25" customFormat="1" customHeight="1" s="287">
      <c r="A77" s="350" t="n">
        <v>49</v>
      </c>
      <c r="B77" s="350" t="inlineStr">
        <is>
          <t>01.3.05.23-0061</t>
        </is>
      </c>
      <c r="C77" s="359" t="inlineStr">
        <is>
          <t>Натрий едкий марка ТД, технический</t>
        </is>
      </c>
      <c r="D77" s="350" t="inlineStr">
        <is>
          <t>т</t>
        </is>
      </c>
      <c r="E77" s="425" t="n">
        <v>0.00051</v>
      </c>
      <c r="F77" s="361" t="n">
        <v>5850</v>
      </c>
      <c r="G77" s="230">
        <f>ROUND(E77*F77,2)</f>
        <v/>
      </c>
      <c r="H77" s="220">
        <f>G77/$G$90</f>
        <v/>
      </c>
      <c r="I77" s="230">
        <f>ROUND(F77*Прил.10!$D$13,2)</f>
        <v/>
      </c>
      <c r="J77" s="230">
        <f>ROUND(I77*E77,2)</f>
        <v/>
      </c>
    </row>
    <row r="78" hidden="1" outlineLevel="1" ht="14.25" customFormat="1" customHeight="1" s="287">
      <c r="A78" s="350" t="n">
        <v>50</v>
      </c>
      <c r="B78" s="350" t="inlineStr">
        <is>
          <t>01.7.15.03-0042</t>
        </is>
      </c>
      <c r="C78" s="359" t="inlineStr">
        <is>
          <t>Болты с гайками и шайбами строительные</t>
        </is>
      </c>
      <c r="D78" s="350" t="inlineStr">
        <is>
          <t>кг</t>
        </is>
      </c>
      <c r="E78" s="425" t="n">
        <v>0.3</v>
      </c>
      <c r="F78" s="361" t="n">
        <v>9.039999999999999</v>
      </c>
      <c r="G78" s="230">
        <f>ROUND(E78*F78,2)</f>
        <v/>
      </c>
      <c r="H78" s="220">
        <f>G78/$G$90</f>
        <v/>
      </c>
      <c r="I78" s="230">
        <f>ROUND(F78*Прил.10!$D$13,2)</f>
        <v/>
      </c>
      <c r="J78" s="230">
        <f>ROUND(I78*E78,2)</f>
        <v/>
      </c>
    </row>
    <row r="79" hidden="1" outlineLevel="1" ht="38.25" customFormat="1" customHeight="1" s="287">
      <c r="A79" s="350" t="n">
        <v>51</v>
      </c>
      <c r="B79" s="350" t="inlineStr">
        <is>
          <t>01.7.06.05-0042</t>
        </is>
      </c>
      <c r="C79" s="359" t="inlineStr">
        <is>
          <t>Лента липкая изоляционная на поликасиновом компаунде, ширина 20-30 мм, толщина от 0,14 до 0,19 мм</t>
        </is>
      </c>
      <c r="D79" s="350" t="inlineStr">
        <is>
          <t>кг</t>
        </is>
      </c>
      <c r="E79" s="425" t="n">
        <v>0.02</v>
      </c>
      <c r="F79" s="361" t="n">
        <v>91.29000000000001</v>
      </c>
      <c r="G79" s="230">
        <f>ROUND(E79*F79,2)</f>
        <v/>
      </c>
      <c r="H79" s="220">
        <f>G79/$G$90</f>
        <v/>
      </c>
      <c r="I79" s="230">
        <f>ROUND(F79*Прил.10!$D$13,2)</f>
        <v/>
      </c>
      <c r="J79" s="230">
        <f>ROUND(I79*E79,2)</f>
        <v/>
      </c>
    </row>
    <row r="80" hidden="1" outlineLevel="1" ht="38.25" customFormat="1" customHeight="1" s="287">
      <c r="A80" s="350" t="n">
        <v>52</v>
      </c>
      <c r="B80" s="350" t="inlineStr">
        <is>
          <t>11.1.03.06-0013</t>
        </is>
      </c>
      <c r="C80" s="359" t="inlineStr">
        <is>
          <t>Доска обрезная, лиственных пород (береза, липа), длина 2-3,75 м, все ширины, толщина 19-22 мм, сорт IIIа</t>
        </is>
      </c>
      <c r="D80" s="350" t="inlineStr">
        <is>
          <t>м3</t>
        </is>
      </c>
      <c r="E80" s="425" t="n">
        <v>0.002</v>
      </c>
      <c r="F80" s="361" t="n">
        <v>542.1</v>
      </c>
      <c r="G80" s="230">
        <f>ROUND(E80*F80,2)</f>
        <v/>
      </c>
      <c r="H80" s="220">
        <f>G80/$G$90</f>
        <v/>
      </c>
      <c r="I80" s="230">
        <f>ROUND(F80*Прил.10!$D$13,2)</f>
        <v/>
      </c>
      <c r="J80" s="230">
        <f>ROUND(I80*E80,2)</f>
        <v/>
      </c>
    </row>
    <row r="81" hidden="1" outlineLevel="1" ht="14.25" customFormat="1" customHeight="1" s="287">
      <c r="A81" s="350" t="n">
        <v>53</v>
      </c>
      <c r="B81" s="350" t="inlineStr">
        <is>
          <t>14.4.03.17-0011</t>
        </is>
      </c>
      <c r="C81" s="359" t="inlineStr">
        <is>
          <t>Лак электроизоляционный 318</t>
        </is>
      </c>
      <c r="D81" s="350" t="inlineStr">
        <is>
          <t>кг</t>
        </is>
      </c>
      <c r="E81" s="425" t="n">
        <v>0.03</v>
      </c>
      <c r="F81" s="361" t="n">
        <v>35.63</v>
      </c>
      <c r="G81" s="230">
        <f>ROUND(E81*F81,2)</f>
        <v/>
      </c>
      <c r="H81" s="220">
        <f>G81/$G$90</f>
        <v/>
      </c>
      <c r="I81" s="230">
        <f>ROUND(F81*Прил.10!$D$13,2)</f>
        <v/>
      </c>
      <c r="J81" s="230">
        <f>ROUND(I81*E81,2)</f>
        <v/>
      </c>
    </row>
    <row r="82" hidden="1" outlineLevel="1" ht="14.25" customFormat="1" customHeight="1" s="287">
      <c r="A82" s="350" t="n">
        <v>54</v>
      </c>
      <c r="B82" s="350" t="inlineStr">
        <is>
          <t>14.1.01.01-0003</t>
        </is>
      </c>
      <c r="C82" s="359" t="inlineStr">
        <is>
          <t>Клей столярный сухой</t>
        </is>
      </c>
      <c r="D82" s="350" t="inlineStr">
        <is>
          <t>кг</t>
        </is>
      </c>
      <c r="E82" s="425" t="n">
        <v>0.05</v>
      </c>
      <c r="F82" s="361" t="n">
        <v>16.95</v>
      </c>
      <c r="G82" s="230">
        <f>ROUND(E82*F82,2)</f>
        <v/>
      </c>
      <c r="H82" s="220">
        <f>G82/$G$90</f>
        <v/>
      </c>
      <c r="I82" s="230">
        <f>ROUND(F82*Прил.10!$D$13,2)</f>
        <v/>
      </c>
      <c r="J82" s="230">
        <f>ROUND(I82*E82,2)</f>
        <v/>
      </c>
    </row>
    <row r="83" hidden="1" outlineLevel="1" ht="14.25" customFormat="1" customHeight="1" s="287">
      <c r="A83" s="350" t="n">
        <v>55</v>
      </c>
      <c r="B83" s="350" t="inlineStr">
        <is>
          <t>01.7.15.14-0165</t>
        </is>
      </c>
      <c r="C83" s="359" t="inlineStr">
        <is>
          <t>Шурупы с полукруглой головкой 4х40 мм</t>
        </is>
      </c>
      <c r="D83" s="350" t="inlineStr">
        <is>
          <t>т</t>
        </is>
      </c>
      <c r="E83" s="425" t="n">
        <v>4e-05</v>
      </c>
      <c r="F83" s="361" t="n">
        <v>12430</v>
      </c>
      <c r="G83" s="230">
        <f>ROUND(E83*F83,2)</f>
        <v/>
      </c>
      <c r="H83" s="220">
        <f>G83/$G$90</f>
        <v/>
      </c>
      <c r="I83" s="230">
        <f>ROUND(F83*Прил.10!$D$13,2)</f>
        <v/>
      </c>
      <c r="J83" s="230">
        <f>ROUND(I83*E83,2)</f>
        <v/>
      </c>
    </row>
    <row r="84" hidden="1" outlineLevel="1" ht="25.5" customFormat="1" customHeight="1" s="287">
      <c r="A84" s="350" t="n">
        <v>56</v>
      </c>
      <c r="B84" s="350" t="inlineStr">
        <is>
          <t>14.3.02.01-0219</t>
        </is>
      </c>
      <c r="C84" s="359" t="inlineStr">
        <is>
          <t>Краска универсальная, акриловая для внутренних и наружных работ</t>
        </is>
      </c>
      <c r="D84" s="350" t="inlineStr">
        <is>
          <t>т</t>
        </is>
      </c>
      <c r="E84" s="425" t="n">
        <v>2e-05</v>
      </c>
      <c r="F84" s="361" t="n">
        <v>15481</v>
      </c>
      <c r="G84" s="230">
        <f>ROUND(E84*F84,2)</f>
        <v/>
      </c>
      <c r="H84" s="220">
        <f>G84/$G$90</f>
        <v/>
      </c>
      <c r="I84" s="230">
        <f>ROUND(F84*Прил.10!$D$13,2)</f>
        <v/>
      </c>
      <c r="J84" s="230">
        <f>ROUND(I84*E84,2)</f>
        <v/>
      </c>
    </row>
    <row r="85" hidden="1" outlineLevel="1" ht="14.25" customFormat="1" customHeight="1" s="287">
      <c r="A85" s="350" t="n">
        <v>57</v>
      </c>
      <c r="B85" s="350" t="inlineStr">
        <is>
          <t>22.2.02.15-0001</t>
        </is>
      </c>
      <c r="C85" s="359" t="inlineStr">
        <is>
          <t>Скрепы 10х2 мм</t>
        </is>
      </c>
      <c r="D85" s="350" t="inlineStr">
        <is>
          <t>кг</t>
        </is>
      </c>
      <c r="E85" s="425" t="n">
        <v>0.02</v>
      </c>
      <c r="F85" s="361" t="n">
        <v>15.37</v>
      </c>
      <c r="G85" s="230">
        <f>ROUND(E85*F85,2)</f>
        <v/>
      </c>
      <c r="H85" s="220">
        <f>G85/$G$90</f>
        <v/>
      </c>
      <c r="I85" s="230">
        <f>ROUND(F85*Прил.10!$D$13,2)</f>
        <v/>
      </c>
      <c r="J85" s="230">
        <f>ROUND(I85*E85,2)</f>
        <v/>
      </c>
    </row>
    <row r="86" hidden="1" outlineLevel="1" ht="14.25" customFormat="1" customHeight="1" s="287">
      <c r="A86" s="350" t="n">
        <v>58</v>
      </c>
      <c r="B86" s="350" t="inlineStr">
        <is>
          <t>01.3.05.17-0002</t>
        </is>
      </c>
      <c r="C86" s="359" t="inlineStr">
        <is>
          <t>Канифоль сосновая</t>
        </is>
      </c>
      <c r="D86" s="350" t="inlineStr">
        <is>
          <t>кг</t>
        </is>
      </c>
      <c r="E86" s="425" t="n">
        <v>0.01</v>
      </c>
      <c r="F86" s="361" t="n">
        <v>27.74</v>
      </c>
      <c r="G86" s="230">
        <f>ROUND(E86*F86,2)</f>
        <v/>
      </c>
      <c r="H86" s="220">
        <f>G86/$G$90</f>
        <v/>
      </c>
      <c r="I86" s="230">
        <f>ROUND(F86*Прил.10!$D$13,2)</f>
        <v/>
      </c>
      <c r="J86" s="230">
        <f>ROUND(I86*E86,2)</f>
        <v/>
      </c>
    </row>
    <row r="87" hidden="1" outlineLevel="1" ht="14.25" customFormat="1" customHeight="1" s="287">
      <c r="A87" s="350" t="n">
        <v>59</v>
      </c>
      <c r="B87" s="350" t="inlineStr">
        <is>
          <t>03.1.01.01-0002</t>
        </is>
      </c>
      <c r="C87" s="359" t="inlineStr">
        <is>
          <t>Гипс строительный Г-3</t>
        </is>
      </c>
      <c r="D87" s="350" t="inlineStr">
        <is>
          <t>т</t>
        </is>
      </c>
      <c r="E87" s="425" t="n">
        <v>0.0003</v>
      </c>
      <c r="F87" s="361" t="n">
        <v>729.98</v>
      </c>
      <c r="G87" s="230">
        <f>ROUND(E87*F87,2)</f>
        <v/>
      </c>
      <c r="H87" s="220">
        <f>G87/$G$90</f>
        <v/>
      </c>
      <c r="I87" s="230">
        <f>ROUND(F87*Прил.10!$D$13,2)</f>
        <v/>
      </c>
      <c r="J87" s="230">
        <f>ROUND(I87*E87,2)</f>
        <v/>
      </c>
    </row>
    <row r="88" hidden="1" outlineLevel="1" ht="14.25" customFormat="1" customHeight="1" s="287">
      <c r="A88" s="350" t="n">
        <v>60</v>
      </c>
      <c r="B88" s="350" t="inlineStr">
        <is>
          <t>999-0005</t>
        </is>
      </c>
      <c r="C88" s="359" t="inlineStr">
        <is>
          <t>Масса</t>
        </is>
      </c>
      <c r="D88" s="350" t="inlineStr">
        <is>
          <t>т</t>
        </is>
      </c>
      <c r="E88" s="425" t="n">
        <v>0.141</v>
      </c>
      <c r="F88" s="361" t="n"/>
      <c r="G88" s="230">
        <f>ROUND(E88*F88,2)</f>
        <v/>
      </c>
      <c r="H88" s="220">
        <f>G88/$G$90</f>
        <v/>
      </c>
      <c r="I88" s="230">
        <f>ROUND(F88*Прил.10!$D$13,2)</f>
        <v/>
      </c>
      <c r="J88" s="230">
        <f>ROUND(I88*E88,2)</f>
        <v/>
      </c>
    </row>
    <row r="89" collapsed="1" ht="14.25" customFormat="1" customHeight="1" s="287">
      <c r="A89" s="350" t="n"/>
      <c r="B89" s="350" t="n"/>
      <c r="C89" s="359" t="inlineStr">
        <is>
          <t>Итого прочие материалы</t>
        </is>
      </c>
      <c r="D89" s="350" t="n"/>
      <c r="E89" s="360" t="n"/>
      <c r="F89" s="361" t="n"/>
      <c r="G89" s="230">
        <f>SUM(G57:G88)</f>
        <v/>
      </c>
      <c r="H89" s="220">
        <f>G89/$G$90</f>
        <v/>
      </c>
      <c r="I89" s="230" t="n"/>
      <c r="J89" s="230">
        <f>SUM(J57:J88)</f>
        <v/>
      </c>
    </row>
    <row r="90" ht="14.25" customFormat="1" customHeight="1" s="287">
      <c r="A90" s="350" t="n"/>
      <c r="B90" s="350" t="n"/>
      <c r="C90" s="358" t="inlineStr">
        <is>
          <t>Итого по разделу «Материалы»</t>
        </is>
      </c>
      <c r="D90" s="350" t="n"/>
      <c r="E90" s="360" t="n"/>
      <c r="F90" s="361" t="n"/>
      <c r="G90" s="230">
        <f>G56+G89</f>
        <v/>
      </c>
      <c r="H90" s="362">
        <f>G90/$G$90</f>
        <v/>
      </c>
      <c r="I90" s="230" t="n"/>
      <c r="J90" s="230">
        <f>J56+J89</f>
        <v/>
      </c>
    </row>
    <row r="91" ht="14.25" customFormat="1" customHeight="1" s="287">
      <c r="A91" s="350" t="n"/>
      <c r="B91" s="350" t="n"/>
      <c r="C91" s="359" t="inlineStr">
        <is>
          <t>ИТОГО ПО РМ</t>
        </is>
      </c>
      <c r="D91" s="350" t="n"/>
      <c r="E91" s="360" t="n"/>
      <c r="F91" s="361" t="n"/>
      <c r="G91" s="230">
        <f>G16+G30+G90</f>
        <v/>
      </c>
      <c r="H91" s="362" t="n"/>
      <c r="I91" s="230" t="n"/>
      <c r="J91" s="230">
        <f>J16+J30+J90</f>
        <v/>
      </c>
    </row>
    <row r="92" ht="14.25" customFormat="1" customHeight="1" s="287">
      <c r="A92" s="350" t="n"/>
      <c r="B92" s="350" t="n"/>
      <c r="C92" s="359" t="inlineStr">
        <is>
          <t>Накладные расходы</t>
        </is>
      </c>
      <c r="D92" s="242">
        <f>ROUND(G92/(G$18+$G$16),2)</f>
        <v/>
      </c>
      <c r="E92" s="360" t="n"/>
      <c r="F92" s="361" t="n"/>
      <c r="G92" s="230">
        <f>1133.12+2104.62</f>
        <v/>
      </c>
      <c r="H92" s="362" t="n"/>
      <c r="I92" s="230" t="n"/>
      <c r="J92" s="230">
        <f>ROUND(D92*(J16+J18),2)</f>
        <v/>
      </c>
    </row>
    <row r="93" ht="14.25" customFormat="1" customHeight="1" s="287">
      <c r="A93" s="350" t="n"/>
      <c r="B93" s="350" t="n"/>
      <c r="C93" s="359" t="inlineStr">
        <is>
          <t>Сметная прибыль</t>
        </is>
      </c>
      <c r="D93" s="242">
        <f>ROUND(G93/(G$16+G$18),2)</f>
        <v/>
      </c>
      <c r="E93" s="360" t="n"/>
      <c r="F93" s="361" t="n"/>
      <c r="G93" s="230">
        <f>595.76+1078.64</f>
        <v/>
      </c>
      <c r="H93" s="362" t="n"/>
      <c r="I93" s="230" t="n"/>
      <c r="J93" s="230">
        <f>ROUND(D93*(J16+J18),2)</f>
        <v/>
      </c>
    </row>
    <row r="94" ht="14.25" customFormat="1" customHeight="1" s="287">
      <c r="A94" s="350" t="n"/>
      <c r="B94" s="350" t="n"/>
      <c r="C94" s="359" t="inlineStr">
        <is>
          <t>Итого СМР (с НР и СП)</t>
        </is>
      </c>
      <c r="D94" s="350" t="n"/>
      <c r="E94" s="360" t="n"/>
      <c r="F94" s="361" t="n"/>
      <c r="G94" s="230">
        <f>G16+G30+G90+G92+G93</f>
        <v/>
      </c>
      <c r="H94" s="362" t="n"/>
      <c r="I94" s="230" t="n"/>
      <c r="J94" s="230">
        <f>J16+J30+J90+J92+J93</f>
        <v/>
      </c>
    </row>
    <row r="95" ht="14.25" customFormat="1" customHeight="1" s="287">
      <c r="A95" s="350" t="n"/>
      <c r="B95" s="350" t="n"/>
      <c r="C95" s="359" t="inlineStr">
        <is>
          <t>ВСЕГО СМР + ОБОРУДОВАНИЕ</t>
        </is>
      </c>
      <c r="D95" s="350" t="n"/>
      <c r="E95" s="360" t="n"/>
      <c r="F95" s="361" t="n"/>
      <c r="G95" s="230">
        <f>G94+G51</f>
        <v/>
      </c>
      <c r="H95" s="362" t="n"/>
      <c r="I95" s="230" t="n"/>
      <c r="J95" s="230">
        <f>J94+J51</f>
        <v/>
      </c>
    </row>
    <row r="96" ht="34.5" customFormat="1" customHeight="1" s="287">
      <c r="A96" s="350" t="n"/>
      <c r="B96" s="350" t="n"/>
      <c r="C96" s="359" t="inlineStr">
        <is>
          <t>ИТОГО ПОКАЗАТЕЛЬ НА ЕД. ИЗМ.</t>
        </is>
      </c>
      <c r="D96" s="350" t="inlineStr">
        <is>
          <t>ед.</t>
        </is>
      </c>
      <c r="E96" s="429" t="n">
        <v>1</v>
      </c>
      <c r="F96" s="361" t="n"/>
      <c r="G96" s="230">
        <f>G95/E96</f>
        <v/>
      </c>
      <c r="H96" s="362" t="n"/>
      <c r="I96" s="230" t="n"/>
      <c r="J96" s="230">
        <f>J95/E96</f>
        <v/>
      </c>
    </row>
    <row r="98" ht="14.25" customFormat="1" customHeight="1" s="287">
      <c r="A98" s="286" t="inlineStr">
        <is>
          <t>Составил ______________________    Д.Ю. Нефедова</t>
        </is>
      </c>
    </row>
    <row r="99" ht="14.25" customFormat="1" customHeight="1" s="287">
      <c r="A99" s="289" t="inlineStr">
        <is>
          <t xml:space="preserve">                         (подпись, инициалы, фамилия)</t>
        </is>
      </c>
    </row>
    <row r="100" ht="14.25" customFormat="1" customHeight="1" s="287">
      <c r="A100" s="286" t="n"/>
    </row>
    <row r="101" ht="14.25" customFormat="1" customHeight="1" s="287">
      <c r="A101" s="286" t="inlineStr">
        <is>
          <t>Проверил ______________________        А.В. Костянецкая</t>
        </is>
      </c>
    </row>
    <row r="102" ht="14.25" customFormat="1" customHeight="1" s="287">
      <c r="A102" s="28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2:H32"/>
    <mergeCell ref="E9:E10"/>
    <mergeCell ref="A7:H7"/>
    <mergeCell ref="B54:H54"/>
    <mergeCell ref="B31:H31"/>
    <mergeCell ref="B9:B10"/>
    <mergeCell ref="D9:D10"/>
    <mergeCell ref="B12:H12"/>
    <mergeCell ref="D6:J6"/>
    <mergeCell ref="A8:H8"/>
    <mergeCell ref="F9:G9"/>
    <mergeCell ref="B17:H17"/>
    <mergeCell ref="A9:A10"/>
    <mergeCell ref="B53:H53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35"/>
  <sheetViews>
    <sheetView view="pageBreakPreview" topLeftCell="A16" workbookViewId="0">
      <selection activeCell="I40" sqref="I40"/>
    </sheetView>
  </sheetViews>
  <sheetFormatPr baseColWidth="8" defaultRowHeight="15"/>
  <cols>
    <col width="5.7109375" customWidth="1" style="290" min="1" max="1"/>
    <col width="17.5703125" customWidth="1" style="290" min="2" max="2"/>
    <col width="39.140625" customWidth="1" style="290" min="3" max="3"/>
    <col width="10.7109375" customWidth="1" style="290" min="4" max="4"/>
    <col width="13.85546875" customWidth="1" style="290" min="5" max="5"/>
    <col width="13.28515625" customWidth="1" style="290" min="6" max="6"/>
    <col width="14.140625" customWidth="1" style="290" min="7" max="7"/>
  </cols>
  <sheetData>
    <row r="1">
      <c r="A1" s="367" t="inlineStr">
        <is>
          <t>Приложение №6</t>
        </is>
      </c>
    </row>
    <row r="2" ht="21.75" customHeight="1" s="290">
      <c r="A2" s="367" t="n"/>
      <c r="B2" s="367" t="n"/>
      <c r="C2" s="367" t="n"/>
      <c r="D2" s="367" t="n"/>
      <c r="E2" s="367" t="n"/>
      <c r="F2" s="367" t="n"/>
      <c r="G2" s="367" t="n"/>
    </row>
    <row r="3">
      <c r="A3" s="321" t="inlineStr">
        <is>
          <t>Расчет стоимости оборудования</t>
        </is>
      </c>
    </row>
    <row r="4" ht="25.5" customHeight="1" s="290">
      <c r="A4" s="324" t="inlineStr">
        <is>
          <t>Наименование разрабатываемого показателя УНЦ — Комплекс систем безопасности ПС. Шкаф ЦК системы видеонаблюдения</t>
        </is>
      </c>
    </row>
    <row r="5">
      <c r="A5" s="286" t="n"/>
      <c r="B5" s="286" t="n"/>
      <c r="C5" s="286" t="n"/>
      <c r="D5" s="286" t="n"/>
      <c r="E5" s="286" t="n"/>
      <c r="F5" s="286" t="n"/>
      <c r="G5" s="286" t="n"/>
    </row>
    <row r="6" ht="30" customHeight="1" s="290">
      <c r="A6" s="372" t="inlineStr">
        <is>
          <t>№ пп.</t>
        </is>
      </c>
      <c r="B6" s="372" t="inlineStr">
        <is>
          <t>Код ресурса</t>
        </is>
      </c>
      <c r="C6" s="372" t="inlineStr">
        <is>
          <t>Наименование</t>
        </is>
      </c>
      <c r="D6" s="372" t="inlineStr">
        <is>
          <t>Ед. изм.</t>
        </is>
      </c>
      <c r="E6" s="350" t="inlineStr">
        <is>
          <t>Кол-во единиц по проектным данным</t>
        </is>
      </c>
      <c r="F6" s="372" t="inlineStr">
        <is>
          <t>Сметная стоимость в ценах на 01.01.2000 (руб.)</t>
        </is>
      </c>
      <c r="G6" s="421" t="n"/>
    </row>
    <row r="7">
      <c r="A7" s="423" t="n"/>
      <c r="B7" s="423" t="n"/>
      <c r="C7" s="423" t="n"/>
      <c r="D7" s="423" t="n"/>
      <c r="E7" s="423" t="n"/>
      <c r="F7" s="350" t="inlineStr">
        <is>
          <t>на ед. изм.</t>
        </is>
      </c>
      <c r="G7" s="350" t="inlineStr">
        <is>
          <t>общая</t>
        </is>
      </c>
    </row>
    <row r="8">
      <c r="A8" s="350" t="n">
        <v>1</v>
      </c>
      <c r="B8" s="350" t="n">
        <v>2</v>
      </c>
      <c r="C8" s="350" t="n">
        <v>3</v>
      </c>
      <c r="D8" s="350" t="n">
        <v>4</v>
      </c>
      <c r="E8" s="350" t="n">
        <v>5</v>
      </c>
      <c r="F8" s="350" t="n">
        <v>6</v>
      </c>
      <c r="G8" s="350" t="n">
        <v>7</v>
      </c>
    </row>
    <row r="9" ht="15" customHeight="1" s="290">
      <c r="A9" s="245" t="n"/>
      <c r="B9" s="359" t="inlineStr">
        <is>
          <t>ИНЖЕНЕРНОЕ ОБОРУДОВАНИЕ</t>
        </is>
      </c>
      <c r="C9" s="420" t="n"/>
      <c r="D9" s="420" t="n"/>
      <c r="E9" s="420" t="n"/>
      <c r="F9" s="420" t="n"/>
      <c r="G9" s="421" t="n"/>
    </row>
    <row r="10" ht="27" customHeight="1" s="290">
      <c r="A10" s="350" t="n"/>
      <c r="B10" s="358" t="n"/>
      <c r="C10" s="359" t="inlineStr">
        <is>
          <t>ИТОГО ИНЖЕНЕРНОЕ ОБОРУДОВАНИЕ</t>
        </is>
      </c>
      <c r="D10" s="358" t="n"/>
      <c r="E10" s="246" t="n"/>
      <c r="F10" s="361" t="n"/>
      <c r="G10" s="230" t="n">
        <v>0</v>
      </c>
    </row>
    <row r="11">
      <c r="A11" s="350" t="n"/>
      <c r="B11" s="359" t="inlineStr">
        <is>
          <t>ТЕХНОЛОГИЧЕСКОЕ ОБОРУДОВАНИЕ</t>
        </is>
      </c>
      <c r="C11" s="420" t="n"/>
      <c r="D11" s="420" t="n"/>
      <c r="E11" s="420" t="n"/>
      <c r="F11" s="420" t="n"/>
      <c r="G11" s="421" t="n"/>
    </row>
    <row r="12" ht="15.75" customFormat="1" customHeight="1" s="292">
      <c r="A12" s="350" t="n">
        <v>1</v>
      </c>
      <c r="B12" s="359">
        <f>'Прил.5 Расчет СМР и ОБ'!B33</f>
        <v/>
      </c>
      <c r="C12" s="359">
        <f>'Прил.5 Расчет СМР и ОБ'!C33</f>
        <v/>
      </c>
      <c r="D12" s="350">
        <f>'Прил.5 Расчет СМР и ОБ'!D33</f>
        <v/>
      </c>
      <c r="E12" s="425">
        <f>'Прил.5 Расчет СМР и ОБ'!E33</f>
        <v/>
      </c>
      <c r="F12" s="361">
        <f>'Прил.5 Расчет СМР и ОБ'!F33</f>
        <v/>
      </c>
      <c r="G12" s="230">
        <f>ROUND(E12*F12,2)</f>
        <v/>
      </c>
    </row>
    <row r="13" ht="25.5" customFormat="1" customHeight="1" s="292">
      <c r="A13" s="350" t="n">
        <v>2</v>
      </c>
      <c r="B13" s="359">
        <f>'Прил.5 Расчет СМР и ОБ'!B34</f>
        <v/>
      </c>
      <c r="C13" s="359">
        <f>'Прил.5 Расчет СМР и ОБ'!C34</f>
        <v/>
      </c>
      <c r="D13" s="350">
        <f>'Прил.5 Расчет СМР и ОБ'!D34</f>
        <v/>
      </c>
      <c r="E13" s="425">
        <f>'Прил.5 Расчет СМР и ОБ'!E34</f>
        <v/>
      </c>
      <c r="F13" s="361">
        <f>'Прил.5 Расчет СМР и ОБ'!F34</f>
        <v/>
      </c>
      <c r="G13" s="230">
        <f>ROUND(E13*F13,2)</f>
        <v/>
      </c>
    </row>
    <row r="14" ht="38.25" customFormat="1" customHeight="1" s="292">
      <c r="A14" s="350" t="n">
        <v>3</v>
      </c>
      <c r="B14" s="359">
        <f>'Прил.5 Расчет СМР и ОБ'!B35</f>
        <v/>
      </c>
      <c r="C14" s="359">
        <f>'Прил.5 Расчет СМР и ОБ'!C35</f>
        <v/>
      </c>
      <c r="D14" s="350">
        <f>'Прил.5 Расчет СМР и ОБ'!D35</f>
        <v/>
      </c>
      <c r="E14" s="425">
        <f>'Прил.5 Расчет СМР и ОБ'!E35</f>
        <v/>
      </c>
      <c r="F14" s="361">
        <f>'Прил.5 Расчет СМР и ОБ'!F35</f>
        <v/>
      </c>
      <c r="G14" s="230">
        <f>ROUND(E14*F14,2)</f>
        <v/>
      </c>
    </row>
    <row r="15" ht="25.5" customFormat="1" customHeight="1" s="292">
      <c r="A15" s="350" t="n">
        <v>4</v>
      </c>
      <c r="B15" s="359">
        <f>'Прил.5 Расчет СМР и ОБ'!B36</f>
        <v/>
      </c>
      <c r="C15" s="359">
        <f>'Прил.5 Расчет СМР и ОБ'!C36</f>
        <v/>
      </c>
      <c r="D15" s="350">
        <f>'Прил.5 Расчет СМР и ОБ'!D36</f>
        <v/>
      </c>
      <c r="E15" s="425">
        <f>'Прил.5 Расчет СМР и ОБ'!E36</f>
        <v/>
      </c>
      <c r="F15" s="361">
        <f>'Прил.5 Расчет СМР и ОБ'!F36</f>
        <v/>
      </c>
      <c r="G15" s="230">
        <f>ROUND(E15*F15,2)</f>
        <v/>
      </c>
    </row>
    <row r="16" ht="38.25" customFormat="1" customHeight="1" s="292">
      <c r="A16" s="350" t="n">
        <v>5</v>
      </c>
      <c r="B16" s="359">
        <f>'Прил.5 Расчет СМР и ОБ'!B37</f>
        <v/>
      </c>
      <c r="C16" s="359">
        <f>'Прил.5 Расчет СМР и ОБ'!C37</f>
        <v/>
      </c>
      <c r="D16" s="350">
        <f>'Прил.5 Расчет СМР и ОБ'!D37</f>
        <v/>
      </c>
      <c r="E16" s="425">
        <f>'Прил.5 Расчет СМР и ОБ'!E37</f>
        <v/>
      </c>
      <c r="F16" s="361">
        <f>'Прил.5 Расчет СМР и ОБ'!F37</f>
        <v/>
      </c>
      <c r="G16" s="230">
        <f>ROUND(E16*F16,2)</f>
        <v/>
      </c>
    </row>
    <row r="17" ht="25.5" customFormat="1" customHeight="1" s="292">
      <c r="A17" s="350" t="n">
        <v>6</v>
      </c>
      <c r="B17" s="359">
        <f>'Прил.5 Расчет СМР и ОБ'!B38</f>
        <v/>
      </c>
      <c r="C17" s="359">
        <f>'Прил.5 Расчет СМР и ОБ'!C38</f>
        <v/>
      </c>
      <c r="D17" s="350">
        <f>'Прил.5 Расчет СМР и ОБ'!D38</f>
        <v/>
      </c>
      <c r="E17" s="425">
        <f>'Прил.5 Расчет СМР и ОБ'!E38</f>
        <v/>
      </c>
      <c r="F17" s="361">
        <f>'Прил.5 Расчет СМР и ОБ'!F38</f>
        <v/>
      </c>
      <c r="G17" s="230">
        <f>ROUND(E17*F17,2)</f>
        <v/>
      </c>
    </row>
    <row r="18" ht="25.5" customFormat="1" customHeight="1" s="292">
      <c r="A18" s="350" t="n">
        <v>7</v>
      </c>
      <c r="B18" s="359">
        <f>'Прил.5 Расчет СМР и ОБ'!B39</f>
        <v/>
      </c>
      <c r="C18" s="359">
        <f>'Прил.5 Расчет СМР и ОБ'!C39</f>
        <v/>
      </c>
      <c r="D18" s="350">
        <f>'Прил.5 Расчет СМР и ОБ'!D39</f>
        <v/>
      </c>
      <c r="E18" s="425">
        <f>'Прил.5 Расчет СМР и ОБ'!E39</f>
        <v/>
      </c>
      <c r="F18" s="361">
        <f>'Прил.5 Расчет СМР и ОБ'!F39</f>
        <v/>
      </c>
      <c r="G18" s="230">
        <f>ROUND(E18*F18,2)</f>
        <v/>
      </c>
    </row>
    <row r="19" ht="25.5" customFormat="1" customHeight="1" s="292">
      <c r="A19" s="350" t="n">
        <v>8</v>
      </c>
      <c r="B19" s="359">
        <f>'Прил.5 Расчет СМР и ОБ'!B40</f>
        <v/>
      </c>
      <c r="C19" s="359">
        <f>'Прил.5 Расчет СМР и ОБ'!C40</f>
        <v/>
      </c>
      <c r="D19" s="350">
        <f>'Прил.5 Расчет СМР и ОБ'!D40</f>
        <v/>
      </c>
      <c r="E19" s="425">
        <f>'Прил.5 Расчет СМР и ОБ'!E40</f>
        <v/>
      </c>
      <c r="F19" s="361">
        <f>'Прил.5 Расчет СМР и ОБ'!F40</f>
        <v/>
      </c>
      <c r="G19" s="230">
        <f>ROUND(E19*F19,2)</f>
        <v/>
      </c>
    </row>
    <row r="20" ht="25.5" customFormat="1" customHeight="1" s="292">
      <c r="A20" s="350" t="n">
        <v>9</v>
      </c>
      <c r="B20" s="359">
        <f>'Прил.5 Расчет СМР и ОБ'!B42</f>
        <v/>
      </c>
      <c r="C20" s="359">
        <f>'Прил.5 Расчет СМР и ОБ'!C42</f>
        <v/>
      </c>
      <c r="D20" s="350">
        <f>'Прил.5 Расчет СМР и ОБ'!D42</f>
        <v/>
      </c>
      <c r="E20" s="425">
        <f>'Прил.5 Расчет СМР и ОБ'!E42</f>
        <v/>
      </c>
      <c r="F20" s="361">
        <f>'Прил.5 Расчет СМР и ОБ'!F42</f>
        <v/>
      </c>
      <c r="G20" s="230">
        <f>ROUND(E20*F20,2)</f>
        <v/>
      </c>
    </row>
    <row r="21" ht="25.5" customFormat="1" customHeight="1" s="292">
      <c r="A21" s="350" t="n">
        <v>10</v>
      </c>
      <c r="B21" s="359">
        <f>'Прил.5 Расчет СМР и ОБ'!B43</f>
        <v/>
      </c>
      <c r="C21" s="359">
        <f>'Прил.5 Расчет СМР и ОБ'!C43</f>
        <v/>
      </c>
      <c r="D21" s="350">
        <f>'Прил.5 Расчет СМР и ОБ'!D43</f>
        <v/>
      </c>
      <c r="E21" s="425">
        <f>'Прил.5 Расчет СМР и ОБ'!E43</f>
        <v/>
      </c>
      <c r="F21" s="361">
        <f>'Прил.5 Расчет СМР и ОБ'!F43</f>
        <v/>
      </c>
      <c r="G21" s="230">
        <f>ROUND(E21*F21,2)</f>
        <v/>
      </c>
    </row>
    <row r="22" ht="25.5" customFormat="1" customHeight="1" s="292">
      <c r="A22" s="350" t="n">
        <v>11</v>
      </c>
      <c r="B22" s="359">
        <f>'Прил.5 Расчет СМР и ОБ'!B44</f>
        <v/>
      </c>
      <c r="C22" s="359">
        <f>'Прил.5 Расчет СМР и ОБ'!C44</f>
        <v/>
      </c>
      <c r="D22" s="350">
        <f>'Прил.5 Расчет СМР и ОБ'!D44</f>
        <v/>
      </c>
      <c r="E22" s="425">
        <f>'Прил.5 Расчет СМР и ОБ'!E44</f>
        <v/>
      </c>
      <c r="F22" s="361">
        <f>'Прил.5 Расчет СМР и ОБ'!F44</f>
        <v/>
      </c>
      <c r="G22" s="230">
        <f>ROUND(E22*F22,2)</f>
        <v/>
      </c>
    </row>
    <row r="23" ht="38.25" customFormat="1" customHeight="1" s="292">
      <c r="A23" s="350" t="n">
        <v>12</v>
      </c>
      <c r="B23" s="359">
        <f>'Прил.5 Расчет СМР и ОБ'!B45</f>
        <v/>
      </c>
      <c r="C23" s="359">
        <f>'Прил.5 Расчет СМР и ОБ'!C45</f>
        <v/>
      </c>
      <c r="D23" s="350">
        <f>'Прил.5 Расчет СМР и ОБ'!D45</f>
        <v/>
      </c>
      <c r="E23" s="425">
        <f>'Прил.5 Расчет СМР и ОБ'!E45</f>
        <v/>
      </c>
      <c r="F23" s="361">
        <f>'Прил.5 Расчет СМР и ОБ'!F45</f>
        <v/>
      </c>
      <c r="G23" s="230">
        <f>ROUND(E23*F23,2)</f>
        <v/>
      </c>
    </row>
    <row r="24" ht="38.25" customFormat="1" customHeight="1" s="292">
      <c r="A24" s="350" t="n">
        <v>13</v>
      </c>
      <c r="B24" s="359">
        <f>'Прил.5 Расчет СМР и ОБ'!B46</f>
        <v/>
      </c>
      <c r="C24" s="359">
        <f>'Прил.5 Расчет СМР и ОБ'!C46</f>
        <v/>
      </c>
      <c r="D24" s="350">
        <f>'Прил.5 Расчет СМР и ОБ'!D46</f>
        <v/>
      </c>
      <c r="E24" s="425">
        <f>'Прил.5 Расчет СМР и ОБ'!E46</f>
        <v/>
      </c>
      <c r="F24" s="361">
        <f>'Прил.5 Расчет СМР и ОБ'!F46</f>
        <v/>
      </c>
      <c r="G24" s="230">
        <f>ROUND(E24*F24,2)</f>
        <v/>
      </c>
    </row>
    <row r="25" ht="25.5" customFormat="1" customHeight="1" s="292">
      <c r="A25" s="350" t="n">
        <v>14</v>
      </c>
      <c r="B25" s="359">
        <f>'Прил.5 Расчет СМР и ОБ'!B47</f>
        <v/>
      </c>
      <c r="C25" s="359">
        <f>'Прил.5 Расчет СМР и ОБ'!C47</f>
        <v/>
      </c>
      <c r="D25" s="350">
        <f>'Прил.5 Расчет СМР и ОБ'!D47</f>
        <v/>
      </c>
      <c r="E25" s="425">
        <f>'Прил.5 Расчет СМР и ОБ'!E47</f>
        <v/>
      </c>
      <c r="F25" s="361">
        <f>'Прил.5 Расчет СМР и ОБ'!F47</f>
        <v/>
      </c>
      <c r="G25" s="230">
        <f>ROUND(E25*F25,2)</f>
        <v/>
      </c>
    </row>
    <row r="26" ht="38.25" customFormat="1" customHeight="1" s="292">
      <c r="A26" s="350" t="n">
        <v>15</v>
      </c>
      <c r="B26" s="359">
        <f>'Прил.5 Расчет СМР и ОБ'!B48</f>
        <v/>
      </c>
      <c r="C26" s="359">
        <f>'Прил.5 Расчет СМР и ОБ'!C48</f>
        <v/>
      </c>
      <c r="D26" s="350">
        <f>'Прил.5 Расчет СМР и ОБ'!D48</f>
        <v/>
      </c>
      <c r="E26" s="425">
        <f>'Прил.5 Расчет СМР и ОБ'!E48</f>
        <v/>
      </c>
      <c r="F26" s="361">
        <f>'Прил.5 Расчет СМР и ОБ'!F48</f>
        <v/>
      </c>
      <c r="G26" s="230">
        <f>ROUND(E26*F26,2)</f>
        <v/>
      </c>
    </row>
    <row r="27" ht="51" customFormat="1" customHeight="1" s="292">
      <c r="A27" s="350" t="n">
        <v>16</v>
      </c>
      <c r="B27" s="359">
        <f>'Прил.5 Расчет СМР и ОБ'!B49</f>
        <v/>
      </c>
      <c r="C27" s="359">
        <f>'Прил.5 Расчет СМР и ОБ'!C49</f>
        <v/>
      </c>
      <c r="D27" s="350">
        <f>'Прил.5 Расчет СМР и ОБ'!D49</f>
        <v/>
      </c>
      <c r="E27" s="425">
        <f>'Прил.5 Расчет СМР и ОБ'!E49</f>
        <v/>
      </c>
      <c r="F27" s="361">
        <f>'Прил.5 Расчет СМР и ОБ'!F49</f>
        <v/>
      </c>
      <c r="G27" s="230">
        <f>ROUND(E27*F27,2)</f>
        <v/>
      </c>
    </row>
    <row r="28" ht="25.5" customHeight="1" s="290">
      <c r="A28" s="350" t="n"/>
      <c r="B28" s="359" t="n"/>
      <c r="C28" s="359" t="inlineStr">
        <is>
          <t>ИТОГО ТЕХНОЛОГИЧЕСКОЕ ОБОРУДОВАНИЕ</t>
        </is>
      </c>
      <c r="D28" s="359" t="n"/>
      <c r="E28" s="371" t="n"/>
      <c r="F28" s="361" t="n"/>
      <c r="G28" s="230">
        <f>SUM(G12:G27)</f>
        <v/>
      </c>
    </row>
    <row r="29" ht="19.5" customHeight="1" s="290">
      <c r="A29" s="350" t="n"/>
      <c r="B29" s="359" t="n"/>
      <c r="C29" s="359" t="inlineStr">
        <is>
          <t>Всего по разделу «Оборудование»</t>
        </is>
      </c>
      <c r="D29" s="359" t="n"/>
      <c r="E29" s="371" t="n"/>
      <c r="F29" s="361" t="n"/>
      <c r="G29" s="230">
        <f>G10+G28</f>
        <v/>
      </c>
    </row>
    <row r="30">
      <c r="A30" s="288" t="n"/>
      <c r="B30" s="251" t="n"/>
      <c r="C30" s="288" t="n"/>
      <c r="D30" s="288" t="n"/>
      <c r="E30" s="288" t="n"/>
      <c r="F30" s="288" t="n"/>
      <c r="G30" s="288" t="n"/>
    </row>
    <row r="31">
      <c r="A31" s="286" t="inlineStr">
        <is>
          <t>Составил ______________________    Д.Ю. Нефедова</t>
        </is>
      </c>
      <c r="B31" s="287" t="n"/>
      <c r="C31" s="287" t="n"/>
      <c r="D31" s="288" t="n"/>
      <c r="E31" s="288" t="n"/>
      <c r="F31" s="288" t="n"/>
      <c r="G31" s="288" t="n"/>
    </row>
    <row r="32">
      <c r="A32" s="289" t="inlineStr">
        <is>
          <t xml:space="preserve">                         (подпись, инициалы, фамилия)</t>
        </is>
      </c>
      <c r="B32" s="287" t="n"/>
      <c r="C32" s="287" t="n"/>
      <c r="D32" s="288" t="n"/>
      <c r="E32" s="288" t="n"/>
      <c r="F32" s="288" t="n"/>
      <c r="G32" s="288" t="n"/>
    </row>
    <row r="33">
      <c r="A33" s="286" t="n"/>
      <c r="B33" s="287" t="n"/>
      <c r="C33" s="287" t="n"/>
      <c r="D33" s="288" t="n"/>
      <c r="E33" s="288" t="n"/>
      <c r="F33" s="288" t="n"/>
      <c r="G33" s="288" t="n"/>
    </row>
    <row r="34">
      <c r="A34" s="286" t="inlineStr">
        <is>
          <t>Проверил ______________________        А.В. Костянецкая</t>
        </is>
      </c>
      <c r="B34" s="287" t="n"/>
      <c r="C34" s="287" t="n"/>
      <c r="D34" s="288" t="n"/>
      <c r="E34" s="288" t="n"/>
      <c r="F34" s="288" t="n"/>
      <c r="G34" s="288" t="n"/>
    </row>
    <row r="35">
      <c r="A35" s="289" t="inlineStr">
        <is>
          <t xml:space="preserve">                        (подпись, инициалы, фамилия)</t>
        </is>
      </c>
      <c r="B35" s="287" t="n"/>
      <c r="C35" s="287" t="n"/>
      <c r="D35" s="288" t="n"/>
      <c r="E35" s="288" t="n"/>
      <c r="F35" s="288" t="n"/>
      <c r="G35" s="28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90" min="1" max="1"/>
    <col width="16.42578125" customWidth="1" style="290" min="2" max="2"/>
    <col width="37.140625" customWidth="1" style="290" min="3" max="3"/>
    <col width="49" customWidth="1" style="290" min="4" max="4"/>
    <col width="9.140625" customWidth="1" style="290" min="5" max="5"/>
  </cols>
  <sheetData>
    <row r="1" ht="15.75" customHeight="1" s="290">
      <c r="A1" s="292" t="n"/>
      <c r="B1" s="292" t="n"/>
      <c r="C1" s="292" t="n"/>
      <c r="D1" s="292" t="inlineStr">
        <is>
          <t>Приложение №7</t>
        </is>
      </c>
    </row>
    <row r="2" ht="15.75" customHeight="1" s="290">
      <c r="A2" s="292" t="n"/>
      <c r="B2" s="292" t="n"/>
      <c r="C2" s="292" t="n"/>
      <c r="D2" s="292" t="n"/>
    </row>
    <row r="3" ht="15.75" customHeight="1" s="290">
      <c r="A3" s="292" t="n"/>
      <c r="B3" s="281" t="inlineStr">
        <is>
          <t>Расчет показателя УНЦ</t>
        </is>
      </c>
      <c r="C3" s="292" t="n"/>
      <c r="D3" s="292" t="n"/>
    </row>
    <row r="4" ht="15.75" customHeight="1" s="290">
      <c r="A4" s="292" t="n"/>
      <c r="B4" s="292" t="n"/>
      <c r="C4" s="292" t="n"/>
      <c r="D4" s="292" t="n"/>
    </row>
    <row r="5" ht="31.5" customHeight="1" s="290">
      <c r="A5" s="373" t="inlineStr">
        <is>
          <t xml:space="preserve">Наименование разрабатываемого показателя УНЦ - </t>
        </is>
      </c>
      <c r="D5" s="373">
        <f>'Прил.5 Расчет СМР и ОБ'!D6:J6</f>
        <v/>
      </c>
    </row>
    <row r="6" ht="15.75" customHeight="1" s="290">
      <c r="A6" s="292" t="inlineStr">
        <is>
          <t>Единица измерения  — 1 ед</t>
        </is>
      </c>
      <c r="B6" s="292" t="n"/>
      <c r="C6" s="292" t="n"/>
      <c r="D6" s="292" t="n"/>
    </row>
    <row r="7" ht="15.75" customHeight="1" s="290">
      <c r="A7" s="292" t="n"/>
      <c r="B7" s="292" t="n"/>
      <c r="C7" s="292" t="n"/>
      <c r="D7" s="292" t="n"/>
    </row>
    <row r="8">
      <c r="A8" s="336" t="inlineStr">
        <is>
          <t>Код показателя</t>
        </is>
      </c>
      <c r="B8" s="336" t="inlineStr">
        <is>
          <t>Наименование показателя</t>
        </is>
      </c>
      <c r="C8" s="336" t="inlineStr">
        <is>
          <t>Наименование РМ, входящих в состав показателя</t>
        </is>
      </c>
      <c r="D8" s="336" t="inlineStr">
        <is>
          <t>Норматив цены на 01.01.2023, тыс.руб.</t>
        </is>
      </c>
    </row>
    <row r="9">
      <c r="A9" s="423" t="n"/>
      <c r="B9" s="423" t="n"/>
      <c r="C9" s="423" t="n"/>
      <c r="D9" s="423" t="n"/>
    </row>
    <row r="10" ht="15.75" customHeight="1" s="290">
      <c r="A10" s="336" t="n">
        <v>1</v>
      </c>
      <c r="B10" s="336" t="n">
        <v>2</v>
      </c>
      <c r="C10" s="336" t="n">
        <v>3</v>
      </c>
      <c r="D10" s="336" t="n">
        <v>4</v>
      </c>
    </row>
    <row r="11" ht="63" customHeight="1" s="290">
      <c r="A11" s="336" t="inlineStr">
        <is>
          <t>И15-01</t>
        </is>
      </c>
      <c r="B11" s="336" t="inlineStr">
        <is>
          <t xml:space="preserve">УНЦ комплекса систем безопасности ПС </t>
        </is>
      </c>
      <c r="C11" s="284">
        <f>D5</f>
        <v/>
      </c>
      <c r="D11" s="298">
        <f>'Прил.4 РМ'!C41/1000</f>
        <v/>
      </c>
    </row>
    <row r="13">
      <c r="A13" s="419" t="inlineStr">
        <is>
          <t>Составил ______________________      Д.Ю. Нефедова</t>
        </is>
      </c>
      <c r="B13" s="287" t="n"/>
      <c r="C13" s="287" t="n"/>
      <c r="D13" s="288" t="n"/>
    </row>
    <row r="14">
      <c r="A14" s="289" t="inlineStr">
        <is>
          <t xml:space="preserve">                         (подпись, инициалы, фамилия)</t>
        </is>
      </c>
      <c r="B14" s="287" t="n"/>
      <c r="C14" s="287" t="n"/>
      <c r="D14" s="288" t="n"/>
    </row>
    <row r="15">
      <c r="A15" s="286" t="n"/>
      <c r="B15" s="287" t="n"/>
      <c r="C15" s="287" t="n"/>
      <c r="D15" s="288" t="n"/>
    </row>
    <row r="16">
      <c r="A16" s="286" t="inlineStr">
        <is>
          <t>Проверил ______________________        А.В. Костянецкая</t>
        </is>
      </c>
      <c r="B16" s="287" t="n"/>
      <c r="C16" s="287" t="n"/>
      <c r="D16" s="288" t="n"/>
    </row>
    <row r="17">
      <c r="A17" s="289" t="inlineStr">
        <is>
          <t xml:space="preserve">                        (подпись, инициалы, фамилия)</t>
        </is>
      </c>
      <c r="B17" s="287" t="n"/>
      <c r="C17" s="287" t="n"/>
      <c r="D17" s="28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/>
  </sheetPr>
  <dimension ref="B4:E31"/>
  <sheetViews>
    <sheetView tabSelected="1" view="pageBreakPreview" zoomScale="60" zoomScaleNormal="85" workbookViewId="0">
      <selection activeCell="B26" sqref="B26"/>
    </sheetView>
  </sheetViews>
  <sheetFormatPr baseColWidth="8" defaultRowHeight="15"/>
  <cols>
    <col width="9.140625" customWidth="1" style="290" min="1" max="1"/>
    <col width="40.7109375" customWidth="1" style="290" min="2" max="2"/>
    <col width="37" customWidth="1" style="290" min="3" max="3"/>
    <col width="32" customWidth="1" style="290" min="4" max="4"/>
    <col width="9.140625" customWidth="1" style="290" min="5" max="5"/>
  </cols>
  <sheetData>
    <row r="4" ht="15.75" customHeight="1" s="290">
      <c r="B4" s="328" t="inlineStr">
        <is>
          <t>Приложение № 10</t>
        </is>
      </c>
    </row>
    <row r="5" ht="18.75" customHeight="1" s="290">
      <c r="B5" s="252" t="n"/>
    </row>
    <row r="6" ht="15.75" customHeight="1" s="290">
      <c r="B6" s="329" t="inlineStr">
        <is>
          <t>Используемые индексы изменений сметной стоимости и нормы сопутствующих затрат</t>
        </is>
      </c>
    </row>
    <row r="7">
      <c r="B7" s="374" t="n"/>
    </row>
    <row r="8">
      <c r="B8" s="374" t="n"/>
      <c r="C8" s="374" t="n"/>
      <c r="D8" s="374" t="n"/>
      <c r="E8" s="374" t="n"/>
    </row>
    <row r="9" ht="47.25" customHeight="1" s="290">
      <c r="B9" s="336" t="inlineStr">
        <is>
          <t>Наименование индекса / норм сопутствующих затрат</t>
        </is>
      </c>
      <c r="C9" s="336" t="inlineStr">
        <is>
          <t>Дата применения и обоснование индекса / норм сопутствующих затрат</t>
        </is>
      </c>
      <c r="D9" s="336" t="inlineStr">
        <is>
          <t>Размер индекса / норма сопутствующих затрат</t>
        </is>
      </c>
    </row>
    <row r="10" ht="15.75" customHeight="1" s="290">
      <c r="B10" s="336" t="n">
        <v>1</v>
      </c>
      <c r="C10" s="336" t="n">
        <v>2</v>
      </c>
      <c r="D10" s="336" t="n">
        <v>3</v>
      </c>
    </row>
    <row r="11" ht="45" customHeight="1" s="290">
      <c r="B11" s="336" t="inlineStr">
        <is>
          <t xml:space="preserve">Индекс изменения сметной стоимости на 1 квартал 2023 года. ОЗП </t>
        </is>
      </c>
      <c r="C11" s="336" t="inlineStr">
        <is>
          <t>Письмо Минстроя России от 30.03.2023г. №17106-ИФ/09 прил.1</t>
        </is>
      </c>
      <c r="D11" s="336" t="n">
        <v>44.29</v>
      </c>
    </row>
    <row r="12" ht="29.25" customHeight="1" s="290">
      <c r="B12" s="336" t="inlineStr">
        <is>
          <t>Индекс изменения сметной стоимости на 1 квартал 2023 года. ЭМ</t>
        </is>
      </c>
      <c r="C12" s="336" t="inlineStr">
        <is>
          <t>Письмо Минстроя России от 30.03.2023г. №17106-ИФ/09 прил.1</t>
        </is>
      </c>
      <c r="D12" s="336" t="n">
        <v>13.47</v>
      </c>
    </row>
    <row r="13" ht="29.25" customHeight="1" s="290">
      <c r="B13" s="336" t="inlineStr">
        <is>
          <t>Индекс изменения сметной стоимости на 1 квартал 2023 года. МАТ</t>
        </is>
      </c>
      <c r="C13" s="336" t="inlineStr">
        <is>
          <t>Письмо Минстроя России от 30.03.2023г. №17106-ИФ/09 прил.1</t>
        </is>
      </c>
      <c r="D13" s="336" t="n">
        <v>8.039999999999999</v>
      </c>
    </row>
    <row r="14" ht="30.75" customHeight="1" s="290">
      <c r="B14" s="336" t="inlineStr">
        <is>
          <t>Индекс изменения сметной стоимости на 1 квартал 2023 года. ОБ</t>
        </is>
      </c>
      <c r="C14" s="169" t="inlineStr">
        <is>
          <t>Письмо Минстроя России от 23.02.2023г. №9791-ИФ/09 прил.6</t>
        </is>
      </c>
      <c r="D14" s="336" t="n">
        <v>6.26</v>
      </c>
    </row>
    <row r="15" ht="89.25" customHeight="1" s="290">
      <c r="B15" s="336" t="inlineStr">
        <is>
          <t>Временные здания и сооружения</t>
        </is>
      </c>
      <c r="C15" s="336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253" t="n">
        <v>0.039</v>
      </c>
    </row>
    <row r="16" ht="78.75" customHeight="1" s="290">
      <c r="B16" s="336" t="inlineStr">
        <is>
          <t>Дополнительные затраты при производстве строительно-монтажных работ в зимнее время</t>
        </is>
      </c>
      <c r="C16" s="33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53" t="n">
        <v>0.021</v>
      </c>
    </row>
    <row r="17" ht="34.5" customHeight="1" s="290">
      <c r="B17" s="336" t="inlineStr">
        <is>
          <t>Пусконаладочные работы*</t>
        </is>
      </c>
      <c r="C17" s="336" t="n"/>
      <c r="D17" s="336" t="inlineStr">
        <is>
          <t>Расчет</t>
        </is>
      </c>
    </row>
    <row r="18" ht="31.5" customHeight="1" s="290">
      <c r="B18" s="336" t="inlineStr">
        <is>
          <t>Строительный контроль</t>
        </is>
      </c>
      <c r="C18" s="336" t="inlineStr">
        <is>
          <t>Постановление Правительства РФ от 21.06.10 г. № 468</t>
        </is>
      </c>
      <c r="D18" s="253" t="n">
        <v>0.0214</v>
      </c>
    </row>
    <row r="19" ht="31.5" customHeight="1" s="290">
      <c r="B19" s="336" t="inlineStr">
        <is>
          <t>Авторский надзор - 0,2%</t>
        </is>
      </c>
      <c r="C19" s="336" t="inlineStr">
        <is>
          <t>Приказ от 4.08.2020 № 421/пр п.173</t>
        </is>
      </c>
      <c r="D19" s="253" t="n">
        <v>0.002</v>
      </c>
    </row>
    <row r="20" ht="24" customHeight="1" s="290">
      <c r="B20" s="336" t="inlineStr">
        <is>
          <t>Непредвиденные расходы</t>
        </is>
      </c>
      <c r="C20" s="336" t="inlineStr">
        <is>
          <t>Приказ от 4.08.2020 № 421/пр п.179</t>
        </is>
      </c>
      <c r="D20" s="253" t="n">
        <v>0.03</v>
      </c>
    </row>
    <row r="21" ht="18.75" customHeight="1" s="290">
      <c r="B21" s="254" t="n"/>
    </row>
    <row r="22" ht="18.75" customHeight="1" s="290">
      <c r="B22" s="254" t="n"/>
    </row>
    <row r="23" ht="18.75" customHeight="1" s="290">
      <c r="B23" s="254" t="n"/>
    </row>
    <row r="24" ht="18.75" customHeight="1" s="290">
      <c r="B24" s="254" t="n"/>
    </row>
    <row r="27">
      <c r="B27" s="286" t="inlineStr">
        <is>
          <t>Составил ______________________        Д.Ю. Нефедова</t>
        </is>
      </c>
      <c r="C27" s="287" t="n"/>
    </row>
    <row r="28">
      <c r="B28" s="289" t="inlineStr">
        <is>
          <t xml:space="preserve">                         (подпись, инициалы, фамилия)</t>
        </is>
      </c>
      <c r="C28" s="287" t="n"/>
    </row>
    <row r="29">
      <c r="B29" s="286" t="n"/>
      <c r="C29" s="287" t="n"/>
    </row>
    <row r="30">
      <c r="B30" s="286" t="inlineStr">
        <is>
          <t>Проверил ______________________        А.В. Костянецкая</t>
        </is>
      </c>
      <c r="C30" s="287" t="n"/>
    </row>
    <row r="31">
      <c r="B31" s="289" t="inlineStr">
        <is>
          <t xml:space="preserve">                        (подпись, инициалы, фамилия)</t>
        </is>
      </c>
      <c r="C31" s="28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/>
  </sheetPr>
  <dimension ref="A2:G29"/>
  <sheetViews>
    <sheetView view="pageBreakPreview" topLeftCell="A22" zoomScale="60" zoomScaleNormal="100" workbookViewId="0">
      <selection activeCell="G22" sqref="G1:G1048576"/>
    </sheetView>
  </sheetViews>
  <sheetFormatPr baseColWidth="8" defaultColWidth="9.140625" defaultRowHeight="15"/>
  <cols>
    <col width="44.85546875" customWidth="1" style="290" min="2" max="2"/>
    <col width="13" customWidth="1" style="290" min="3" max="3"/>
    <col width="22.85546875" customWidth="1" style="290" min="4" max="4"/>
    <col width="21.5703125" customWidth="1" style="290" min="5" max="5"/>
    <col width="43.85546875" customWidth="1" style="290" min="6" max="6"/>
  </cols>
  <sheetData>
    <row r="1" s="290"/>
    <row r="2" ht="17.25" customHeight="1" s="290">
      <c r="A2" s="329" t="inlineStr">
        <is>
          <t>Расчет размера средств на оплату труда рабочих-строителей в текущем уровне цен (ФОТр.тек.)</t>
        </is>
      </c>
    </row>
    <row r="3" s="290"/>
    <row r="4" ht="18" customHeight="1" s="290">
      <c r="A4" s="291" t="inlineStr">
        <is>
          <t>Составлен в уровне цен на 01.01.2023 г.</t>
        </is>
      </c>
      <c r="B4" s="292" t="n"/>
      <c r="C4" s="292" t="n"/>
      <c r="D4" s="292" t="n"/>
      <c r="E4" s="292" t="n"/>
      <c r="F4" s="292" t="n"/>
      <c r="G4" s="292" t="n"/>
    </row>
    <row r="5" ht="15.75" customHeight="1" s="290">
      <c r="A5" s="293" t="inlineStr">
        <is>
          <t>№ пп.</t>
        </is>
      </c>
      <c r="B5" s="293" t="inlineStr">
        <is>
          <t>Наименование элемента</t>
        </is>
      </c>
      <c r="C5" s="293" t="inlineStr">
        <is>
          <t>Обозначение</t>
        </is>
      </c>
      <c r="D5" s="293" t="inlineStr">
        <is>
          <t>Формула</t>
        </is>
      </c>
      <c r="E5" s="293" t="inlineStr">
        <is>
          <t>Величина элемента</t>
        </is>
      </c>
      <c r="F5" s="293" t="inlineStr">
        <is>
          <t>Наименования обосновывающих документов</t>
        </is>
      </c>
      <c r="G5" s="292" t="n"/>
    </row>
    <row r="6" ht="15.75" customHeight="1" s="290">
      <c r="A6" s="293" t="n">
        <v>1</v>
      </c>
      <c r="B6" s="293" t="n">
        <v>2</v>
      </c>
      <c r="C6" s="293" t="n">
        <v>3</v>
      </c>
      <c r="D6" s="293" t="n">
        <v>4</v>
      </c>
      <c r="E6" s="293" t="n">
        <v>5</v>
      </c>
      <c r="F6" s="293" t="n">
        <v>6</v>
      </c>
      <c r="G6" s="292" t="n"/>
    </row>
    <row r="7" ht="110.25" customHeight="1" s="290">
      <c r="A7" s="294" t="inlineStr">
        <is>
          <t>1.1</t>
        </is>
      </c>
      <c r="B7" s="2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6" t="inlineStr">
        <is>
          <t>С1ср</t>
        </is>
      </c>
      <c r="D7" s="336" t="inlineStr">
        <is>
          <t>-</t>
        </is>
      </c>
      <c r="E7" s="297" t="n">
        <v>47872.94</v>
      </c>
      <c r="F7" s="2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2" t="n"/>
    </row>
    <row r="8" ht="31.5" customHeight="1" s="290">
      <c r="A8" s="294" t="inlineStr">
        <is>
          <t>1.2</t>
        </is>
      </c>
      <c r="B8" s="299" t="inlineStr">
        <is>
          <t>Среднегодовое нормативное число часов работы одного рабочего в месяц, часы (ч.)</t>
        </is>
      </c>
      <c r="C8" s="336" t="inlineStr">
        <is>
          <t>tср</t>
        </is>
      </c>
      <c r="D8" s="336" t="inlineStr">
        <is>
          <t>1973ч/12мес.</t>
        </is>
      </c>
      <c r="E8" s="298">
        <f>1973/12</f>
        <v/>
      </c>
      <c r="F8" s="299" t="inlineStr">
        <is>
          <t>Производственный календарь 2023 год
(40-часов.неделя)</t>
        </is>
      </c>
      <c r="G8" s="301" t="n"/>
    </row>
    <row r="9" ht="15.75" customHeight="1" s="290">
      <c r="A9" s="294" t="inlineStr">
        <is>
          <t>1.3</t>
        </is>
      </c>
      <c r="B9" s="299" t="inlineStr">
        <is>
          <t>Коэффициент увеличения</t>
        </is>
      </c>
      <c r="C9" s="336" t="inlineStr">
        <is>
          <t>Кув</t>
        </is>
      </c>
      <c r="D9" s="336" t="inlineStr">
        <is>
          <t>-</t>
        </is>
      </c>
      <c r="E9" s="298" t="n">
        <v>1</v>
      </c>
      <c r="F9" s="299" t="n"/>
      <c r="G9" s="301" t="n"/>
    </row>
    <row r="10" ht="15.75" customHeight="1" s="290">
      <c r="A10" s="294" t="inlineStr">
        <is>
          <t>1.4</t>
        </is>
      </c>
      <c r="B10" s="299" t="inlineStr">
        <is>
          <t>Средний разряд работ</t>
        </is>
      </c>
      <c r="C10" s="336" t="n"/>
      <c r="D10" s="336" t="n"/>
      <c r="E10" s="430" t="n">
        <v>3.8</v>
      </c>
      <c r="F10" s="299" t="inlineStr">
        <is>
          <t>РТМ</t>
        </is>
      </c>
      <c r="G10" s="301" t="n"/>
    </row>
    <row r="11" ht="78.75" customHeight="1" s="290">
      <c r="A11" s="294" t="inlineStr">
        <is>
          <t>1.5</t>
        </is>
      </c>
      <c r="B11" s="299" t="inlineStr">
        <is>
          <t>Тарифный коэффициент среднего разряда работ</t>
        </is>
      </c>
      <c r="C11" s="336" t="inlineStr">
        <is>
          <t>КТ</t>
        </is>
      </c>
      <c r="D11" s="336" t="inlineStr">
        <is>
          <t>-</t>
        </is>
      </c>
      <c r="E11" s="431" t="n">
        <v>1.308</v>
      </c>
      <c r="F11" s="2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2" t="n"/>
    </row>
    <row r="12" ht="78.75" customHeight="1" s="290">
      <c r="A12" s="294" t="inlineStr">
        <is>
          <t>1.6</t>
        </is>
      </c>
      <c r="B12" s="304" t="inlineStr">
        <is>
          <t>Коэффициент инфляции, определяемый поквартально</t>
        </is>
      </c>
      <c r="C12" s="336" t="inlineStr">
        <is>
          <t>Кинф</t>
        </is>
      </c>
      <c r="D12" s="336" t="inlineStr">
        <is>
          <t>-</t>
        </is>
      </c>
      <c r="E12" s="432" t="n">
        <v>1.139</v>
      </c>
      <c r="F12" s="3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1" t="n"/>
    </row>
    <row r="13" ht="63" customHeight="1" s="290">
      <c r="A13" s="307" t="inlineStr">
        <is>
          <t>1.7</t>
        </is>
      </c>
      <c r="B13" s="308" t="inlineStr">
        <is>
          <t>Размер средств на оплату труда рабочих-строителей в текущем уровне цен (ФОТр.тек.), руб/чел.-ч</t>
        </is>
      </c>
      <c r="C13" s="309" t="inlineStr">
        <is>
          <t>ФОТр.тек.</t>
        </is>
      </c>
      <c r="D13" s="309" t="inlineStr">
        <is>
          <t>(С1ср/tср*КТ*Т*Кув)*Кинф</t>
        </is>
      </c>
      <c r="E13" s="310">
        <f>((E7*E9/E8)*E11)*E12</f>
        <v/>
      </c>
      <c r="F1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2" t="n"/>
    </row>
    <row r="14" ht="15.75" customHeight="1" s="290">
      <c r="A14" s="312" t="n"/>
      <c r="B14" s="313" t="inlineStr">
        <is>
          <t>Инженер I категории</t>
        </is>
      </c>
      <c r="C14" s="313" t="n"/>
      <c r="D14" s="313" t="n"/>
      <c r="E14" s="313" t="n"/>
      <c r="F14" s="314" t="n"/>
    </row>
    <row r="15" ht="110.25" customHeight="1" s="290">
      <c r="A15" s="294" t="inlineStr">
        <is>
          <t>1.1</t>
        </is>
      </c>
      <c r="B15" s="2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6" t="inlineStr">
        <is>
          <t>С1ср</t>
        </is>
      </c>
      <c r="D15" s="336" t="inlineStr">
        <is>
          <t>-</t>
        </is>
      </c>
      <c r="E15" s="297" t="n">
        <v>47872.94</v>
      </c>
      <c r="F15" s="2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92" t="n"/>
    </row>
    <row r="16" ht="31.5" customHeight="1" s="290">
      <c r="A16" s="294" t="inlineStr">
        <is>
          <t>1.2</t>
        </is>
      </c>
      <c r="B16" s="299" t="inlineStr">
        <is>
          <t>Среднегодовое нормативное число часов работы одного рабочего в месяц, часы (ч.)</t>
        </is>
      </c>
      <c r="C16" s="336" t="inlineStr">
        <is>
          <t>tср</t>
        </is>
      </c>
      <c r="D16" s="336" t="inlineStr">
        <is>
          <t>1973ч/12мес.</t>
        </is>
      </c>
      <c r="E16" s="298">
        <f>1973/12</f>
        <v/>
      </c>
      <c r="F16" s="299" t="inlineStr">
        <is>
          <t>Производственный календарь 2023 год
(40-часов.неделя)</t>
        </is>
      </c>
      <c r="G16" s="301" t="n"/>
    </row>
    <row r="17" ht="15.75" customHeight="1" s="290">
      <c r="A17" s="294" t="inlineStr">
        <is>
          <t>1.3</t>
        </is>
      </c>
      <c r="B17" s="299" t="inlineStr">
        <is>
          <t>Коэффициент увеличения</t>
        </is>
      </c>
      <c r="C17" s="336" t="inlineStr">
        <is>
          <t>Кув</t>
        </is>
      </c>
      <c r="D17" s="336" t="inlineStr">
        <is>
          <t>-</t>
        </is>
      </c>
      <c r="E17" s="298" t="n">
        <v>1</v>
      </c>
      <c r="F17" s="299" t="n"/>
      <c r="G17" s="301" t="n"/>
    </row>
    <row r="18" ht="15.75" customHeight="1" s="290">
      <c r="A18" s="294" t="inlineStr">
        <is>
          <t>1.4</t>
        </is>
      </c>
      <c r="B18" s="299" t="inlineStr">
        <is>
          <t>Средний разряд работ</t>
        </is>
      </c>
      <c r="C18" s="336" t="n"/>
      <c r="D18" s="336" t="n"/>
      <c r="E18" s="430" t="inlineStr">
        <is>
          <t>Инженер I категории</t>
        </is>
      </c>
      <c r="F18" s="299" t="inlineStr">
        <is>
          <t>РТМ</t>
        </is>
      </c>
      <c r="G18" s="301" t="n"/>
    </row>
    <row r="19" ht="78.75" customHeight="1" s="290">
      <c r="A19" s="307" t="inlineStr">
        <is>
          <t>1.5</t>
        </is>
      </c>
      <c r="B19" s="311" t="inlineStr">
        <is>
          <t>Тарифный коэффициент среднего разряда работ</t>
        </is>
      </c>
      <c r="C19" s="309" t="inlineStr">
        <is>
          <t>КТ</t>
        </is>
      </c>
      <c r="D19" s="309" t="inlineStr">
        <is>
          <t>-</t>
        </is>
      </c>
      <c r="E19" s="433" t="n">
        <v>2.15</v>
      </c>
      <c r="F19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92" t="n"/>
    </row>
    <row r="20" ht="78.75" customHeight="1" s="290">
      <c r="A20" s="294" t="inlineStr">
        <is>
          <t>1.6</t>
        </is>
      </c>
      <c r="B20" s="304" t="inlineStr">
        <is>
          <t>Коэффициент инфляции, определяемый поквартально</t>
        </is>
      </c>
      <c r="C20" s="336" t="inlineStr">
        <is>
          <t>Кинф</t>
        </is>
      </c>
      <c r="D20" s="336" t="inlineStr">
        <is>
          <t>-</t>
        </is>
      </c>
      <c r="E20" s="432" t="n">
        <v>1.139</v>
      </c>
      <c r="F20" s="3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1" t="n"/>
    </row>
    <row r="21" ht="63" customHeight="1" s="290">
      <c r="A21" s="294" t="inlineStr">
        <is>
          <t>1.7</t>
        </is>
      </c>
      <c r="B21" s="316" t="inlineStr">
        <is>
          <t>Размер средств на оплату труда рабочих-строителей в текущем уровне цен (ФОТр.тек.), руб/чел.-ч</t>
        </is>
      </c>
      <c r="C21" s="336" t="inlineStr">
        <is>
          <t>ФОТр.тек.</t>
        </is>
      </c>
      <c r="D21" s="336" t="inlineStr">
        <is>
          <t>(С1ср/tср*КТ*Т*Кув)*Кинф</t>
        </is>
      </c>
      <c r="E21" s="317">
        <f>((E15*E17/E16)*E19)*E20</f>
        <v/>
      </c>
      <c r="F21" s="29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92" t="n"/>
    </row>
    <row r="22" ht="15.75" customHeight="1" s="290">
      <c r="A22" s="312" t="n"/>
      <c r="B22" s="313" t="inlineStr">
        <is>
          <t>Инженер II категории</t>
        </is>
      </c>
      <c r="C22" s="313" t="n"/>
      <c r="D22" s="313" t="n"/>
      <c r="E22" s="313" t="n"/>
      <c r="F22" s="314" t="n"/>
    </row>
    <row r="23" ht="110.25" customHeight="1" s="290">
      <c r="A23" s="294" t="inlineStr">
        <is>
          <t>1.1</t>
        </is>
      </c>
      <c r="B23" s="2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36" t="inlineStr">
        <is>
          <t>С1ср</t>
        </is>
      </c>
      <c r="D23" s="336" t="inlineStr">
        <is>
          <t>-</t>
        </is>
      </c>
      <c r="E23" s="297" t="n">
        <v>47872.94</v>
      </c>
      <c r="F23" s="2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92" t="n"/>
    </row>
    <row r="24" ht="31.5" customHeight="1" s="290">
      <c r="A24" s="294" t="inlineStr">
        <is>
          <t>1.2</t>
        </is>
      </c>
      <c r="B24" s="299" t="inlineStr">
        <is>
          <t>Среднегодовое нормативное число часов работы одного рабочего в месяц, часы (ч.)</t>
        </is>
      </c>
      <c r="C24" s="336" t="inlineStr">
        <is>
          <t>tср</t>
        </is>
      </c>
      <c r="D24" s="336" t="inlineStr">
        <is>
          <t>1973ч/12мес.</t>
        </is>
      </c>
      <c r="E24" s="298">
        <f>1973/12</f>
        <v/>
      </c>
      <c r="F24" s="299" t="inlineStr">
        <is>
          <t>Производственный календарь 2023 год
(40-часов.неделя)</t>
        </is>
      </c>
      <c r="G24" s="301" t="n"/>
    </row>
    <row r="25" ht="15.75" customHeight="1" s="290">
      <c r="A25" s="294" t="inlineStr">
        <is>
          <t>1.3</t>
        </is>
      </c>
      <c r="B25" s="299" t="inlineStr">
        <is>
          <t>Коэффициент увеличения</t>
        </is>
      </c>
      <c r="C25" s="336" t="inlineStr">
        <is>
          <t>Кув</t>
        </is>
      </c>
      <c r="D25" s="336" t="inlineStr">
        <is>
          <t>-</t>
        </is>
      </c>
      <c r="E25" s="298" t="n">
        <v>1</v>
      </c>
      <c r="F25" s="299" t="n"/>
      <c r="G25" s="301" t="n"/>
    </row>
    <row r="26" ht="15.75" customHeight="1" s="290">
      <c r="A26" s="294" t="inlineStr">
        <is>
          <t>1.4</t>
        </is>
      </c>
      <c r="B26" s="299" t="inlineStr">
        <is>
          <t>Средний разряд работ</t>
        </is>
      </c>
      <c r="C26" s="336" t="n"/>
      <c r="D26" s="336" t="n"/>
      <c r="E26" s="430" t="inlineStr">
        <is>
          <t>Инженер II категории</t>
        </is>
      </c>
      <c r="F26" s="299" t="inlineStr">
        <is>
          <t>РТМ</t>
        </is>
      </c>
      <c r="G26" s="301" t="n"/>
    </row>
    <row r="27" ht="78.75" customHeight="1" s="290">
      <c r="A27" s="307" t="inlineStr">
        <is>
          <t>1.5</t>
        </is>
      </c>
      <c r="B27" s="311" t="inlineStr">
        <is>
          <t>Тарифный коэффициент среднего разряда работ</t>
        </is>
      </c>
      <c r="C27" s="309" t="inlineStr">
        <is>
          <t>КТ</t>
        </is>
      </c>
      <c r="D27" s="309" t="inlineStr">
        <is>
          <t>-</t>
        </is>
      </c>
      <c r="E27" s="433" t="n">
        <v>1.96</v>
      </c>
      <c r="F27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92" t="n"/>
    </row>
    <row r="28" ht="78.75" customHeight="1" s="290">
      <c r="A28" s="294" t="inlineStr">
        <is>
          <t>1.6</t>
        </is>
      </c>
      <c r="B28" s="304" t="inlineStr">
        <is>
          <t>Коэффициент инфляции, определяемый поквартально</t>
        </is>
      </c>
      <c r="C28" s="336" t="inlineStr">
        <is>
          <t>Кинф</t>
        </is>
      </c>
      <c r="D28" s="336" t="inlineStr">
        <is>
          <t>-</t>
        </is>
      </c>
      <c r="E28" s="432" t="n">
        <v>1.139</v>
      </c>
      <c r="F28" s="3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01" t="n"/>
    </row>
    <row r="29" ht="63" customHeight="1" s="290">
      <c r="A29" s="294" t="inlineStr">
        <is>
          <t>1.7</t>
        </is>
      </c>
      <c r="B29" s="316" t="inlineStr">
        <is>
          <t>Размер средств на оплату труда рабочих-строителей в текущем уровне цен (ФОТр.тек.), руб/чел.-ч</t>
        </is>
      </c>
      <c r="C29" s="336" t="inlineStr">
        <is>
          <t>ФОТр.тек.</t>
        </is>
      </c>
      <c r="D29" s="336" t="inlineStr">
        <is>
          <t>(С1ср/tср*КТ*Т*Кув)*Кинф</t>
        </is>
      </c>
      <c r="E29" s="317">
        <f>((E23*E25/E24)*E27)*E28</f>
        <v/>
      </c>
      <c r="F29" s="29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92" t="n"/>
    </row>
  </sheetData>
  <mergeCells count="1">
    <mergeCell ref="A2:F2"/>
  </mergeCells>
  <pageMargins left="0.7" right="0.7" top="0.75" bottom="0.75" header="0.3" footer="0.3"/>
  <pageSetup orientation="portrait" scale="5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2025-01-24T12:01:52Z</dcterms:modified>
  <cp:lastModifiedBy>Nikolay Ivanov</cp:lastModifiedBy>
  <cp:lastPrinted>2023-11-30T13:22:17Z</cp:lastPrinted>
</cp:coreProperties>
</file>