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ОБ'!$A$1:$J$79</definedName>
    <definedName name="_xlnm.Print_Area" localSheetId="5">'Прил.6 Расчет ОБ'!$A$1:$G$22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0"/>
    <numFmt numFmtId="166" formatCode="0.0"/>
    <numFmt numFmtId="167" formatCode="#,##0.0000"/>
    <numFmt numFmtId="168" formatCode="0.0000"/>
    <numFmt numFmtId="169" formatCode="0.000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FF99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6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8" fillId="0" borderId="0" pivotButton="0" quotePrefix="0" xfId="0"/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66" fontId="16" fillId="0" borderId="0" pivotButton="0" quotePrefix="0" xfId="0"/>
    <xf numFmtId="0" fontId="19" fillId="0" borderId="0" applyAlignment="1" pivotButton="0" quotePrefix="0" xfId="0">
      <alignment horizontal="center"/>
    </xf>
    <xf numFmtId="10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1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justify" vertical="center"/>
    </xf>
    <xf numFmtId="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9" fillId="0" borderId="2" applyAlignment="1" pivotButton="0" quotePrefix="0" xfId="0">
      <alignment horizontal="right" vertical="center" wrapText="1"/>
    </xf>
    <xf numFmtId="0" fontId="19" fillId="0" borderId="6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165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8" fontId="1" fillId="0" borderId="4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2" zoomScale="70" zoomScaleNormal="55" workbookViewId="0">
      <selection activeCell="C29" sqref="C28:C29"/>
    </sheetView>
  </sheetViews>
  <sheetFormatPr baseColWidth="8" defaultColWidth="9.140625" defaultRowHeight="15.75"/>
  <cols>
    <col width="9.140625" customWidth="1" style="199" min="1" max="2"/>
    <col width="36.85546875" customWidth="1" style="199" min="3" max="3"/>
    <col width="36.5703125" customWidth="1" style="199" min="4" max="6"/>
    <col width="17.5703125" customWidth="1" style="199" min="7" max="7"/>
    <col width="18.7109375" customWidth="1" style="199" min="8" max="8"/>
    <col width="9.140625" customWidth="1" style="199" min="9" max="9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>
      <c r="B5" s="117" t="n"/>
      <c r="C5" s="117" t="n"/>
      <c r="D5" s="117" t="n"/>
      <c r="E5" s="117" t="n"/>
      <c r="F5" s="117" t="n"/>
    </row>
    <row r="6">
      <c r="B6" s="117" t="n"/>
      <c r="C6" s="117" t="n"/>
      <c r="D6" s="117" t="n"/>
      <c r="E6" s="117" t="n"/>
      <c r="F6" s="117" t="n"/>
    </row>
    <row r="7">
      <c r="B7" s="227" t="inlineStr">
        <is>
          <t>Наименование разрабатываемого показателя УНЦ — Комплекс систем безопасности ПС. Шкаф ЦК комплекса систем безопасности</t>
        </is>
      </c>
    </row>
    <row r="8" ht="31.5" customHeight="1" s="197">
      <c r="B8" s="228" t="inlineStr">
        <is>
          <t>Сопоставимый уровень цен: 4 кв 2019</t>
        </is>
      </c>
    </row>
    <row r="9">
      <c r="B9" s="228" t="inlineStr">
        <is>
          <t>Единица измерения  — 1 ед.</t>
        </is>
      </c>
    </row>
    <row r="10">
      <c r="B10" s="228" t="n"/>
    </row>
    <row r="11">
      <c r="B11" s="235" t="inlineStr">
        <is>
          <t>№ п/п</t>
        </is>
      </c>
      <c r="C11" s="235" t="inlineStr">
        <is>
          <t>Параметр</t>
        </is>
      </c>
      <c r="D11" s="211" t="inlineStr">
        <is>
          <t>Объект-представитель 1</t>
        </is>
      </c>
      <c r="E11" s="211" t="inlineStr">
        <is>
          <t>Объект-представитель 2</t>
        </is>
      </c>
      <c r="F11" s="211" t="inlineStr">
        <is>
          <t>Объект-представитель 3</t>
        </is>
      </c>
    </row>
    <row r="12" ht="189" customHeight="1" s="197">
      <c r="B12" s="235" t="n">
        <v>1</v>
      </c>
      <c r="C12" s="211" t="inlineStr">
        <is>
          <t>Наименование объекта-представителя</t>
        </is>
      </c>
      <c r="D12" s="235" t="inlineStr">
        <is>
          <t>Строительство ПС 110 кВ Ясень с заходами 110 кВ, для технологического присоединения энергопринимающих устройств ПАО «Газпром» (установка силовых трансформаторов мощностью 2х10МВА, ориентировочная протяженность заходов ВЛ 110 кВ 2х7,67 км)</t>
        </is>
      </c>
      <c r="E12" s="235" t="inlineStr">
        <is>
          <t>Строительство ПС 110/35/10 кВ "Южная" 2х40 МВА, ОРУ 110 кВ, ЗРУ 35 кВ, ЗРУ 10 кВ (установка выключателей 110, 35, 10 кВ в количестве 40 шт., ДГР 10 кВ в количестве 2 шт.) и ВЛ-110\35\10 кВ общей протяженностью 11,551 км в Зашекснинском районе г. Череповца (МУП Электросеть Дог. №26-01547Ч/16 от 19.05.2016; Дог. №26-02799Ч/16 от 14.07.2016; Дог. №26-02916Ч/16 от 19.07.2016)</t>
        </is>
      </c>
      <c r="F12" s="211" t="n"/>
    </row>
    <row r="13" ht="31.5" customHeight="1" s="197">
      <c r="B13" s="235" t="n">
        <v>2</v>
      </c>
      <c r="C13" s="211" t="inlineStr">
        <is>
          <t>Наименование субъекта Российской Федерации</t>
        </is>
      </c>
      <c r="D13" s="235" t="inlineStr">
        <is>
          <t>Ленинградская область</t>
        </is>
      </c>
      <c r="E13" s="235" t="inlineStr">
        <is>
          <t>Вологодская область</t>
        </is>
      </c>
      <c r="F13" s="211" t="n"/>
    </row>
    <row r="14">
      <c r="B14" s="235" t="n">
        <v>3</v>
      </c>
      <c r="C14" s="211" t="inlineStr">
        <is>
          <t>Климатический район и подрайон</t>
        </is>
      </c>
      <c r="D14" s="235" t="inlineStr">
        <is>
          <t>IIВ</t>
        </is>
      </c>
      <c r="E14" s="235" t="inlineStr">
        <is>
          <t>IIВ</t>
        </is>
      </c>
      <c r="F14" s="211" t="n"/>
    </row>
    <row r="15">
      <c r="B15" s="235" t="n">
        <v>4</v>
      </c>
      <c r="C15" s="211" t="inlineStr">
        <is>
          <t>Мощность объекта</t>
        </is>
      </c>
      <c r="D15" s="235" t="n">
        <v>1</v>
      </c>
      <c r="E15" s="235" t="n">
        <v>1</v>
      </c>
      <c r="F15" s="206" t="n"/>
    </row>
    <row r="16" ht="94.5" customHeight="1" s="197">
      <c r="B16" s="235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Шкаф ЦК комплекса систем безопасности - 1 комплект</t>
        </is>
      </c>
      <c r="E16" s="235" t="inlineStr">
        <is>
          <t>Шкаф ЦК комплекса систем безопасности - 1 комплект</t>
        </is>
      </c>
      <c r="F16" s="211" t="n"/>
    </row>
    <row r="17" ht="78.75" customHeight="1" s="197">
      <c r="B17" s="235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1">
        <f>SUM(D18:D21)</f>
        <v/>
      </c>
      <c r="E17" s="121">
        <f>SUM(E18:E21)</f>
        <v/>
      </c>
      <c r="F17" s="121" t="n"/>
    </row>
    <row r="18">
      <c r="B18" s="122" t="inlineStr">
        <is>
          <t>6.1</t>
        </is>
      </c>
      <c r="C18" s="211" t="inlineStr">
        <is>
          <t>строительно-монтажные работы</t>
        </is>
      </c>
      <c r="D18" s="121" t="n">
        <v>290.88</v>
      </c>
      <c r="E18" s="121">
        <f>4.24991+1150.65741</f>
        <v/>
      </c>
      <c r="F18" s="121" t="n"/>
    </row>
    <row r="19" ht="15.75" customHeight="1" s="197">
      <c r="B19" s="122" t="inlineStr">
        <is>
          <t>6.2</t>
        </is>
      </c>
      <c r="C19" s="211" t="inlineStr">
        <is>
          <t>оборудование и инвентарь</t>
        </is>
      </c>
      <c r="D19" s="121" t="n">
        <v>233.39</v>
      </c>
      <c r="E19" s="121" t="n">
        <v>6458.93944</v>
      </c>
      <c r="F19" s="121" t="n"/>
    </row>
    <row r="20" ht="16.5" customHeight="1" s="197">
      <c r="B20" s="122" t="inlineStr">
        <is>
          <t>6.3</t>
        </is>
      </c>
      <c r="C20" s="211" t="inlineStr">
        <is>
          <t>пусконаладочные работы</t>
        </is>
      </c>
      <c r="D20" s="121">
        <f>D19/420855.67*23567.92</f>
        <v/>
      </c>
      <c r="E20" s="121">
        <f>E19/373738.59*34875.05</f>
        <v/>
      </c>
      <c r="F20" s="121" t="n"/>
      <c r="H20" s="123" t="n"/>
    </row>
    <row r="21" ht="35.25" customHeight="1" s="197">
      <c r="B21" s="122" t="inlineStr">
        <is>
          <t>6.4</t>
        </is>
      </c>
      <c r="C21" s="124" t="inlineStr">
        <is>
          <t>прочие и лимитированные затраты</t>
        </is>
      </c>
      <c r="D21" s="121">
        <f>D18*3.9%+(D18+D18*3.9%)*2.1%</f>
        <v/>
      </c>
      <c r="E21" s="121">
        <f>E18*3.9%+(E18+E18*3.9%)*2.1%</f>
        <v/>
      </c>
      <c r="F21" s="121" t="n"/>
    </row>
    <row r="22">
      <c r="B22" s="235" t="n">
        <v>7</v>
      </c>
      <c r="C22" s="124" t="inlineStr">
        <is>
          <t>Сопоставимый уровень цен</t>
        </is>
      </c>
      <c r="D22" s="235" t="inlineStr">
        <is>
          <t>4 кв 2019</t>
        </is>
      </c>
      <c r="E22" s="235" t="inlineStr">
        <is>
          <t>4 кв 2019</t>
        </is>
      </c>
      <c r="F22" s="121" t="n"/>
    </row>
    <row r="23" ht="123" customHeight="1" s="197">
      <c r="B23" s="235" t="n">
        <v>8</v>
      </c>
      <c r="C23" s="1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1">
        <f>D17</f>
        <v/>
      </c>
      <c r="E23" s="121">
        <f>E17</f>
        <v/>
      </c>
      <c r="F23" s="318" t="n"/>
    </row>
    <row r="24" ht="51" customHeight="1" s="197">
      <c r="B24" s="235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121">
        <f>D23/D15</f>
        <v/>
      </c>
      <c r="E24" s="121">
        <f>E23/E15</f>
        <v/>
      </c>
      <c r="F24" s="121" t="n"/>
    </row>
    <row r="25" ht="110.25" customHeight="1" s="197">
      <c r="B25" s="235" t="n">
        <v>10</v>
      </c>
      <c r="C25" s="211" t="inlineStr">
        <is>
          <t>Примечание</t>
        </is>
      </c>
      <c r="D25" s="211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Рекомендуемая расчетная единица  УНЦ - 1 ед.</t>
        </is>
      </c>
      <c r="E25" s="211" t="n"/>
      <c r="F25" s="211" t="n"/>
    </row>
    <row r="26">
      <c r="B26" s="128" t="n"/>
      <c r="C26" s="129" t="n"/>
      <c r="D26" s="129" t="n"/>
      <c r="E26" s="129" t="n"/>
      <c r="F26" s="129" t="n"/>
    </row>
    <row r="27">
      <c r="B27" s="130" t="n"/>
    </row>
    <row r="28">
      <c r="B28" s="199" t="inlineStr">
        <is>
          <t>Составил ______________________        Д.Ю. Нефедова</t>
        </is>
      </c>
    </row>
    <row r="29">
      <c r="B29" s="130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30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3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10"/>
    <col width="18" customWidth="1" style="199" min="11" max="11"/>
    <col width="9.140625" customWidth="1" style="199" min="12" max="12"/>
  </cols>
  <sheetData>
    <row r="3">
      <c r="B3" s="225" t="inlineStr">
        <is>
          <t>Приложение № 2</t>
        </is>
      </c>
      <c r="K3" s="130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17" t="n"/>
      <c r="C5" s="117" t="n"/>
      <c r="D5" s="117" t="n"/>
      <c r="E5" s="117" t="n"/>
      <c r="F5" s="117" t="n"/>
      <c r="G5" s="117" t="n"/>
      <c r="H5" s="117" t="n"/>
      <c r="I5" s="117" t="n"/>
      <c r="J5" s="117" t="n"/>
      <c r="K5" s="117" t="n"/>
    </row>
    <row r="6" ht="15.75" customHeight="1" s="197">
      <c r="B6" s="237" t="inlineStr">
        <is>
          <t>Наименование разрабатываемого показателя УНЦ —  Комплекс систем безопасности ПС. Шкаф ЦК комплекса систем безопасности</t>
        </is>
      </c>
      <c r="K6" s="130" t="n"/>
      <c r="L6" s="131" t="n"/>
    </row>
    <row r="7">
      <c r="B7" s="228" t="inlineStr">
        <is>
          <t>Единица измерения  — 1 ед.</t>
        </is>
      </c>
      <c r="L7" s="131" t="n"/>
    </row>
    <row r="8">
      <c r="B8" s="228" t="n"/>
    </row>
    <row r="9" ht="15.75" customHeight="1" s="197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7">
      <c r="B10" s="321" t="n"/>
      <c r="C10" s="321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2019 г., тыс. руб.</t>
        </is>
      </c>
      <c r="G10" s="319" t="n"/>
      <c r="H10" s="319" t="n"/>
      <c r="I10" s="319" t="n"/>
      <c r="J10" s="320" t="n"/>
    </row>
    <row r="11" ht="31.5" customHeight="1" s="197">
      <c r="B11" s="322" t="n"/>
      <c r="C11" s="322" t="n"/>
      <c r="D11" s="322" t="n"/>
      <c r="E11" s="322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 s="197">
      <c r="B12" s="200" t="n">
        <v>1</v>
      </c>
      <c r="C12" s="235" t="inlineStr">
        <is>
          <t>Шкаф ЦК комплекса систем безопасности - 1 комплект</t>
        </is>
      </c>
      <c r="D12" s="132" t="inlineStr">
        <is>
          <t>02-05-01</t>
        </is>
      </c>
      <c r="E12" s="206" t="inlineStr">
        <is>
          <t>Технические решения по АСУ ТП</t>
        </is>
      </c>
      <c r="F12" s="133" t="n"/>
      <c r="G12" s="133" t="n">
        <v>51.9937</v>
      </c>
      <c r="H12" s="133" t="n"/>
      <c r="I12" s="134" t="n"/>
      <c r="J12" s="135">
        <f>SUM(F12:I12)</f>
        <v/>
      </c>
    </row>
    <row r="13" ht="31.5" customHeight="1" s="197">
      <c r="B13" s="322" t="n"/>
      <c r="C13" s="322" t="n"/>
      <c r="D13" s="132" t="inlineStr">
        <is>
          <t>05-02-01</t>
        </is>
      </c>
      <c r="E13" s="206" t="inlineStr">
        <is>
          <t>Комплекс технических средств безопасности</t>
        </is>
      </c>
      <c r="F13" s="133" t="n"/>
      <c r="G13" s="133" t="n">
        <v>238.8885</v>
      </c>
      <c r="H13" s="133" t="n">
        <v>233.3887</v>
      </c>
      <c r="I13" s="134" t="n"/>
      <c r="J13" s="135">
        <f>SUM(F13:I13)</f>
        <v/>
      </c>
    </row>
    <row r="14" ht="15.75" customHeight="1" s="197">
      <c r="B14" s="236" t="inlineStr">
        <is>
          <t>Всего по объекту:</t>
        </is>
      </c>
      <c r="C14" s="319" t="n"/>
      <c r="D14" s="319" t="n"/>
      <c r="E14" s="320" t="n"/>
      <c r="F14" s="136">
        <f>SUM(F12:F13)</f>
        <v/>
      </c>
      <c r="G14" s="136">
        <f>SUM(G12:G13)</f>
        <v/>
      </c>
      <c r="H14" s="136">
        <f>SUM(H12:H13)</f>
        <v/>
      </c>
      <c r="I14" s="214" t="n"/>
      <c r="J14" s="138">
        <f>SUM(F14:I14)</f>
        <v/>
      </c>
    </row>
    <row r="15" ht="28.5" customHeight="1" s="197">
      <c r="B15" s="236" t="inlineStr">
        <is>
          <t>Всего по объекту в сопоставимом уровне цен 4 кв. 2019 г:</t>
        </is>
      </c>
      <c r="C15" s="319" t="n"/>
      <c r="D15" s="319" t="n"/>
      <c r="E15" s="320" t="n"/>
      <c r="F15" s="136">
        <f>F14</f>
        <v/>
      </c>
      <c r="G15" s="136">
        <f>G14</f>
        <v/>
      </c>
      <c r="H15" s="136">
        <f>H14</f>
        <v/>
      </c>
      <c r="I15" s="214" t="n"/>
      <c r="J15" s="138">
        <f>SUM(F15:I15)</f>
        <v/>
      </c>
    </row>
    <row r="16">
      <c r="B16" s="228" t="n"/>
    </row>
    <row r="17">
      <c r="B17" s="235" t="inlineStr">
        <is>
          <t>№ п/п</t>
        </is>
      </c>
      <c r="C17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35" t="inlineStr">
        <is>
          <t>Объект-представитель 2</t>
        </is>
      </c>
      <c r="E17" s="319" t="n"/>
      <c r="F17" s="319" t="n"/>
      <c r="G17" s="319" t="n"/>
      <c r="H17" s="319" t="n"/>
      <c r="I17" s="319" t="n"/>
      <c r="J17" s="320" t="n"/>
    </row>
    <row r="18" ht="15.75" customHeight="1" s="197">
      <c r="B18" s="321" t="n"/>
      <c r="C18" s="321" t="n"/>
      <c r="D18" s="235" t="inlineStr">
        <is>
          <t>Номер сметы</t>
        </is>
      </c>
      <c r="E18" s="235" t="inlineStr">
        <is>
          <t>Наименование сметы</t>
        </is>
      </c>
      <c r="F18" s="235" t="inlineStr">
        <is>
          <t>Сметная стоимость в уровне цен 4 кв. 2016 г., тыс. руб.</t>
        </is>
      </c>
      <c r="G18" s="319" t="n"/>
      <c r="H18" s="319" t="n"/>
      <c r="I18" s="319" t="n"/>
      <c r="J18" s="320" t="n"/>
    </row>
    <row r="19" ht="31.5" customHeight="1" s="197">
      <c r="B19" s="322" t="n"/>
      <c r="C19" s="322" t="n"/>
      <c r="D19" s="322" t="n"/>
      <c r="E19" s="322" t="n"/>
      <c r="F19" s="235" t="inlineStr">
        <is>
          <t>Строительные работы</t>
        </is>
      </c>
      <c r="G19" s="235" t="inlineStr">
        <is>
          <t>Монтажные работы</t>
        </is>
      </c>
      <c r="H19" s="235" t="inlineStr">
        <is>
          <t>Оборудование</t>
        </is>
      </c>
      <c r="I19" s="235" t="inlineStr">
        <is>
          <t>Прочее</t>
        </is>
      </c>
      <c r="J19" s="235" t="inlineStr">
        <is>
          <t>Всего</t>
        </is>
      </c>
    </row>
    <row r="20" ht="31.5" customHeight="1" s="197">
      <c r="B20" s="240" t="n">
        <v>1</v>
      </c>
      <c r="C20" s="189" t="inlineStr">
        <is>
          <t>Шкаф ЦК комплекса систем безопасности - 1 комплект</t>
        </is>
      </c>
      <c r="D20" s="139" t="inlineStr">
        <is>
          <t>02-01-16</t>
        </is>
      </c>
      <c r="E20" s="211" t="inlineStr">
        <is>
          <t>Видеонаблюдение</t>
        </is>
      </c>
      <c r="F20" s="133" t="n">
        <v>4.2499</v>
      </c>
      <c r="G20" s="133" t="n">
        <v>1150.657</v>
      </c>
      <c r="H20" s="133" t="n">
        <v>6458.939</v>
      </c>
      <c r="I20" s="134" t="n"/>
      <c r="J20" s="135">
        <f>SUM(F20:I20)</f>
        <v/>
      </c>
    </row>
    <row r="21" ht="15.75" customHeight="1" s="197">
      <c r="B21" s="236" t="inlineStr">
        <is>
          <t>Всего по объекту:</t>
        </is>
      </c>
      <c r="C21" s="319" t="n"/>
      <c r="D21" s="319" t="n"/>
      <c r="E21" s="320" t="n"/>
      <c r="F21" s="136">
        <f>SUM(F20:F20)</f>
        <v/>
      </c>
      <c r="G21" s="136">
        <f>SUM(G20:G20)</f>
        <v/>
      </c>
      <c r="H21" s="136">
        <f>SUM(H20:H20)</f>
        <v/>
      </c>
      <c r="I21" s="214" t="n"/>
      <c r="J21" s="138">
        <f>SUM(F21:I21)</f>
        <v/>
      </c>
    </row>
    <row r="22" ht="28.5" customHeight="1" s="197">
      <c r="B22" s="236" t="inlineStr">
        <is>
          <t>Всего по объекту в сопоставимом уровне цен 4 кв. 2016 г:</t>
        </is>
      </c>
      <c r="C22" s="319" t="n"/>
      <c r="D22" s="319" t="n"/>
      <c r="E22" s="320" t="n"/>
      <c r="F22" s="136">
        <f>F21</f>
        <v/>
      </c>
      <c r="G22" s="136">
        <f>G21</f>
        <v/>
      </c>
      <c r="H22" s="136">
        <f>H21</f>
        <v/>
      </c>
      <c r="I22" s="214" t="n"/>
      <c r="J22" s="138">
        <f>SUM(F22:I22)</f>
        <v/>
      </c>
    </row>
    <row r="25">
      <c r="B25" s="246" t="inlineStr">
        <is>
          <t>*</t>
        </is>
      </c>
      <c r="C25" s="199" t="inlineStr">
        <is>
          <t xml:space="preserve"> - стоимость с учетом исключения затрат на корректровку по транспортировке  свыше 30 км.</t>
        </is>
      </c>
    </row>
    <row r="29">
      <c r="B29" s="199" t="inlineStr">
        <is>
          <t>Составил ______________________        Д.Ю. Нефедова</t>
        </is>
      </c>
    </row>
    <row r="30">
      <c r="B30" s="130" t="inlineStr">
        <is>
          <t xml:space="preserve">                         (подпись, инициалы, фамилия)</t>
        </is>
      </c>
    </row>
    <row r="32">
      <c r="B32" s="199" t="inlineStr">
        <is>
          <t>Проверил ______________________        А.В. Костянецкая</t>
        </is>
      </c>
    </row>
    <row r="33">
      <c r="B33" s="130" t="inlineStr">
        <is>
          <t xml:space="preserve">                        (подпись, инициалы, фамилия)</t>
        </is>
      </c>
    </row>
  </sheetData>
  <mergeCells count="22">
    <mergeCell ref="D9:J9"/>
    <mergeCell ref="B12:B13"/>
    <mergeCell ref="C17:C19"/>
    <mergeCell ref="F10:J10"/>
    <mergeCell ref="B15:E15"/>
    <mergeCell ref="E10:E11"/>
    <mergeCell ref="B4:K4"/>
    <mergeCell ref="C12:C13"/>
    <mergeCell ref="B7:K7"/>
    <mergeCell ref="F18:J18"/>
    <mergeCell ref="B6:J6"/>
    <mergeCell ref="B22:E22"/>
    <mergeCell ref="D18:D19"/>
    <mergeCell ref="B21:E21"/>
    <mergeCell ref="B14:E14"/>
    <mergeCell ref="B17:B19"/>
    <mergeCell ref="B3:J3"/>
    <mergeCell ref="D10:D11"/>
    <mergeCell ref="D17:J17"/>
    <mergeCell ref="E18:E19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4"/>
  <sheetViews>
    <sheetView view="pageBreakPreview" topLeftCell="A40" workbookViewId="0">
      <selection activeCell="C59" sqref="C59"/>
    </sheetView>
  </sheetViews>
  <sheetFormatPr baseColWidth="8" defaultColWidth="9.140625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41" min="5" max="5"/>
    <col width="20.7109375" customWidth="1" style="199" min="6" max="6"/>
    <col width="16.140625" customWidth="1" style="199" min="7" max="7"/>
    <col width="16.7109375" customWidth="1" style="199" min="8" max="8"/>
    <col width="9.140625" customWidth="1" style="199" min="9" max="9"/>
    <col width="10.28515625" customWidth="1" style="199" min="10" max="10"/>
    <col width="9.140625" customWidth="1" style="199" min="11" max="11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s="197">
      <c r="A4" s="226" t="n"/>
      <c r="B4" s="226" t="n"/>
      <c r="C4" s="226" t="n"/>
      <c r="D4" s="226" t="n"/>
      <c r="E4" s="226" t="n"/>
      <c r="F4" s="226" t="n"/>
      <c r="G4" s="226" t="n"/>
      <c r="H4" s="226" t="n"/>
      <c r="I4" s="199" t="n"/>
      <c r="J4" s="199" t="n"/>
      <c r="K4" s="199" t="n"/>
    </row>
    <row r="5" s="197">
      <c r="A5" s="226" t="n"/>
      <c r="B5" s="226" t="n"/>
      <c r="C5" s="226" t="n"/>
      <c r="D5" s="226" t="n"/>
      <c r="E5" s="226" t="n"/>
      <c r="F5" s="226" t="n"/>
      <c r="G5" s="226" t="n"/>
      <c r="H5" s="226" t="n"/>
      <c r="I5" s="199" t="n"/>
      <c r="J5" s="199" t="n"/>
      <c r="K5" s="199" t="n"/>
    </row>
    <row r="6">
      <c r="A6" s="228" t="n"/>
    </row>
    <row r="7">
      <c r="A7" s="237" t="inlineStr">
        <is>
          <t>Наименование разрабатываемого показателя УНЦ - Комплекс систем безопасности ПС. Шкаф ЦК комплекса систем безопасности</t>
        </is>
      </c>
    </row>
    <row r="8">
      <c r="A8" s="237" t="n"/>
      <c r="B8" s="237" t="n"/>
      <c r="C8" s="237" t="n"/>
      <c r="D8" s="237" t="n"/>
      <c r="E8" s="117" t="n"/>
      <c r="F8" s="237" t="n"/>
      <c r="G8" s="237" t="n"/>
      <c r="H8" s="237" t="n"/>
    </row>
    <row r="9" ht="38.25" customHeight="1" s="197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20" t="n"/>
    </row>
    <row r="10" ht="40.5" customHeight="1" s="197">
      <c r="A10" s="322" t="n"/>
      <c r="B10" s="322" t="n"/>
      <c r="C10" s="322" t="n"/>
      <c r="D10" s="322" t="n"/>
      <c r="E10" s="322" t="n"/>
      <c r="F10" s="322" t="n"/>
      <c r="G10" s="235" t="inlineStr">
        <is>
          <t>на ед.изм.</t>
        </is>
      </c>
      <c r="H10" s="235" t="inlineStr">
        <is>
          <t>общая</t>
        </is>
      </c>
    </row>
    <row r="11">
      <c r="A11" s="238" t="n">
        <v>1</v>
      </c>
      <c r="B11" s="238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238" t="n">
        <v>6</v>
      </c>
      <c r="H11" s="238" t="n">
        <v>7</v>
      </c>
    </row>
    <row r="12" customFormat="1" s="145">
      <c r="A12" s="242" t="inlineStr">
        <is>
          <t>Затраты труда рабочих</t>
        </is>
      </c>
      <c r="B12" s="319" t="n"/>
      <c r="C12" s="319" t="n"/>
      <c r="D12" s="319" t="n"/>
      <c r="E12" s="320" t="n"/>
      <c r="F12" s="144" t="n">
        <v>69.58</v>
      </c>
      <c r="G12" s="144" t="n"/>
      <c r="H12" s="144">
        <f>SUM(H13:H17)</f>
        <v/>
      </c>
    </row>
    <row r="13">
      <c r="A13" s="243" t="n">
        <v>1</v>
      </c>
      <c r="B13" s="147" t="inlineStr">
        <is>
          <t> </t>
        </is>
      </c>
      <c r="C13" s="148" t="inlineStr">
        <is>
          <t>1-5-0</t>
        </is>
      </c>
      <c r="D13" s="244" t="inlineStr">
        <is>
          <t>Затраты труда рабочих (ср 5)</t>
        </is>
      </c>
      <c r="E13" s="150" t="inlineStr">
        <is>
          <t>чел.-ч</t>
        </is>
      </c>
      <c r="F13" s="243" t="n">
        <v>37.2</v>
      </c>
      <c r="G13" s="151" t="n">
        <v>11.09</v>
      </c>
      <c r="H13" s="151">
        <f>ROUND(F13*G13,2)</f>
        <v/>
      </c>
      <c r="L13" s="323" t="n"/>
    </row>
    <row r="14">
      <c r="A14" s="243" t="n">
        <v>2</v>
      </c>
      <c r="B14" s="147" t="inlineStr">
        <is>
          <t> </t>
        </is>
      </c>
      <c r="C14" s="148" t="inlineStr">
        <is>
          <t>1-3-8</t>
        </is>
      </c>
      <c r="D14" s="244" t="inlineStr">
        <is>
          <t>Затраты труда рабочих (ср 3,8)</t>
        </is>
      </c>
      <c r="E14" s="150" t="inlineStr">
        <is>
          <t>чел.-ч</t>
        </is>
      </c>
      <c r="F14" s="243" t="n">
        <v>18.56</v>
      </c>
      <c r="G14" s="151" t="n">
        <v>9.4</v>
      </c>
      <c r="H14" s="151">
        <f>ROUND(F14*G14,2)</f>
        <v/>
      </c>
      <c r="L14" s="323" t="n"/>
    </row>
    <row r="15">
      <c r="A15" s="243" t="n">
        <v>3</v>
      </c>
      <c r="B15" s="147" t="inlineStr">
        <is>
          <t> </t>
        </is>
      </c>
      <c r="C15" s="148" t="inlineStr">
        <is>
          <t>1-3-1</t>
        </is>
      </c>
      <c r="D15" s="244" t="inlineStr">
        <is>
          <t>Затраты труда рабочих (ср 3,1)</t>
        </is>
      </c>
      <c r="E15" s="150" t="inlineStr">
        <is>
          <t>чел.-ч</t>
        </is>
      </c>
      <c r="F15" s="243" t="n">
        <v>6.18</v>
      </c>
      <c r="G15" s="151" t="n">
        <v>8.640000000000001</v>
      </c>
      <c r="H15" s="151">
        <f>ROUND(F15*G15,2)</f>
        <v/>
      </c>
      <c r="L15" s="323" t="n"/>
    </row>
    <row r="16">
      <c r="A16" s="243" t="n">
        <v>4</v>
      </c>
      <c r="B16" s="147" t="inlineStr">
        <is>
          <t> </t>
        </is>
      </c>
      <c r="C16" s="148" t="inlineStr">
        <is>
          <t>1-4-2</t>
        </is>
      </c>
      <c r="D16" s="244" t="inlineStr">
        <is>
          <t>Затраты труда рабочих (ср 4,2)</t>
        </is>
      </c>
      <c r="E16" s="150" t="inlineStr">
        <is>
          <t>чел.-ч</t>
        </is>
      </c>
      <c r="F16" s="243" t="n">
        <v>5.16</v>
      </c>
      <c r="G16" s="151" t="n">
        <v>9.92</v>
      </c>
      <c r="H16" s="151">
        <f>ROUND(F16*G16,2)</f>
        <v/>
      </c>
      <c r="L16" s="323" t="n"/>
    </row>
    <row r="17">
      <c r="A17" s="243" t="n">
        <v>5</v>
      </c>
      <c r="B17" s="147" t="inlineStr">
        <is>
          <t> </t>
        </is>
      </c>
      <c r="C17" s="148" t="inlineStr">
        <is>
          <t>1-6-0</t>
        </is>
      </c>
      <c r="D17" s="244" t="inlineStr">
        <is>
          <t>Затраты труда рабочих (ср 6)</t>
        </is>
      </c>
      <c r="E17" s="150" t="inlineStr">
        <is>
          <t>чел.-ч</t>
        </is>
      </c>
      <c r="F17" s="243" t="n">
        <v>2.48</v>
      </c>
      <c r="G17" s="151" t="n">
        <v>12.92</v>
      </c>
      <c r="H17" s="151">
        <f>ROUND(F17*G17,2)</f>
        <v/>
      </c>
      <c r="L17" s="323" t="n"/>
    </row>
    <row r="18">
      <c r="A18" s="242" t="inlineStr">
        <is>
          <t>Затраты труда машинистов</t>
        </is>
      </c>
      <c r="B18" s="319" t="n"/>
      <c r="C18" s="319" t="n"/>
      <c r="D18" s="319" t="n"/>
      <c r="E18" s="320" t="n"/>
      <c r="F18" s="242" t="n">
        <v>3.2</v>
      </c>
      <c r="G18" s="144" t="n"/>
      <c r="H18" s="144">
        <f>H19</f>
        <v/>
      </c>
    </row>
    <row r="19">
      <c r="A19" s="243" t="n">
        <v>6</v>
      </c>
      <c r="B19" s="243" t="inlineStr">
        <is>
          <t> </t>
        </is>
      </c>
      <c r="C19" s="216" t="n">
        <v>2</v>
      </c>
      <c r="D19" s="244" t="inlineStr">
        <is>
          <t>Затраты труда машинистов</t>
        </is>
      </c>
      <c r="E19" s="150" t="inlineStr">
        <is>
          <t>чел.-ч</t>
        </is>
      </c>
      <c r="F19" s="243" t="n">
        <v>3.2</v>
      </c>
      <c r="G19" s="151" t="n"/>
      <c r="H19" s="151" t="n">
        <v>36.13</v>
      </c>
    </row>
    <row r="20" customFormat="1" s="145">
      <c r="A20" s="242" t="inlineStr">
        <is>
          <t>Машины и механизмы</t>
        </is>
      </c>
      <c r="B20" s="319" t="n"/>
      <c r="C20" s="319" t="n"/>
      <c r="D20" s="319" t="n"/>
      <c r="E20" s="320" t="n"/>
      <c r="F20" s="242" t="n"/>
      <c r="G20" s="144" t="n"/>
      <c r="H20" s="144">
        <f>SUM(H21:H28)</f>
        <v/>
      </c>
    </row>
    <row r="21">
      <c r="A21" s="243" t="n">
        <v>7</v>
      </c>
      <c r="B21" s="243" t="inlineStr">
        <is>
          <t> </t>
        </is>
      </c>
      <c r="C21" s="216" t="inlineStr">
        <is>
          <t>91.06.05-011</t>
        </is>
      </c>
      <c r="D21" s="244" t="inlineStr">
        <is>
          <t>Погрузчики, грузоподъемность 5 т</t>
        </is>
      </c>
      <c r="E21" s="150" t="inlineStr">
        <is>
          <t>маш.час</t>
        </is>
      </c>
      <c r="F21" s="243" t="n">
        <v>1.6</v>
      </c>
      <c r="G21" s="151" t="n">
        <v>89.98999999999999</v>
      </c>
      <c r="H21" s="151">
        <f>ROUND(F21*G21,2)</f>
        <v/>
      </c>
      <c r="J21" s="115" t="n"/>
      <c r="K21" s="153" t="n"/>
    </row>
    <row r="22" ht="31.5" customFormat="1" customHeight="1" s="145">
      <c r="A22" s="243" t="n">
        <v>8</v>
      </c>
      <c r="B22" s="243" t="inlineStr">
        <is>
          <t> </t>
        </is>
      </c>
      <c r="C22" s="216" t="inlineStr">
        <is>
          <t>91.05.05-015</t>
        </is>
      </c>
      <c r="D22" s="244" t="inlineStr">
        <is>
          <t>Краны на автомобильном ходу, грузоподъемность 16 т</t>
        </is>
      </c>
      <c r="E22" s="150" t="inlineStr">
        <is>
          <t>маш.час</t>
        </is>
      </c>
      <c r="F22" s="243" t="n">
        <v>0.77</v>
      </c>
      <c r="G22" s="151" t="n">
        <v>115.4</v>
      </c>
      <c r="H22" s="151">
        <f>ROUND(F22*G22,2)</f>
        <v/>
      </c>
      <c r="J22" s="115" t="n"/>
      <c r="K22" s="115" t="n"/>
    </row>
    <row r="23" customFormat="1" s="145">
      <c r="A23" s="243" t="n">
        <v>9</v>
      </c>
      <c r="B23" s="243" t="inlineStr">
        <is>
          <t> </t>
        </is>
      </c>
      <c r="C23" s="216" t="inlineStr">
        <is>
          <t>91.14.02-001</t>
        </is>
      </c>
      <c r="D23" s="244" t="inlineStr">
        <is>
          <t>Автомобили бортовые, грузоподъемность до 5 т</t>
        </is>
      </c>
      <c r="E23" s="150" t="inlineStr">
        <is>
          <t>маш.час</t>
        </is>
      </c>
      <c r="F23" s="243" t="n">
        <v>0.83</v>
      </c>
      <c r="G23" s="151" t="n">
        <v>65.70999999999999</v>
      </c>
      <c r="H23" s="151">
        <f>ROUND(F23*G23,2)</f>
        <v/>
      </c>
      <c r="J23" s="115" t="n"/>
      <c r="K23" s="115" t="n"/>
    </row>
    <row r="24" ht="31.5" customFormat="1" customHeight="1" s="145">
      <c r="A24" s="243" t="n">
        <v>10</v>
      </c>
      <c r="B24" s="243" t="inlineStr">
        <is>
          <t> </t>
        </is>
      </c>
      <c r="C24" s="216" t="inlineStr">
        <is>
          <t>91.06.03-061</t>
        </is>
      </c>
      <c r="D24" s="244" t="inlineStr">
        <is>
          <t>Лебедки электрические тяговым усилием до 12,26 кН (1,25 т)</t>
        </is>
      </c>
      <c r="E24" s="150" t="inlineStr">
        <is>
          <t>маш.час</t>
        </is>
      </c>
      <c r="F24" s="243" t="n">
        <v>4.4</v>
      </c>
      <c r="G24" s="151" t="n">
        <v>3.28</v>
      </c>
      <c r="H24" s="151">
        <f>ROUND(F24*G24,2)</f>
        <v/>
      </c>
      <c r="J24" s="115" t="n"/>
      <c r="K24" s="115" t="n"/>
    </row>
    <row r="25" ht="31.5" customFormat="1" customHeight="1" s="145">
      <c r="A25" s="243" t="n">
        <v>11</v>
      </c>
      <c r="B25" s="243" t="inlineStr">
        <is>
          <t> </t>
        </is>
      </c>
      <c r="C25" s="216" t="inlineStr">
        <is>
          <t>91.17.04-194</t>
        </is>
      </c>
      <c r="D25" s="244" t="inlineStr">
        <is>
          <t>Аппараты сварочные для сварки оптических кабелей со скалывателем</t>
        </is>
      </c>
      <c r="E25" s="150" t="inlineStr">
        <is>
          <t>маш.час</t>
        </is>
      </c>
      <c r="F25" s="243" t="n">
        <v>0.65</v>
      </c>
      <c r="G25" s="151" t="n">
        <v>12.14</v>
      </c>
      <c r="H25" s="151">
        <f>ROUND(F25*G25,2)</f>
        <v/>
      </c>
      <c r="J25" s="115" t="n"/>
      <c r="K25" s="115" t="n"/>
    </row>
    <row r="26" ht="31.5" customFormat="1" customHeight="1" s="145">
      <c r="A26" s="243" t="n">
        <v>12</v>
      </c>
      <c r="B26" s="243" t="inlineStr">
        <is>
          <t> </t>
        </is>
      </c>
      <c r="C26" s="216" t="inlineStr">
        <is>
          <t>91.17.04-233</t>
        </is>
      </c>
      <c r="D26" s="244" t="inlineStr">
        <is>
          <t>Установки для сварки ручной дуговой (постоянного тока)</t>
        </is>
      </c>
      <c r="E26" s="150" t="inlineStr">
        <is>
          <t>маш.час</t>
        </is>
      </c>
      <c r="F26" s="243" t="n">
        <v>0.9</v>
      </c>
      <c r="G26" s="151" t="n">
        <v>8.1</v>
      </c>
      <c r="H26" s="151">
        <f>ROUND(F26*G26,2)</f>
        <v/>
      </c>
      <c r="J26" s="115" t="n"/>
      <c r="K26" s="115" t="n"/>
    </row>
    <row r="27" customFormat="1" s="145">
      <c r="A27" s="243" t="n">
        <v>13</v>
      </c>
      <c r="B27" s="243" t="inlineStr">
        <is>
          <t> </t>
        </is>
      </c>
      <c r="C27" s="216" t="inlineStr">
        <is>
          <t>91.21.22-341</t>
        </is>
      </c>
      <c r="D27" s="244" t="inlineStr">
        <is>
          <t>Рефлектометры</t>
        </is>
      </c>
      <c r="E27" s="150" t="inlineStr">
        <is>
          <t>маш.час</t>
        </is>
      </c>
      <c r="F27" s="243" t="n">
        <v>0.48</v>
      </c>
      <c r="G27" s="151" t="n">
        <v>10.62</v>
      </c>
      <c r="H27" s="151">
        <f>ROUND(F27*G27,2)</f>
        <v/>
      </c>
      <c r="J27" s="115" t="n"/>
      <c r="K27" s="115" t="n"/>
    </row>
    <row r="28" ht="31.5" customFormat="1" customHeight="1" s="145">
      <c r="A28" s="243" t="n">
        <v>14</v>
      </c>
      <c r="B28" s="243" t="inlineStr">
        <is>
          <t> </t>
        </is>
      </c>
      <c r="C28" s="216" t="inlineStr">
        <is>
          <t>91.06.01-003</t>
        </is>
      </c>
      <c r="D28" s="244" t="inlineStr">
        <is>
          <t>Домкраты гидравлические, грузоподъемность 63-100 т</t>
        </is>
      </c>
      <c r="E28" s="150" t="inlineStr">
        <is>
          <t>маш.час</t>
        </is>
      </c>
      <c r="F28" s="243" t="n">
        <v>4.4</v>
      </c>
      <c r="G28" s="151" t="n">
        <v>0.9</v>
      </c>
      <c r="H28" s="151">
        <f>ROUND(F28*G28,2)</f>
        <v/>
      </c>
      <c r="J28" s="115" t="n"/>
    </row>
    <row r="29">
      <c r="A29" s="242" t="inlineStr">
        <is>
          <t>Оборудование</t>
        </is>
      </c>
      <c r="B29" s="319" t="n"/>
      <c r="C29" s="319" t="n"/>
      <c r="D29" s="319" t="n"/>
      <c r="E29" s="320" t="n"/>
      <c r="F29" s="242" t="n"/>
      <c r="G29" s="144" t="n"/>
      <c r="H29" s="144">
        <f>SUM(H30:H32)</f>
        <v/>
      </c>
    </row>
    <row r="30" customFormat="1" s="145">
      <c r="A30" s="243" t="n">
        <v>15</v>
      </c>
      <c r="B30" s="243" t="inlineStr">
        <is>
          <t> </t>
        </is>
      </c>
      <c r="C30" s="216" t="inlineStr">
        <is>
          <t>Прайс из СД ОП</t>
        </is>
      </c>
      <c r="D30" s="244" t="inlineStr">
        <is>
          <t>Шкаф видеонаблюдения</t>
        </is>
      </c>
      <c r="E30" s="150" t="inlineStr">
        <is>
          <t>шт.</t>
        </is>
      </c>
      <c r="F30" s="243" t="n">
        <v>1</v>
      </c>
      <c r="G30" s="151" t="n">
        <v>3398.72</v>
      </c>
      <c r="H30" s="151">
        <f>ROUND(F30*G30,2)</f>
        <v/>
      </c>
      <c r="J30" s="115" t="n"/>
    </row>
    <row r="31" customFormat="1" s="145">
      <c r="A31" s="243" t="n">
        <v>16</v>
      </c>
      <c r="B31" s="243" t="inlineStr">
        <is>
          <t> </t>
        </is>
      </c>
      <c r="C31" s="216" t="inlineStr">
        <is>
          <t>Прайс из СД ОП</t>
        </is>
      </c>
      <c r="D31" s="244" t="inlineStr">
        <is>
          <t>ПО видеорегистратора Itrium-L-VideoServerAx</t>
        </is>
      </c>
      <c r="E31" s="150" t="inlineStr">
        <is>
          <t>шт.</t>
        </is>
      </c>
      <c r="F31" s="243" t="n">
        <v>1</v>
      </c>
      <c r="G31" s="151" t="n">
        <v>39848.47</v>
      </c>
      <c r="H31" s="151">
        <f>ROUND(F31*G31,2)</f>
        <v/>
      </c>
      <c r="J31" s="115" t="n"/>
    </row>
    <row r="32" customFormat="1" s="145">
      <c r="A32" s="243" t="n">
        <v>17</v>
      </c>
      <c r="B32" s="243" t="inlineStr">
        <is>
          <t> </t>
        </is>
      </c>
      <c r="C32" s="216" t="inlineStr">
        <is>
          <t>Прайс из СД ОП</t>
        </is>
      </c>
      <c r="D32" s="244" t="inlineStr">
        <is>
          <t>ПО АРМ видеонаблюдения Itrium-L-Video</t>
        </is>
      </c>
      <c r="E32" s="150" t="inlineStr">
        <is>
          <t>шт.</t>
        </is>
      </c>
      <c r="F32" s="243" t="n">
        <v>1</v>
      </c>
      <c r="G32" s="151" t="n">
        <v>5578.9</v>
      </c>
      <c r="H32" s="151">
        <f>ROUND(F32*G32,2)</f>
        <v/>
      </c>
      <c r="J32" s="115" t="n"/>
    </row>
    <row r="33">
      <c r="A33" s="242" t="inlineStr">
        <is>
          <t>Материалы</t>
        </is>
      </c>
      <c r="B33" s="319" t="n"/>
      <c r="C33" s="319" t="n"/>
      <c r="D33" s="319" t="n"/>
      <c r="E33" s="320" t="n"/>
      <c r="F33" s="242" t="n"/>
      <c r="G33" s="144" t="n"/>
      <c r="H33" s="144">
        <f>SUM(H34:H57)</f>
        <v/>
      </c>
    </row>
    <row r="34">
      <c r="A34" s="243" t="n">
        <v>18</v>
      </c>
      <c r="B34" s="243" t="inlineStr">
        <is>
          <t> </t>
        </is>
      </c>
      <c r="C34" s="216" t="inlineStr">
        <is>
          <t>21.1.08.03-0578</t>
        </is>
      </c>
      <c r="D34" s="244" t="inlineStr">
        <is>
          <t>Кабель контрольный КВВГЭнг(A)-LS 5х1,5</t>
        </is>
      </c>
      <c r="E34" s="150" t="inlineStr">
        <is>
          <t>1000 м</t>
        </is>
      </c>
      <c r="F34" s="243" t="n">
        <v>1.204</v>
      </c>
      <c r="G34" s="151" t="n">
        <v>29332.61</v>
      </c>
      <c r="H34" s="151">
        <f>ROUND(F34*G34,2)</f>
        <v/>
      </c>
      <c r="J34" s="115" t="n"/>
    </row>
    <row r="35" ht="31.5" customHeight="1" s="197">
      <c r="A35" s="243" t="n">
        <v>19</v>
      </c>
      <c r="B35" s="243" t="inlineStr">
        <is>
          <t> </t>
        </is>
      </c>
      <c r="C35" s="216" t="inlineStr">
        <is>
          <t>07.2.07.04-0007</t>
        </is>
      </c>
      <c r="D35" s="244" t="inlineStr">
        <is>
          <t>Конструкции стальные индивидуальные решетчатые сварные, масса до 0,1 т</t>
        </is>
      </c>
      <c r="E35" s="150" t="inlineStr">
        <is>
          <t>т</t>
        </is>
      </c>
      <c r="F35" s="243" t="n">
        <v>0.03</v>
      </c>
      <c r="G35" s="151" t="n">
        <v>11500</v>
      </c>
      <c r="H35" s="151">
        <f>ROUND(F35*G35,2)</f>
        <v/>
      </c>
      <c r="J35" s="115" t="n"/>
    </row>
    <row r="36">
      <c r="A36" s="243" t="n">
        <v>20</v>
      </c>
      <c r="B36" s="243" t="inlineStr">
        <is>
          <t> </t>
        </is>
      </c>
      <c r="C36" s="216" t="inlineStr">
        <is>
          <t>20.2.10.03-0020</t>
        </is>
      </c>
      <c r="D36" s="244" t="inlineStr">
        <is>
          <t>Наконечники кабельные П2.5-4Д-МУ3</t>
        </is>
      </c>
      <c r="E36" s="150" t="inlineStr">
        <is>
          <t>100 шт</t>
        </is>
      </c>
      <c r="F36" s="243" t="n">
        <v>0.4</v>
      </c>
      <c r="G36" s="151" t="n">
        <v>203</v>
      </c>
      <c r="H36" s="151">
        <f>ROUND(F36*G36,2)</f>
        <v/>
      </c>
      <c r="J36" s="115" t="n"/>
    </row>
    <row r="37" ht="31.5" customHeight="1" s="197">
      <c r="A37" s="243" t="n">
        <v>21</v>
      </c>
      <c r="B37" s="243" t="inlineStr">
        <is>
          <t> </t>
        </is>
      </c>
      <c r="C37" s="216" t="inlineStr">
        <is>
          <t>10.3.02.03-0011</t>
        </is>
      </c>
      <c r="D37" s="244" t="inlineStr">
        <is>
          <t>Припои оловянно-свинцовые бессурьмянистые, марка ПОС30</t>
        </is>
      </c>
      <c r="E37" s="150" t="inlineStr">
        <is>
          <t>т</t>
        </is>
      </c>
      <c r="F37" s="243" t="n">
        <v>0.00052</v>
      </c>
      <c r="G37" s="151" t="n">
        <v>68050</v>
      </c>
      <c r="H37" s="151">
        <f>ROUND(F37*G37,2)</f>
        <v/>
      </c>
      <c r="J37" s="115" t="n"/>
    </row>
    <row r="38" ht="31.5" customHeight="1" s="197">
      <c r="A38" s="243" t="n">
        <v>22</v>
      </c>
      <c r="B38" s="243" t="inlineStr">
        <is>
          <t> </t>
        </is>
      </c>
      <c r="C38" s="216" t="inlineStr">
        <is>
          <t>01.7.15.07-0012</t>
        </is>
      </c>
      <c r="D38" s="244" t="inlineStr">
        <is>
          <t>Дюбели пластмассовые с шурупами, размер 12х70 мм</t>
        </is>
      </c>
      <c r="E38" s="150" t="inlineStr">
        <is>
          <t>100 шт</t>
        </is>
      </c>
      <c r="F38" s="243" t="n">
        <v>0.4</v>
      </c>
      <c r="G38" s="151" t="n">
        <v>83</v>
      </c>
      <c r="H38" s="151">
        <f>ROUND(F38*G38,2)</f>
        <v/>
      </c>
      <c r="J38" s="115" t="n"/>
    </row>
    <row r="39" ht="31.5" customHeight="1" s="197">
      <c r="A39" s="243" t="n">
        <v>23</v>
      </c>
      <c r="B39" s="243" t="inlineStr">
        <is>
          <t> </t>
        </is>
      </c>
      <c r="C39" s="216" t="inlineStr">
        <is>
          <t>10.3.02.03-0012</t>
        </is>
      </c>
      <c r="D39" s="244" t="inlineStr">
        <is>
          <t>Припои оловянно-свинцовые бессурьмянистые, марка ПОС40</t>
        </is>
      </c>
      <c r="E39" s="150" t="inlineStr">
        <is>
          <t>т</t>
        </is>
      </c>
      <c r="F39" s="243" t="n">
        <v>0.00024</v>
      </c>
      <c r="G39" s="151" t="n">
        <v>65750</v>
      </c>
      <c r="H39" s="151">
        <f>ROUND(F39*G39,2)</f>
        <v/>
      </c>
      <c r="J39" s="115" t="n"/>
    </row>
    <row r="40" ht="31.5" customHeight="1" s="197">
      <c r="A40" s="243" t="n">
        <v>24</v>
      </c>
      <c r="B40" s="243" t="inlineStr">
        <is>
          <t> </t>
        </is>
      </c>
      <c r="C40" s="216" t="inlineStr">
        <is>
          <t>10.2.02.08-0001</t>
        </is>
      </c>
      <c r="D40" s="244" t="inlineStr">
        <is>
          <t>Проволока медная, круглая, мягкая, электротехническая, диаметр 1,0-3,0 мм и выше</t>
        </is>
      </c>
      <c r="E40" s="150" t="inlineStr">
        <is>
          <t>т</t>
        </is>
      </c>
      <c r="F40" s="243" t="n">
        <v>0.0004</v>
      </c>
      <c r="G40" s="151" t="n">
        <v>37517</v>
      </c>
      <c r="H40" s="151">
        <f>ROUND(F40*G40,2)</f>
        <v/>
      </c>
      <c r="J40" s="115" t="n"/>
    </row>
    <row r="41" ht="31.5" customHeight="1" s="197">
      <c r="A41" s="243" t="n">
        <v>25</v>
      </c>
      <c r="B41" s="243" t="inlineStr">
        <is>
          <t> </t>
        </is>
      </c>
      <c r="C41" s="216" t="inlineStr">
        <is>
          <t>999-9950</t>
        </is>
      </c>
      <c r="D41" s="244" t="inlineStr">
        <is>
          <t>Вспомогательные ненормируемые ресурсы (2% от Оплаты труда рабочих)</t>
        </is>
      </c>
      <c r="E41" s="150" t="inlineStr">
        <is>
          <t>руб</t>
        </is>
      </c>
      <c r="F41" s="243" t="n">
        <v>14.46</v>
      </c>
      <c r="G41" s="151" t="n">
        <v>1</v>
      </c>
      <c r="H41" s="151">
        <f>ROUND(F41*G41,2)</f>
        <v/>
      </c>
      <c r="J41" s="115" t="n"/>
    </row>
    <row r="42" ht="31.5" customHeight="1" s="197">
      <c r="A42" s="243" t="n">
        <v>26</v>
      </c>
      <c r="B42" s="243" t="inlineStr">
        <is>
          <t> </t>
        </is>
      </c>
      <c r="C42" s="216" t="inlineStr">
        <is>
          <t>24.3.01.01-0004</t>
        </is>
      </c>
      <c r="D42" s="244" t="inlineStr">
        <is>
          <t>Трубка электроизоляционная ПВХ-305, диаметр 6-10 мм</t>
        </is>
      </c>
      <c r="E42" s="150" t="inlineStr">
        <is>
          <t>кг</t>
        </is>
      </c>
      <c r="F42" s="243" t="n">
        <v>0.32</v>
      </c>
      <c r="G42" s="151" t="n">
        <v>38.34</v>
      </c>
      <c r="H42" s="151">
        <f>ROUND(F42*G42,2)</f>
        <v/>
      </c>
      <c r="J42" s="115" t="n"/>
    </row>
    <row r="43">
      <c r="A43" s="243" t="n">
        <v>27</v>
      </c>
      <c r="B43" s="243" t="inlineStr">
        <is>
          <t> </t>
        </is>
      </c>
      <c r="C43" s="216" t="inlineStr">
        <is>
          <t>01.7.15.03-0042</t>
        </is>
      </c>
      <c r="D43" s="244" t="inlineStr">
        <is>
          <t>Болты с гайками и шайбами строительные</t>
        </is>
      </c>
      <c r="E43" s="150" t="inlineStr">
        <is>
          <t>кг</t>
        </is>
      </c>
      <c r="F43" s="243" t="n">
        <v>1.26</v>
      </c>
      <c r="G43" s="151" t="n">
        <v>9.039999999999999</v>
      </c>
      <c r="H43" s="151">
        <f>ROUND(F43*G43,2)</f>
        <v/>
      </c>
      <c r="J43" s="115" t="n"/>
    </row>
    <row r="44">
      <c r="A44" s="243" t="n">
        <v>28</v>
      </c>
      <c r="B44" s="243" t="inlineStr">
        <is>
          <t> </t>
        </is>
      </c>
      <c r="C44" s="216" t="inlineStr">
        <is>
          <t>14.4.03.03-0002</t>
        </is>
      </c>
      <c r="D44" s="244" t="inlineStr">
        <is>
          <t>Лак битумный БТ-123</t>
        </is>
      </c>
      <c r="E44" s="150" t="inlineStr">
        <is>
          <t>т</t>
        </is>
      </c>
      <c r="F44" s="243" t="n">
        <v>0.00144</v>
      </c>
      <c r="G44" s="151" t="n">
        <v>7826.9</v>
      </c>
      <c r="H44" s="151">
        <f>ROUND(F44*G44,2)</f>
        <v/>
      </c>
      <c r="J44" s="115" t="n"/>
    </row>
    <row r="45" ht="47.25" customHeight="1" s="197">
      <c r="A45" s="243" t="n">
        <v>29</v>
      </c>
      <c r="B45" s="243" t="inlineStr">
        <is>
          <t> </t>
        </is>
      </c>
      <c r="C45" s="216" t="inlineStr">
        <is>
          <t>01.7.06.05-0042</t>
        </is>
      </c>
      <c r="D45" s="244" t="inlineStr">
        <is>
          <t>Лента липкая изоляционная на поликасиновом компаунде, ширина 20-30 мм, толщина от 0,14 до 0,19 мм</t>
        </is>
      </c>
      <c r="E45" s="150" t="inlineStr">
        <is>
          <t>кг</t>
        </is>
      </c>
      <c r="F45" s="243" t="n">
        <v>0.08</v>
      </c>
      <c r="G45" s="151" t="n">
        <v>91.29000000000001</v>
      </c>
      <c r="H45" s="151">
        <f>ROUND(F45*G45,2)</f>
        <v/>
      </c>
      <c r="J45" s="115" t="n"/>
    </row>
    <row r="46">
      <c r="A46" s="243" t="n">
        <v>30</v>
      </c>
      <c r="B46" s="243" t="inlineStr">
        <is>
          <t> </t>
        </is>
      </c>
      <c r="C46" s="216" t="inlineStr">
        <is>
          <t>14.4.03.17-0011</t>
        </is>
      </c>
      <c r="D46" s="244" t="inlineStr">
        <is>
          <t>Лак электроизоляционный 318</t>
        </is>
      </c>
      <c r="E46" s="150" t="inlineStr">
        <is>
          <t>кг</t>
        </is>
      </c>
      <c r="F46" s="243" t="n">
        <v>0.12</v>
      </c>
      <c r="G46" s="151" t="n">
        <v>35.63</v>
      </c>
      <c r="H46" s="151">
        <f>ROUND(F46*G46,2)</f>
        <v/>
      </c>
      <c r="J46" s="115" t="n"/>
    </row>
    <row r="47">
      <c r="A47" s="243" t="n">
        <v>31</v>
      </c>
      <c r="B47" s="243" t="inlineStr">
        <is>
          <t> </t>
        </is>
      </c>
      <c r="C47" s="216" t="inlineStr">
        <is>
          <t>01.7.06.07-0002</t>
        </is>
      </c>
      <c r="D47" s="244" t="inlineStr">
        <is>
          <t>Лента монтажная, тип ЛМ-5</t>
        </is>
      </c>
      <c r="E47" s="150" t="inlineStr">
        <is>
          <t>10 м</t>
        </is>
      </c>
      <c r="F47" s="243" t="n">
        <v>0.49</v>
      </c>
      <c r="G47" s="151" t="n">
        <v>6.9</v>
      </c>
      <c r="H47" s="151">
        <f>ROUND(F47*G47,2)</f>
        <v/>
      </c>
      <c r="J47" s="115" t="n"/>
    </row>
    <row r="48">
      <c r="A48" s="243" t="n">
        <v>32</v>
      </c>
      <c r="B48" s="243" t="inlineStr">
        <is>
          <t> </t>
        </is>
      </c>
      <c r="C48" s="216" t="inlineStr">
        <is>
          <t>01.7.11.07-0034</t>
        </is>
      </c>
      <c r="D48" s="244" t="inlineStr">
        <is>
          <t>Электроды сварочные Э42А, диаметр 4 мм</t>
        </is>
      </c>
      <c r="E48" s="150" t="inlineStr">
        <is>
          <t>кг</t>
        </is>
      </c>
      <c r="F48" s="243" t="n">
        <v>0.3</v>
      </c>
      <c r="G48" s="151" t="n">
        <v>10.57</v>
      </c>
      <c r="H48" s="151">
        <f>ROUND(F48*G48,2)</f>
        <v/>
      </c>
      <c r="J48" s="115" t="n"/>
    </row>
    <row r="49">
      <c r="A49" s="243" t="n">
        <v>33</v>
      </c>
      <c r="B49" s="243" t="inlineStr">
        <is>
          <t> </t>
        </is>
      </c>
      <c r="C49" s="216" t="inlineStr">
        <is>
          <t>01.7.15.14-0165</t>
        </is>
      </c>
      <c r="D49" s="244" t="inlineStr">
        <is>
          <t>Шурупы с полукруглой головкой 4х40 мм</t>
        </is>
      </c>
      <c r="E49" s="150" t="inlineStr">
        <is>
          <t>т</t>
        </is>
      </c>
      <c r="F49" s="243" t="n">
        <v>0.00022</v>
      </c>
      <c r="G49" s="151" t="n">
        <v>12430</v>
      </c>
      <c r="H49" s="151">
        <f>ROUND(F49*G49,2)</f>
        <v/>
      </c>
      <c r="J49" s="115" t="n"/>
    </row>
    <row r="50" ht="31.5" customHeight="1" s="197">
      <c r="A50" s="243" t="n">
        <v>34</v>
      </c>
      <c r="B50" s="243" t="inlineStr">
        <is>
          <t> </t>
        </is>
      </c>
      <c r="C50" s="216" t="inlineStr">
        <is>
          <t>01.7.15.03-0031</t>
        </is>
      </c>
      <c r="D50" s="244" t="inlineStr">
        <is>
          <t>Болты с гайками и шайбами оцинкованные, диаметр 6 мм</t>
        </is>
      </c>
      <c r="E50" s="150" t="inlineStr">
        <is>
          <t>кг</t>
        </is>
      </c>
      <c r="F50" s="243" t="n">
        <v>0.07000000000000001</v>
      </c>
      <c r="G50" s="151" t="n">
        <v>28.22</v>
      </c>
      <c r="H50" s="151">
        <f>ROUND(F50*G50,2)</f>
        <v/>
      </c>
      <c r="J50" s="115" t="n"/>
    </row>
    <row r="51" ht="31.5" customHeight="1" s="197">
      <c r="A51" s="243" t="n">
        <v>35</v>
      </c>
      <c r="B51" s="243" t="inlineStr">
        <is>
          <t> </t>
        </is>
      </c>
      <c r="C51" s="216" t="inlineStr">
        <is>
          <t>01.3.01.07-0009</t>
        </is>
      </c>
      <c r="D51" s="244" t="inlineStr">
        <is>
          <t>Спирт этиловый ректификованный технический, сорт I</t>
        </is>
      </c>
      <c r="E51" s="150" t="inlineStr">
        <is>
          <t>кг</t>
        </is>
      </c>
      <c r="F51" s="243" t="n">
        <v>0.05</v>
      </c>
      <c r="G51" s="151" t="n">
        <v>38.89</v>
      </c>
      <c r="H51" s="151">
        <f>ROUND(F51*G51,2)</f>
        <v/>
      </c>
      <c r="J51" s="115" t="n"/>
    </row>
    <row r="52">
      <c r="A52" s="243" t="n">
        <v>36</v>
      </c>
      <c r="B52" s="243" t="inlineStr">
        <is>
          <t> </t>
        </is>
      </c>
      <c r="C52" s="216" t="inlineStr">
        <is>
          <t>14.4.02.09-0001</t>
        </is>
      </c>
      <c r="D52" s="244" t="inlineStr">
        <is>
          <t>Краска</t>
        </is>
      </c>
      <c r="E52" s="150" t="inlineStr">
        <is>
          <t>кг</t>
        </is>
      </c>
      <c r="F52" s="243" t="n">
        <v>0.05</v>
      </c>
      <c r="G52" s="151" t="n">
        <v>28.6</v>
      </c>
      <c r="H52" s="151">
        <f>ROUND(F52*G52,2)</f>
        <v/>
      </c>
      <c r="J52" s="115" t="n"/>
    </row>
    <row r="53" ht="31.5" customHeight="1" s="197">
      <c r="A53" s="243" t="n">
        <v>37</v>
      </c>
      <c r="B53" s="243" t="inlineStr">
        <is>
          <t> </t>
        </is>
      </c>
      <c r="C53" s="216" t="inlineStr">
        <is>
          <t>14.3.02.01-0219</t>
        </is>
      </c>
      <c r="D53" s="244" t="inlineStr">
        <is>
          <t>Краска универсальная, акриловая для внутренних и наружных работ</t>
        </is>
      </c>
      <c r="E53" s="150" t="inlineStr">
        <is>
          <t>т</t>
        </is>
      </c>
      <c r="F53" s="243" t="n">
        <v>8.000000000000001e-05</v>
      </c>
      <c r="G53" s="151" t="n">
        <v>15481</v>
      </c>
      <c r="H53" s="151">
        <f>ROUND(F53*G53,2)</f>
        <v/>
      </c>
      <c r="J53" s="115" t="n"/>
    </row>
    <row r="54">
      <c r="A54" s="243" t="n">
        <v>38</v>
      </c>
      <c r="B54" s="243" t="inlineStr">
        <is>
          <t> </t>
        </is>
      </c>
      <c r="C54" s="216" t="inlineStr">
        <is>
          <t>22.2.02.15-0001</t>
        </is>
      </c>
      <c r="D54" s="244" t="inlineStr">
        <is>
          <t>Скрепы 10х2 мм</t>
        </is>
      </c>
      <c r="E54" s="150" t="inlineStr">
        <is>
          <t>кг</t>
        </is>
      </c>
      <c r="F54" s="243" t="n">
        <v>0.08</v>
      </c>
      <c r="G54" s="151" t="n">
        <v>15.37</v>
      </c>
      <c r="H54" s="151">
        <f>ROUND(F54*G54,2)</f>
        <v/>
      </c>
      <c r="J54" s="115" t="n"/>
    </row>
    <row r="55">
      <c r="A55" s="243" t="n">
        <v>39</v>
      </c>
      <c r="B55" s="243" t="inlineStr">
        <is>
          <t> </t>
        </is>
      </c>
      <c r="C55" s="216" t="inlineStr">
        <is>
          <t>01.3.05.17-0002</t>
        </is>
      </c>
      <c r="D55" s="244" t="inlineStr">
        <is>
          <t>Канифоль сосновая</t>
        </is>
      </c>
      <c r="E55" s="150" t="inlineStr">
        <is>
          <t>кг</t>
        </is>
      </c>
      <c r="F55" s="243" t="n">
        <v>0.04</v>
      </c>
      <c r="G55" s="151" t="n">
        <v>27.74</v>
      </c>
      <c r="H55" s="151">
        <f>ROUND(F55*G55,2)</f>
        <v/>
      </c>
      <c r="J55" s="115" t="n"/>
    </row>
    <row r="56">
      <c r="A56" s="243" t="n">
        <v>40</v>
      </c>
      <c r="B56" s="243" t="inlineStr">
        <is>
          <t> </t>
        </is>
      </c>
      <c r="C56" s="216" t="inlineStr">
        <is>
          <t>03.1.01.01-0002</t>
        </is>
      </c>
      <c r="D56" s="244" t="inlineStr">
        <is>
          <t>Гипс строительный Г-3</t>
        </is>
      </c>
      <c r="E56" s="150" t="inlineStr">
        <is>
          <t>т</t>
        </is>
      </c>
      <c r="F56" s="243" t="n">
        <v>0.0012</v>
      </c>
      <c r="G56" s="151" t="n">
        <v>729.98</v>
      </c>
      <c r="H56" s="151">
        <f>ROUND(F56*G56,2)</f>
        <v/>
      </c>
      <c r="J56" s="115" t="n"/>
    </row>
    <row r="57">
      <c r="A57" s="243" t="n">
        <v>41</v>
      </c>
      <c r="B57" s="243" t="inlineStr">
        <is>
          <t> </t>
        </is>
      </c>
      <c r="C57" s="216" t="inlineStr">
        <is>
          <t>999-0005</t>
        </is>
      </c>
      <c r="D57" s="244" t="inlineStr">
        <is>
          <t>Масса</t>
        </is>
      </c>
      <c r="E57" s="150" t="inlineStr">
        <is>
          <t>т</t>
        </is>
      </c>
      <c r="F57" s="243" t="n">
        <v>0.004</v>
      </c>
      <c r="G57" s="151" t="n"/>
      <c r="H57" s="151">
        <f>ROUND(F57*G57,2)</f>
        <v/>
      </c>
      <c r="J57" s="115" t="n"/>
    </row>
    <row r="60">
      <c r="B60" s="199" t="inlineStr">
        <is>
          <t>Составил ______________________        Д.Ю. Нефедова</t>
        </is>
      </c>
    </row>
    <row r="61">
      <c r="B61" s="130" t="inlineStr">
        <is>
          <t xml:space="preserve">                         (подпись, инициалы, фамилия)</t>
        </is>
      </c>
    </row>
    <row r="63">
      <c r="B63" s="199" t="inlineStr">
        <is>
          <t>Проверил ______________________        А.В. Костянецкая</t>
        </is>
      </c>
    </row>
    <row r="64">
      <c r="B64" s="13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E9:E10"/>
    <mergeCell ref="A7:H7"/>
    <mergeCell ref="A9:A10"/>
    <mergeCell ref="F9:F10"/>
    <mergeCell ref="A29:E29"/>
    <mergeCell ref="A2:H2"/>
    <mergeCell ref="A33:E33"/>
    <mergeCell ref="G9:H9"/>
    <mergeCell ref="A18:E18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1" workbookViewId="0">
      <selection activeCell="B42" sqref="B42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11.42578125" customWidth="1" style="197" min="6" max="6"/>
    <col width="9.140625" customWidth="1" style="197" min="7" max="10"/>
    <col width="13.5703125" customWidth="1" style="197" min="11" max="11"/>
    <col width="9.140625" customWidth="1" style="197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13" t="n"/>
      <c r="C6" s="4" t="n"/>
      <c r="D6" s="4" t="n"/>
      <c r="E6" s="4" t="n"/>
    </row>
    <row r="7" ht="25.5" customHeight="1" s="197">
      <c r="B7" s="231" t="inlineStr">
        <is>
          <t>Наименование разрабатываемого показателя УНЦ — Комплекс систем безопасности ПС. Шкаф ЦК комплекса систем безопасности</t>
        </is>
      </c>
    </row>
    <row r="8">
      <c r="B8" s="245" t="inlineStr">
        <is>
          <t>Единица измерения  — 1 ед.</t>
        </is>
      </c>
    </row>
    <row r="9">
      <c r="B9" s="113" t="n"/>
      <c r="C9" s="4" t="n"/>
      <c r="D9" s="4" t="n"/>
      <c r="E9" s="4" t="n"/>
    </row>
    <row r="10" ht="51" customHeight="1" s="197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11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1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11">
        <f>'Прил.5 Расчет СМР и ОБ'!J28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1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11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11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11">
        <f>'Прил.5 Расчет СМР и ОБ'!J66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1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1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1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1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11">
        <f>C19+C20+C22</f>
        <v/>
      </c>
      <c r="D24" s="27">
        <f>C24/$C$24</f>
        <v/>
      </c>
      <c r="E24" s="27">
        <f>C24/$C$40</f>
        <v/>
      </c>
    </row>
    <row r="25" ht="25.5" customHeight="1" s="197">
      <c r="B25" s="25" t="inlineStr">
        <is>
          <t>ВСЕГО стоимость оборудования, в том числе</t>
        </is>
      </c>
      <c r="C25" s="111">
        <f>'Прил.5 Расчет СМР и ОБ'!J37</f>
        <v/>
      </c>
      <c r="D25" s="27" t="n"/>
      <c r="E25" s="27">
        <f>C25/$C$40</f>
        <v/>
      </c>
    </row>
    <row r="26" ht="25.5" customHeight="1" s="197">
      <c r="B26" s="25" t="inlineStr">
        <is>
          <t>стоимость оборудования технологического</t>
        </is>
      </c>
      <c r="C26" s="111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7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12" t="n"/>
    </row>
    <row r="29" ht="25.5" customHeight="1" s="197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97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192">
        <f>ROUND((C24+C29)*2.1%,2)</f>
        <v/>
      </c>
      <c r="D30" s="193" t="n"/>
      <c r="E30" s="27">
        <f>C30/$C$40</f>
        <v/>
      </c>
      <c r="F30" s="112" t="n"/>
    </row>
    <row r="31">
      <c r="B31" s="25" t="inlineStr">
        <is>
          <t>Пусконаладочные работы</t>
        </is>
      </c>
      <c r="C31" s="192" t="n">
        <v>24698.2</v>
      </c>
      <c r="D31" s="193" t="n"/>
      <c r="E31" s="27">
        <f>C31/$C$40</f>
        <v/>
      </c>
    </row>
    <row r="32" ht="25.5" customHeight="1" s="197">
      <c r="B32" s="25" t="inlineStr">
        <is>
          <t>Затраты по перевозке работников к месту работы и обратно</t>
        </is>
      </c>
      <c r="C32" s="192" t="n">
        <v>0</v>
      </c>
      <c r="D32" s="193" t="n"/>
      <c r="E32" s="27">
        <f>C32/$C$40</f>
        <v/>
      </c>
    </row>
    <row r="33" ht="25.5" customHeight="1" s="197">
      <c r="B33" s="25" t="inlineStr">
        <is>
          <t>Затраты, связанные с осуществлением работ вахтовым методом</t>
        </is>
      </c>
      <c r="C33" s="192">
        <f>ROUND($C$27*0,2)</f>
        <v/>
      </c>
      <c r="D33" s="193" t="n"/>
      <c r="E33" s="27">
        <f>C33/$C$40</f>
        <v/>
      </c>
    </row>
    <row r="34" ht="51" customHeight="1" s="197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  <c r="G34" s="154" t="n"/>
    </row>
    <row r="35" ht="76.5" customHeight="1" s="197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7">
      <c r="B36" s="25" t="inlineStr">
        <is>
          <t>Строительный контроль и содержание службы заказчика - 1,72%</t>
        </is>
      </c>
      <c r="C36" s="26">
        <f>ROUND((C27+C32+C33+C34+C35+C29+C31+C30)*1.72%,2)</f>
        <v/>
      </c>
      <c r="D36" s="25" t="n"/>
      <c r="E36" s="27">
        <f>C36/$C$40</f>
        <v/>
      </c>
      <c r="K36" s="11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K37" s="112" t="n"/>
    </row>
    <row r="38" ht="38.25" customHeight="1" s="197">
      <c r="B38" s="25" t="inlineStr">
        <is>
          <t>ИТОГО (СМР+ОБОРУДОВАНИЕ+ПРОЧ. ЗАТР., УЧТЕННЫЕ ПОКАЗАТЕЛЕМ)</t>
        </is>
      </c>
      <c r="C38" s="111">
        <f>C27+C32+C33+C34+C35+C29+C31+C30+C36+C37</f>
        <v/>
      </c>
      <c r="D38" s="25" t="n"/>
      <c r="E38" s="27">
        <f>C38/$C$40</f>
        <v/>
      </c>
    </row>
    <row r="39" ht="13.5" customHeight="1" s="197">
      <c r="B39" s="25" t="inlineStr">
        <is>
          <t>Непредвиденные расходы</t>
        </is>
      </c>
      <c r="C39" s="11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1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11">
        <f>C40/'Прил.5 Расчет СМР и ОБ'!E73</f>
        <v/>
      </c>
      <c r="D41" s="25" t="n"/>
      <c r="E41" s="25" t="n"/>
    </row>
    <row r="42">
      <c r="B42" s="114" t="n"/>
      <c r="C42" s="4" t="n"/>
      <c r="D42" s="4" t="n"/>
      <c r="E42" s="4" t="n"/>
    </row>
    <row r="43">
      <c r="B43" s="114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4" t="n"/>
      <c r="C45" s="4" t="n"/>
      <c r="D45" s="4" t="n"/>
      <c r="E45" s="4" t="n"/>
    </row>
    <row r="46">
      <c r="B46" s="11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3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9"/>
  <sheetViews>
    <sheetView view="pageBreakPreview" topLeftCell="A40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7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74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55" t="inlineStr">
        <is>
          <t>Наименование разрабатываемого показателя УНЦ</t>
        </is>
      </c>
      <c r="B6" s="156" t="n"/>
      <c r="C6" s="156" t="n"/>
      <c r="D6" s="252" t="inlineStr">
        <is>
          <t>Комплекс систем безопасности ПС. Шкаф ЦК комплекса систем безопасности</t>
        </is>
      </c>
    </row>
    <row r="7" ht="12.75" customFormat="1" customHeight="1" s="4">
      <c r="A7" s="221" t="inlineStr">
        <is>
          <t>Единица измерения  — 1 ед.</t>
        </is>
      </c>
      <c r="I7" s="231" t="n"/>
      <c r="J7" s="231" t="n"/>
    </row>
    <row r="8" ht="13.15" customFormat="1" customHeight="1" s="4"/>
    <row r="9" ht="27" customHeight="1" s="197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20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20" t="n"/>
      <c r="M9" s="12" t="n"/>
      <c r="N9" s="12" t="n"/>
    </row>
    <row r="10" ht="28.5" customHeight="1" s="197">
      <c r="A10" s="322" t="n"/>
      <c r="B10" s="322" t="n"/>
      <c r="C10" s="322" t="n"/>
      <c r="D10" s="322" t="n"/>
      <c r="E10" s="322" t="n"/>
      <c r="F10" s="249" t="inlineStr">
        <is>
          <t>на ед. изм.</t>
        </is>
      </c>
      <c r="G10" s="249" t="inlineStr">
        <is>
          <t>общая</t>
        </is>
      </c>
      <c r="H10" s="322" t="n"/>
      <c r="I10" s="249" t="inlineStr">
        <is>
          <t>на ед. изм.</t>
        </is>
      </c>
      <c r="J10" s="249" t="inlineStr">
        <is>
          <t>общая</t>
        </is>
      </c>
      <c r="M10" s="12" t="n"/>
      <c r="N10" s="12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50" t="n">
        <v>9</v>
      </c>
      <c r="J11" s="250" t="n">
        <v>10</v>
      </c>
      <c r="M11" s="12" t="n"/>
      <c r="N11" s="12" t="n"/>
    </row>
    <row r="12">
      <c r="A12" s="249" t="n"/>
      <c r="B12" s="257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57" t="n"/>
      <c r="J12" s="157" t="n"/>
    </row>
    <row r="13" ht="25.5" customHeight="1" s="197">
      <c r="A13" s="249" t="n">
        <v>1</v>
      </c>
      <c r="B13" s="158" t="inlineStr">
        <is>
          <t>1-4-5</t>
        </is>
      </c>
      <c r="C13" s="258" t="inlineStr">
        <is>
          <t>Затраты труда рабочих-строителей среднего разряда (4,5)</t>
        </is>
      </c>
      <c r="D13" s="249" t="inlineStr">
        <is>
          <t>чел.-ч.</t>
        </is>
      </c>
      <c r="E13" s="324">
        <f>G13/F13</f>
        <v/>
      </c>
      <c r="F13" s="32" t="n">
        <v>10.35</v>
      </c>
      <c r="G13" s="32">
        <f>Прил.3!H12</f>
        <v/>
      </c>
      <c r="H13" s="160">
        <f>G13/$G$14</f>
        <v/>
      </c>
      <c r="I13" s="32">
        <f>ФОТр.тек.!E13</f>
        <v/>
      </c>
      <c r="J13" s="32">
        <f>ROUND(I13*E13,2)</f>
        <v/>
      </c>
    </row>
    <row r="14" ht="25.5" customFormat="1" customHeight="1" s="12">
      <c r="A14" s="249" t="n"/>
      <c r="B14" s="249" t="n"/>
      <c r="C14" s="257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24">
        <f>SUM(E13:E13)</f>
        <v/>
      </c>
      <c r="F14" s="32" t="n"/>
      <c r="G14" s="32">
        <f>SUM(G13:G13)</f>
        <v/>
      </c>
      <c r="H14" s="261" t="n">
        <v>1</v>
      </c>
      <c r="I14" s="157" t="n"/>
      <c r="J14" s="32">
        <f>SUM(J13:J13)</f>
        <v/>
      </c>
    </row>
    <row r="15" ht="14.25" customFormat="1" customHeight="1" s="12">
      <c r="A15" s="249" t="n"/>
      <c r="B15" s="258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57" t="n"/>
      <c r="J15" s="157" t="n"/>
    </row>
    <row r="16" ht="14.25" customFormat="1" customHeight="1" s="12">
      <c r="A16" s="249" t="n">
        <v>2</v>
      </c>
      <c r="B16" s="249" t="n">
        <v>2</v>
      </c>
      <c r="C16" s="258" t="inlineStr">
        <is>
          <t>Затраты труда машинистов</t>
        </is>
      </c>
      <c r="D16" s="249" t="inlineStr">
        <is>
          <t>чел.-ч.</t>
        </is>
      </c>
      <c r="E16" s="324">
        <f>Прил.3!F19</f>
        <v/>
      </c>
      <c r="F16" s="32">
        <f>G16/E16</f>
        <v/>
      </c>
      <c r="G16" s="32">
        <f>Прил.3!H18</f>
        <v/>
      </c>
      <c r="H16" s="261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2">
      <c r="A17" s="249" t="n"/>
      <c r="B17" s="257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57" t="n"/>
      <c r="J17" s="157" t="n"/>
    </row>
    <row r="18" ht="14.25" customFormat="1" customHeight="1" s="12">
      <c r="A18" s="249" t="n"/>
      <c r="B18" s="258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57" t="n"/>
      <c r="J18" s="157" t="n"/>
    </row>
    <row r="19" ht="14.25" customFormat="1" customHeight="1" s="12">
      <c r="A19" s="249" t="n">
        <v>3</v>
      </c>
      <c r="B19" s="158" t="inlineStr">
        <is>
          <t>91.06.05-011</t>
        </is>
      </c>
      <c r="C19" s="258" t="inlineStr">
        <is>
          <t>Погрузчики, грузоподъемность 5 т</t>
        </is>
      </c>
      <c r="D19" s="249" t="inlineStr">
        <is>
          <t>маш.час</t>
        </is>
      </c>
      <c r="E19" s="324" t="n">
        <v>1.6</v>
      </c>
      <c r="F19" s="260" t="n">
        <v>89.98999999999999</v>
      </c>
      <c r="G19" s="32">
        <f>ROUND(E19*F19,2)</f>
        <v/>
      </c>
      <c r="H19" s="160">
        <f>G19/$G$29</f>
        <v/>
      </c>
      <c r="I19" s="32">
        <f>ROUND(F19*Прил.10!$D$12,2)</f>
        <v/>
      </c>
      <c r="J19" s="32">
        <f>ROUND(I19*E19,2)</f>
        <v/>
      </c>
    </row>
    <row r="20" ht="25.5" customFormat="1" customHeight="1" s="12">
      <c r="A20" s="249" t="n">
        <v>4</v>
      </c>
      <c r="B20" s="158" t="inlineStr">
        <is>
          <t>91.05.05-015</t>
        </is>
      </c>
      <c r="C20" s="258" t="inlineStr">
        <is>
          <t>Краны на автомобильном ходу, грузоподъемность 16 т</t>
        </is>
      </c>
      <c r="D20" s="249" t="inlineStr">
        <is>
          <t>маш.час</t>
        </is>
      </c>
      <c r="E20" s="324" t="n">
        <v>0.77</v>
      </c>
      <c r="F20" s="260" t="n">
        <v>115.4</v>
      </c>
      <c r="G20" s="32">
        <f>ROUND(E20*F20,2)</f>
        <v/>
      </c>
      <c r="H20" s="160">
        <f>G20/$G$29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49" t="n">
        <v>5</v>
      </c>
      <c r="B21" s="158" t="inlineStr">
        <is>
          <t>91.14.02-001</t>
        </is>
      </c>
      <c r="C21" s="258" t="inlineStr">
        <is>
          <t>Автомобили бортовые, грузоподъемность до 5 т</t>
        </is>
      </c>
      <c r="D21" s="249" t="inlineStr">
        <is>
          <t>маш.час</t>
        </is>
      </c>
      <c r="E21" s="324" t="n">
        <v>0.83</v>
      </c>
      <c r="F21" s="260" t="n">
        <v>65.70999999999999</v>
      </c>
      <c r="G21" s="32">
        <f>ROUND(E21*F21,2)</f>
        <v/>
      </c>
      <c r="H21" s="160">
        <f>G21/$G$29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12">
      <c r="A22" s="249" t="n"/>
      <c r="B22" s="249" t="n"/>
      <c r="C22" s="258" t="inlineStr">
        <is>
          <t>Итого основные машины и механизмы</t>
        </is>
      </c>
      <c r="D22" s="249" t="n"/>
      <c r="E22" s="324" t="n"/>
      <c r="F22" s="32" t="n"/>
      <c r="G22" s="32">
        <f>SUM(G19:G21)</f>
        <v/>
      </c>
      <c r="H22" s="261">
        <f>G22/G29</f>
        <v/>
      </c>
      <c r="I22" s="162" t="n"/>
      <c r="J22" s="32">
        <f>SUM(J19:J21)</f>
        <v/>
      </c>
    </row>
    <row r="23" outlineLevel="1" ht="25.5" customFormat="1" customHeight="1" s="12">
      <c r="A23" s="249" t="n">
        <v>6</v>
      </c>
      <c r="B23" s="158" t="inlineStr">
        <is>
          <t>91.06.03-061</t>
        </is>
      </c>
      <c r="C23" s="258" t="inlineStr">
        <is>
          <t>Лебедки электрические тяговым усилием до 12,26 кН (1,25 т)</t>
        </is>
      </c>
      <c r="D23" s="249" t="inlineStr">
        <is>
          <t>маш.час</t>
        </is>
      </c>
      <c r="E23" s="324" t="n">
        <v>4.4</v>
      </c>
      <c r="F23" s="260" t="n">
        <v>3.28</v>
      </c>
      <c r="G23" s="32">
        <f>ROUND(E23*F23,2)</f>
        <v/>
      </c>
      <c r="H23" s="160">
        <f>G23/$G$29</f>
        <v/>
      </c>
      <c r="I23" s="32">
        <f>ROUND(F23*Прил.10!$D$12,2)</f>
        <v/>
      </c>
      <c r="J23" s="32">
        <f>ROUND(I23*E23,2)</f>
        <v/>
      </c>
    </row>
    <row r="24" outlineLevel="1" ht="25.5" customFormat="1" customHeight="1" s="12">
      <c r="A24" s="249" t="n">
        <v>7</v>
      </c>
      <c r="B24" s="158" t="inlineStr">
        <is>
          <t>91.17.04-194</t>
        </is>
      </c>
      <c r="C24" s="258" t="inlineStr">
        <is>
          <t>Аппараты сварочные для сварки оптических кабелей со скалывателем</t>
        </is>
      </c>
      <c r="D24" s="249" t="inlineStr">
        <is>
          <t>маш.час</t>
        </is>
      </c>
      <c r="E24" s="324" t="n">
        <v>0.65</v>
      </c>
      <c r="F24" s="260" t="n">
        <v>12.14</v>
      </c>
      <c r="G24" s="32">
        <f>ROUND(E24*F24,2)</f>
        <v/>
      </c>
      <c r="H24" s="160">
        <f>G24/$G$29</f>
        <v/>
      </c>
      <c r="I24" s="32">
        <f>ROUND(F24*Прил.10!$D$12,2)</f>
        <v/>
      </c>
      <c r="J24" s="32">
        <f>ROUND(I24*E24,2)</f>
        <v/>
      </c>
    </row>
    <row r="25" outlineLevel="1" ht="25.5" customFormat="1" customHeight="1" s="12">
      <c r="A25" s="249" t="n">
        <v>8</v>
      </c>
      <c r="B25" s="158" t="inlineStr">
        <is>
          <t>91.17.04-233</t>
        </is>
      </c>
      <c r="C25" s="258" t="inlineStr">
        <is>
          <t>Установки для сварки ручной дуговой (постоянного тока)</t>
        </is>
      </c>
      <c r="D25" s="249" t="inlineStr">
        <is>
          <t>маш.час</t>
        </is>
      </c>
      <c r="E25" s="324" t="n">
        <v>0.9</v>
      </c>
      <c r="F25" s="260" t="n">
        <v>8.1</v>
      </c>
      <c r="G25" s="32">
        <f>ROUND(E25*F25,2)</f>
        <v/>
      </c>
      <c r="H25" s="160">
        <f>G25/$G$29</f>
        <v/>
      </c>
      <c r="I25" s="32">
        <f>ROUND(F25*Прил.10!$D$12,2)</f>
        <v/>
      </c>
      <c r="J25" s="32">
        <f>ROUND(I25*E25,2)</f>
        <v/>
      </c>
    </row>
    <row r="26" outlineLevel="1" ht="14.25" customFormat="1" customHeight="1" s="12">
      <c r="A26" s="249" t="n">
        <v>9</v>
      </c>
      <c r="B26" s="158" t="inlineStr">
        <is>
          <t>91.21.22-341</t>
        </is>
      </c>
      <c r="C26" s="258" t="inlineStr">
        <is>
          <t>Рефлектометры</t>
        </is>
      </c>
      <c r="D26" s="249" t="inlineStr">
        <is>
          <t>маш.час</t>
        </is>
      </c>
      <c r="E26" s="324" t="n">
        <v>0.48</v>
      </c>
      <c r="F26" s="260" t="n">
        <v>10.62</v>
      </c>
      <c r="G26" s="32">
        <f>ROUND(E26*F26,2)</f>
        <v/>
      </c>
      <c r="H26" s="160">
        <f>G26/$G$29</f>
        <v/>
      </c>
      <c r="I26" s="32">
        <f>ROUND(F26*Прил.10!$D$12,2)</f>
        <v/>
      </c>
      <c r="J26" s="32">
        <f>ROUND(I26*E26,2)</f>
        <v/>
      </c>
    </row>
    <row r="27" outlineLevel="1" ht="25.5" customFormat="1" customHeight="1" s="12">
      <c r="A27" s="249" t="n">
        <v>10</v>
      </c>
      <c r="B27" s="158" t="inlineStr">
        <is>
          <t>91.06.01-003</t>
        </is>
      </c>
      <c r="C27" s="258" t="inlineStr">
        <is>
          <t>Домкраты гидравлические, грузоподъемность 63-100 т</t>
        </is>
      </c>
      <c r="D27" s="249" t="inlineStr">
        <is>
          <t>маш.час</t>
        </is>
      </c>
      <c r="E27" s="324" t="n">
        <v>4.4</v>
      </c>
      <c r="F27" s="260" t="n">
        <v>0.9</v>
      </c>
      <c r="G27" s="32">
        <f>ROUND(E27*F27,2)</f>
        <v/>
      </c>
      <c r="H27" s="160">
        <f>G27/$G$29</f>
        <v/>
      </c>
      <c r="I27" s="32">
        <f>ROUND(F27*Прил.10!$D$12,2)</f>
        <v/>
      </c>
      <c r="J27" s="32">
        <f>ROUND(I27*E27,2)</f>
        <v/>
      </c>
    </row>
    <row r="28" ht="14.25" customFormat="1" customHeight="1" s="12">
      <c r="A28" s="249" t="n"/>
      <c r="B28" s="249" t="n"/>
      <c r="C28" s="258" t="inlineStr">
        <is>
          <t>Итого прочие машины и механизмы</t>
        </is>
      </c>
      <c r="D28" s="249" t="n"/>
      <c r="E28" s="259" t="n"/>
      <c r="F28" s="32" t="n"/>
      <c r="G28" s="162">
        <f>SUM(G23:G27)</f>
        <v/>
      </c>
      <c r="H28" s="160">
        <f>G28/G29</f>
        <v/>
      </c>
      <c r="I28" s="32" t="n"/>
      <c r="J28" s="162">
        <f>SUM(J23:J27)</f>
        <v/>
      </c>
    </row>
    <row r="29" ht="25.5" customFormat="1" customHeight="1" s="12">
      <c r="A29" s="249" t="n"/>
      <c r="B29" s="249" t="n"/>
      <c r="C29" s="257" t="inlineStr">
        <is>
          <t>Итого по разделу «Машины и механизмы»</t>
        </is>
      </c>
      <c r="D29" s="249" t="n"/>
      <c r="E29" s="259" t="n"/>
      <c r="F29" s="32" t="n"/>
      <c r="G29" s="32">
        <f>G28+G22</f>
        <v/>
      </c>
      <c r="H29" s="163">
        <f>H28+H22</f>
        <v/>
      </c>
      <c r="I29" s="164" t="n"/>
      <c r="J29" s="165">
        <f>J28+J22</f>
        <v/>
      </c>
    </row>
    <row r="30" ht="14.25" customFormat="1" customHeight="1" s="12">
      <c r="A30" s="249" t="n"/>
      <c r="B30" s="257" t="inlineStr">
        <is>
          <t>Оборудование</t>
        </is>
      </c>
      <c r="C30" s="319" t="n"/>
      <c r="D30" s="319" t="n"/>
      <c r="E30" s="319" t="n"/>
      <c r="F30" s="319" t="n"/>
      <c r="G30" s="319" t="n"/>
      <c r="H30" s="320" t="n"/>
      <c r="I30" s="157" t="n"/>
      <c r="J30" s="157" t="n"/>
    </row>
    <row r="31">
      <c r="A31" s="249" t="n"/>
      <c r="B31" s="258" t="inlineStr">
        <is>
          <t>Основное оборудование</t>
        </is>
      </c>
      <c r="C31" s="319" t="n"/>
      <c r="D31" s="319" t="n"/>
      <c r="E31" s="319" t="n"/>
      <c r="F31" s="319" t="n"/>
      <c r="G31" s="319" t="n"/>
      <c r="H31" s="320" t="n"/>
      <c r="I31" s="157" t="n"/>
      <c r="J31" s="157" t="n"/>
    </row>
    <row r="32" ht="14.25" customFormat="1" customHeight="1" s="12">
      <c r="A32" s="249" t="n">
        <v>11</v>
      </c>
      <c r="B32" s="190" t="inlineStr">
        <is>
          <t>БЦ.54.11</t>
        </is>
      </c>
      <c r="C32" s="191" t="inlineStr">
        <is>
          <t>Шкаф ЦК системы видеонаблюдения</t>
        </is>
      </c>
      <c r="D32" s="249" t="inlineStr">
        <is>
          <t>шт.</t>
        </is>
      </c>
      <c r="E32" s="325" t="n">
        <v>1</v>
      </c>
      <c r="F32" s="260">
        <f>ROUND(I32/Прил.10!$D$14,2)</f>
        <v/>
      </c>
      <c r="G32" s="32">
        <f>ROUND(E32*F32,2)</f>
        <v/>
      </c>
      <c r="H32" s="160">
        <f>G32/$G$37</f>
        <v/>
      </c>
      <c r="I32" s="32" t="n">
        <v>23640</v>
      </c>
      <c r="J32" s="32">
        <f>ROUND(I32*E32,2)</f>
        <v/>
      </c>
    </row>
    <row r="33">
      <c r="A33" s="249" t="n"/>
      <c r="B33" s="190" t="n"/>
      <c r="C33" s="191" t="inlineStr">
        <is>
          <t>Итого основное оборудование</t>
        </is>
      </c>
      <c r="D33" s="249" t="n"/>
      <c r="E33" s="324" t="n"/>
      <c r="F33" s="260" t="n"/>
      <c r="G33" s="32">
        <f>SUM(G32)</f>
        <v/>
      </c>
      <c r="H33" s="160">
        <f>G32/$G$37</f>
        <v/>
      </c>
      <c r="I33" s="162" t="n"/>
      <c r="J33" s="32">
        <f>SUM(J32)</f>
        <v/>
      </c>
    </row>
    <row r="34" outlineLevel="1" ht="25.5" customFormat="1" customHeight="1" s="12">
      <c r="A34" s="249" t="n">
        <v>12</v>
      </c>
      <c r="B34" s="190" t="inlineStr">
        <is>
          <t>Прайс из СД ОП</t>
        </is>
      </c>
      <c r="C34" s="191" t="inlineStr">
        <is>
          <t>ПО видеорегистратора Itrium-L-VideoServerAx</t>
        </is>
      </c>
      <c r="D34" s="249" t="inlineStr">
        <is>
          <t>шт.</t>
        </is>
      </c>
      <c r="E34" s="325" t="n">
        <v>1</v>
      </c>
      <c r="F34" s="260" t="n">
        <v>39848.47</v>
      </c>
      <c r="G34" s="32">
        <f>ROUND(E34*F34,2)</f>
        <v/>
      </c>
      <c r="H34" s="160">
        <f>G34/$G$37</f>
        <v/>
      </c>
      <c r="I34" s="32">
        <f>ROUND(F34*Прил.10!$D$14,2)</f>
        <v/>
      </c>
      <c r="J34" s="32">
        <f>ROUND(I34*E34,2)</f>
        <v/>
      </c>
    </row>
    <row r="35" outlineLevel="1" ht="14.25" customFormat="1" customHeight="1" s="12">
      <c r="A35" s="249" t="n">
        <v>13</v>
      </c>
      <c r="B35" s="249" t="inlineStr">
        <is>
          <t>Прайс из СД ОП</t>
        </is>
      </c>
      <c r="C35" s="258" t="inlineStr">
        <is>
          <t>ПО АРМ видеонаблюдения Itrium-L-Video</t>
        </is>
      </c>
      <c r="D35" s="249" t="inlineStr">
        <is>
          <t>шт.</t>
        </is>
      </c>
      <c r="E35" s="325" t="n">
        <v>1</v>
      </c>
      <c r="F35" s="260" t="n">
        <v>5578.9</v>
      </c>
      <c r="G35" s="32">
        <f>ROUND(E35*F35,2)</f>
        <v/>
      </c>
      <c r="H35" s="160">
        <f>G35/$G$37</f>
        <v/>
      </c>
      <c r="I35" s="32">
        <f>ROUND(F35*Прил.10!$D$14,2)</f>
        <v/>
      </c>
      <c r="J35" s="32">
        <f>ROUND(I35*E35,2)</f>
        <v/>
      </c>
    </row>
    <row r="36">
      <c r="A36" s="249" t="n"/>
      <c r="B36" s="249" t="n"/>
      <c r="C36" s="258" t="inlineStr">
        <is>
          <t>Итого прочее оборудование</t>
        </is>
      </c>
      <c r="D36" s="249" t="n"/>
      <c r="E36" s="324" t="n"/>
      <c r="F36" s="260" t="n"/>
      <c r="G36" s="32">
        <f>SUM(G34:G35)</f>
        <v/>
      </c>
      <c r="H36" s="160">
        <f>G36/$G$37</f>
        <v/>
      </c>
      <c r="I36" s="162" t="n"/>
      <c r="J36" s="32">
        <f>SUM(J34:J35)</f>
        <v/>
      </c>
    </row>
    <row r="37">
      <c r="A37" s="249" t="n"/>
      <c r="B37" s="249" t="n"/>
      <c r="C37" s="257" t="inlineStr">
        <is>
          <t>Итого по разделу «Оборудование»</t>
        </is>
      </c>
      <c r="D37" s="249" t="n"/>
      <c r="E37" s="259" t="n"/>
      <c r="F37" s="260" t="n"/>
      <c r="G37" s="32">
        <f>G33+G36</f>
        <v/>
      </c>
      <c r="H37" s="261" t="n">
        <v>1</v>
      </c>
      <c r="I37" s="162" t="n"/>
      <c r="J37" s="32">
        <f>J36+J33</f>
        <v/>
      </c>
    </row>
    <row r="38" ht="25.5" customHeight="1" s="197">
      <c r="A38" s="249" t="n"/>
      <c r="B38" s="249" t="n"/>
      <c r="C38" s="258" t="inlineStr">
        <is>
          <t>в том числе технологическое оборудование</t>
        </is>
      </c>
      <c r="D38" s="249" t="n"/>
      <c r="E38" s="325" t="n"/>
      <c r="F38" s="260" t="n"/>
      <c r="G38" s="32">
        <f>'Прил.6 Расчет ОБ'!G15</f>
        <v/>
      </c>
      <c r="H38" s="261" t="n"/>
      <c r="I38" s="162" t="n"/>
      <c r="J38" s="32">
        <f>ROUND(G38*Прил.10!D14,2)</f>
        <v/>
      </c>
    </row>
    <row r="39" ht="14.25" customFormat="1" customHeight="1" s="12">
      <c r="A39" s="249" t="n"/>
      <c r="B39" s="257" t="inlineStr">
        <is>
          <t>Материалы</t>
        </is>
      </c>
      <c r="C39" s="319" t="n"/>
      <c r="D39" s="319" t="n"/>
      <c r="E39" s="319" t="n"/>
      <c r="F39" s="319" t="n"/>
      <c r="G39" s="319" t="n"/>
      <c r="H39" s="320" t="n"/>
      <c r="I39" s="157" t="n"/>
      <c r="J39" s="157" t="n"/>
    </row>
    <row r="40" ht="14.25" customFormat="1" customHeight="1" s="12">
      <c r="A40" s="250" t="n"/>
      <c r="B40" s="253" t="inlineStr">
        <is>
          <t>Основные материалы</t>
        </is>
      </c>
      <c r="C40" s="326" t="n"/>
      <c r="D40" s="326" t="n"/>
      <c r="E40" s="326" t="n"/>
      <c r="F40" s="326" t="n"/>
      <c r="G40" s="326" t="n"/>
      <c r="H40" s="327" t="n"/>
      <c r="I40" s="168" t="n"/>
      <c r="J40" s="168" t="n"/>
    </row>
    <row r="41" ht="14.25" customFormat="1" customHeight="1" s="12">
      <c r="A41" s="249" t="n">
        <v>14</v>
      </c>
      <c r="B41" s="249" t="inlineStr">
        <is>
          <t>21.1.08.03-0578</t>
        </is>
      </c>
      <c r="C41" s="258" t="inlineStr">
        <is>
          <t>Кабель контрольный КВВГЭнг(A)-LS 5х1,5</t>
        </is>
      </c>
      <c r="D41" s="249" t="inlineStr">
        <is>
          <t>1000 м</t>
        </is>
      </c>
      <c r="E41" s="325" t="n">
        <v>1.204</v>
      </c>
      <c r="F41" s="260" t="n">
        <v>29332.61</v>
      </c>
      <c r="G41" s="32">
        <f>ROUND(E41*F41,2)</f>
        <v/>
      </c>
      <c r="H41" s="160">
        <f>G41/$G$67</f>
        <v/>
      </c>
      <c r="I41" s="32">
        <f>ROUND(F41*Прил.10!$D$13,2)</f>
        <v/>
      </c>
      <c r="J41" s="32">
        <f>ROUND(I41*E41,2)</f>
        <v/>
      </c>
    </row>
    <row r="42" ht="14.25" customFormat="1" customHeight="1" s="12">
      <c r="A42" s="251" t="n"/>
      <c r="B42" s="170" t="n"/>
      <c r="C42" s="171" t="inlineStr">
        <is>
          <t>Итого основные материалы</t>
        </is>
      </c>
      <c r="D42" s="251" t="n"/>
      <c r="E42" s="328" t="n"/>
      <c r="F42" s="165" t="n"/>
      <c r="G42" s="165">
        <f>SUM(G41)</f>
        <v/>
      </c>
      <c r="H42" s="160">
        <f>G42/$G$67</f>
        <v/>
      </c>
      <c r="I42" s="32" t="n"/>
      <c r="J42" s="165">
        <f>SUM(J41)</f>
        <v/>
      </c>
      <c r="K42" s="28" t="n"/>
      <c r="L42" s="28" t="n"/>
    </row>
    <row r="43" hidden="1" outlineLevel="1" ht="25.5" customFormat="1" customHeight="1" s="12">
      <c r="A43" s="249" t="n">
        <v>15</v>
      </c>
      <c r="B43" s="249" t="inlineStr">
        <is>
          <t>07.2.07.04-0007</t>
        </is>
      </c>
      <c r="C43" s="258" t="inlineStr">
        <is>
          <t>Конструкции стальные индивидуальные решетчатые сварные, масса до 0,1 т</t>
        </is>
      </c>
      <c r="D43" s="249" t="inlineStr">
        <is>
          <t>т</t>
        </is>
      </c>
      <c r="E43" s="325" t="n">
        <v>0.03</v>
      </c>
      <c r="F43" s="260" t="n">
        <v>11500</v>
      </c>
      <c r="G43" s="32">
        <f>ROUND(E43*F43,2)</f>
        <v/>
      </c>
      <c r="H43" s="160">
        <f>G43/$G$67</f>
        <v/>
      </c>
      <c r="I43" s="32">
        <f>ROUND(F43*Прил.10!$D$13,2)</f>
        <v/>
      </c>
      <c r="J43" s="32">
        <f>ROUND(I43*E43,2)</f>
        <v/>
      </c>
    </row>
    <row r="44" hidden="1" outlineLevel="1" ht="14.25" customFormat="1" customHeight="1" s="12">
      <c r="A44" s="249" t="n">
        <v>16</v>
      </c>
      <c r="B44" s="249" t="inlineStr">
        <is>
          <t>20.2.10.03-0020</t>
        </is>
      </c>
      <c r="C44" s="258" t="inlineStr">
        <is>
          <t>Наконечники кабельные П2.5-4Д-МУ3</t>
        </is>
      </c>
      <c r="D44" s="249" t="inlineStr">
        <is>
          <t>100 шт</t>
        </is>
      </c>
      <c r="E44" s="325" t="n">
        <v>0.4</v>
      </c>
      <c r="F44" s="260" t="n">
        <v>203</v>
      </c>
      <c r="G44" s="32">
        <f>ROUND(E44*F44,2)</f>
        <v/>
      </c>
      <c r="H44" s="160">
        <f>G44/$G$67</f>
        <v/>
      </c>
      <c r="I44" s="32">
        <f>ROUND(F44*Прил.10!$D$13,2)</f>
        <v/>
      </c>
      <c r="J44" s="32">
        <f>ROUND(I44*E44,2)</f>
        <v/>
      </c>
    </row>
    <row r="45" hidden="1" outlineLevel="1" ht="25.5" customFormat="1" customHeight="1" s="12">
      <c r="A45" s="249" t="n">
        <v>17</v>
      </c>
      <c r="B45" s="249" t="inlineStr">
        <is>
          <t>10.3.02.03-0011</t>
        </is>
      </c>
      <c r="C45" s="258" t="inlineStr">
        <is>
          <t>Припои оловянно-свинцовые бессурьмянистые, марка ПОС30</t>
        </is>
      </c>
      <c r="D45" s="249" t="inlineStr">
        <is>
          <t>т</t>
        </is>
      </c>
      <c r="E45" s="325" t="n">
        <v>0.00052</v>
      </c>
      <c r="F45" s="260" t="n">
        <v>68050</v>
      </c>
      <c r="G45" s="32">
        <f>ROUND(E45*F45,2)</f>
        <v/>
      </c>
      <c r="H45" s="160">
        <f>G45/$G$67</f>
        <v/>
      </c>
      <c r="I45" s="32">
        <f>ROUND(F45*Прил.10!$D$13,2)</f>
        <v/>
      </c>
      <c r="J45" s="32">
        <f>ROUND(I45*E45,2)</f>
        <v/>
      </c>
    </row>
    <row r="46" hidden="1" outlineLevel="1" ht="25.5" customFormat="1" customHeight="1" s="12">
      <c r="A46" s="249" t="n">
        <v>18</v>
      </c>
      <c r="B46" s="249" t="inlineStr">
        <is>
          <t>01.7.15.07-0012</t>
        </is>
      </c>
      <c r="C46" s="258" t="inlineStr">
        <is>
          <t>Дюбели пластмассовые с шурупами, размер 12х70 мм</t>
        </is>
      </c>
      <c r="D46" s="249" t="inlineStr">
        <is>
          <t>100 шт</t>
        </is>
      </c>
      <c r="E46" s="325" t="n">
        <v>0.4</v>
      </c>
      <c r="F46" s="260" t="n">
        <v>83</v>
      </c>
      <c r="G46" s="32">
        <f>ROUND(E46*F46,2)</f>
        <v/>
      </c>
      <c r="H46" s="160">
        <f>G46/$G$67</f>
        <v/>
      </c>
      <c r="I46" s="32">
        <f>ROUND(F46*Прил.10!$D$13,2)</f>
        <v/>
      </c>
      <c r="J46" s="32">
        <f>ROUND(I46*E46,2)</f>
        <v/>
      </c>
    </row>
    <row r="47" hidden="1" outlineLevel="1" ht="25.5" customFormat="1" customHeight="1" s="12">
      <c r="A47" s="249" t="n">
        <v>19</v>
      </c>
      <c r="B47" s="249" t="inlineStr">
        <is>
          <t>10.3.02.03-0012</t>
        </is>
      </c>
      <c r="C47" s="258" t="inlineStr">
        <is>
          <t>Припои оловянно-свинцовые бессурьмянистые, марка ПОС40</t>
        </is>
      </c>
      <c r="D47" s="249" t="inlineStr">
        <is>
          <t>т</t>
        </is>
      </c>
      <c r="E47" s="325" t="n">
        <v>0.00024</v>
      </c>
      <c r="F47" s="260" t="n">
        <v>65750</v>
      </c>
      <c r="G47" s="32">
        <f>ROUND(E47*F47,2)</f>
        <v/>
      </c>
      <c r="H47" s="160">
        <f>G47/$G$67</f>
        <v/>
      </c>
      <c r="I47" s="32">
        <f>ROUND(F47*Прил.10!$D$13,2)</f>
        <v/>
      </c>
      <c r="J47" s="32">
        <f>ROUND(I47*E47,2)</f>
        <v/>
      </c>
    </row>
    <row r="48" hidden="1" outlineLevel="1" ht="38.25" customFormat="1" customHeight="1" s="12">
      <c r="A48" s="249" t="n">
        <v>20</v>
      </c>
      <c r="B48" s="249" t="inlineStr">
        <is>
          <t>10.2.02.08-0001</t>
        </is>
      </c>
      <c r="C48" s="258" t="inlineStr">
        <is>
          <t>Проволока медная, круглая, мягкая, электротехническая, диаметр 1,0-3,0 мм и выше</t>
        </is>
      </c>
      <c r="D48" s="249" t="inlineStr">
        <is>
          <t>т</t>
        </is>
      </c>
      <c r="E48" s="325" t="n">
        <v>0.0004</v>
      </c>
      <c r="F48" s="260" t="n">
        <v>37517</v>
      </c>
      <c r="G48" s="32">
        <f>ROUND(E48*F48,2)</f>
        <v/>
      </c>
      <c r="H48" s="160">
        <f>G48/$G$67</f>
        <v/>
      </c>
      <c r="I48" s="32">
        <f>ROUND(F48*Прил.10!$D$13,2)</f>
        <v/>
      </c>
      <c r="J48" s="32">
        <f>ROUND(I48*E48,2)</f>
        <v/>
      </c>
    </row>
    <row r="49" hidden="1" outlineLevel="1" ht="25.5" customFormat="1" customHeight="1" s="12">
      <c r="A49" s="249" t="n">
        <v>21</v>
      </c>
      <c r="B49" s="249" t="inlineStr">
        <is>
          <t>999-9950</t>
        </is>
      </c>
      <c r="C49" s="258" t="inlineStr">
        <is>
          <t>Вспомогательные ненормируемые ресурсы (2% от Оплаты труда рабочих)</t>
        </is>
      </c>
      <c r="D49" s="249" t="inlineStr">
        <is>
          <t>руб</t>
        </is>
      </c>
      <c r="E49" s="325" t="n">
        <v>14.46</v>
      </c>
      <c r="F49" s="260" t="n">
        <v>1</v>
      </c>
      <c r="G49" s="32">
        <f>ROUND(E49*F49,2)</f>
        <v/>
      </c>
      <c r="H49" s="160">
        <f>G49/$G$67</f>
        <v/>
      </c>
      <c r="I49" s="32">
        <f>ROUND(F49*Прил.10!$D$13,2)</f>
        <v/>
      </c>
      <c r="J49" s="32">
        <f>ROUND(I49*E49,2)</f>
        <v/>
      </c>
    </row>
    <row r="50" hidden="1" outlineLevel="1" ht="25.5" customFormat="1" customHeight="1" s="12">
      <c r="A50" s="249" t="n">
        <v>22</v>
      </c>
      <c r="B50" s="249" t="inlineStr">
        <is>
          <t>24.3.01.01-0004</t>
        </is>
      </c>
      <c r="C50" s="258" t="inlineStr">
        <is>
          <t>Трубка электроизоляционная ПВХ-305, диаметр 6-10 мм</t>
        </is>
      </c>
      <c r="D50" s="249" t="inlineStr">
        <is>
          <t>кг</t>
        </is>
      </c>
      <c r="E50" s="325" t="n">
        <v>0.32</v>
      </c>
      <c r="F50" s="260" t="n">
        <v>38.34</v>
      </c>
      <c r="G50" s="32">
        <f>ROUND(E50*F50,2)</f>
        <v/>
      </c>
      <c r="H50" s="160">
        <f>G50/$G$67</f>
        <v/>
      </c>
      <c r="I50" s="32">
        <f>ROUND(F50*Прил.10!$D$13,2)</f>
        <v/>
      </c>
      <c r="J50" s="32">
        <f>ROUND(I50*E50,2)</f>
        <v/>
      </c>
    </row>
    <row r="51" hidden="1" outlineLevel="1" ht="14.25" customFormat="1" customHeight="1" s="12">
      <c r="A51" s="249" t="n">
        <v>23</v>
      </c>
      <c r="B51" s="249" t="inlineStr">
        <is>
          <t>01.7.15.03-0042</t>
        </is>
      </c>
      <c r="C51" s="258" t="inlineStr">
        <is>
          <t>Болты с гайками и шайбами строительные</t>
        </is>
      </c>
      <c r="D51" s="249" t="inlineStr">
        <is>
          <t>кг</t>
        </is>
      </c>
      <c r="E51" s="325" t="n">
        <v>1.26</v>
      </c>
      <c r="F51" s="260" t="n">
        <v>9.039999999999999</v>
      </c>
      <c r="G51" s="32">
        <f>ROUND(E51*F51,2)</f>
        <v/>
      </c>
      <c r="H51" s="160">
        <f>G51/$G$67</f>
        <v/>
      </c>
      <c r="I51" s="32">
        <f>ROUND(F51*Прил.10!$D$13,2)</f>
        <v/>
      </c>
      <c r="J51" s="32">
        <f>ROUND(I51*E51,2)</f>
        <v/>
      </c>
    </row>
    <row r="52" hidden="1" outlineLevel="1" ht="14.25" customFormat="1" customHeight="1" s="12">
      <c r="A52" s="249" t="n">
        <v>24</v>
      </c>
      <c r="B52" s="249" t="inlineStr">
        <is>
          <t>14.4.03.03-0002</t>
        </is>
      </c>
      <c r="C52" s="258" t="inlineStr">
        <is>
          <t>Лак битумный БТ-123</t>
        </is>
      </c>
      <c r="D52" s="249" t="inlineStr">
        <is>
          <t>т</t>
        </is>
      </c>
      <c r="E52" s="325" t="n">
        <v>0.00144</v>
      </c>
      <c r="F52" s="260" t="n">
        <v>7826.9</v>
      </c>
      <c r="G52" s="32">
        <f>ROUND(E52*F52,2)</f>
        <v/>
      </c>
      <c r="H52" s="160">
        <f>G52/$G$67</f>
        <v/>
      </c>
      <c r="I52" s="32">
        <f>ROUND(F52*Прил.10!$D$13,2)</f>
        <v/>
      </c>
      <c r="J52" s="32">
        <f>ROUND(I52*E52,2)</f>
        <v/>
      </c>
    </row>
    <row r="53" hidden="1" outlineLevel="1" ht="38.25" customFormat="1" customHeight="1" s="12">
      <c r="A53" s="249" t="n">
        <v>25</v>
      </c>
      <c r="B53" s="249" t="inlineStr">
        <is>
          <t>01.7.06.05-0042</t>
        </is>
      </c>
      <c r="C53" s="258" t="inlineStr">
        <is>
          <t>Лента липкая изоляционная на поликасиновом компаунде, ширина 20-30 мм, толщина от 0,14 до 0,19 мм</t>
        </is>
      </c>
      <c r="D53" s="249" t="inlineStr">
        <is>
          <t>кг</t>
        </is>
      </c>
      <c r="E53" s="325" t="n">
        <v>0.08</v>
      </c>
      <c r="F53" s="260" t="n">
        <v>91.29000000000001</v>
      </c>
      <c r="G53" s="32">
        <f>ROUND(E53*F53,2)</f>
        <v/>
      </c>
      <c r="H53" s="160">
        <f>G53/$G$67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12">
      <c r="A54" s="249" t="n">
        <v>26</v>
      </c>
      <c r="B54" s="249" t="inlineStr">
        <is>
          <t>14.4.03.17-0011</t>
        </is>
      </c>
      <c r="C54" s="258" t="inlineStr">
        <is>
          <t>Лак электроизоляционный 318</t>
        </is>
      </c>
      <c r="D54" s="249" t="inlineStr">
        <is>
          <t>кг</t>
        </is>
      </c>
      <c r="E54" s="325" t="n">
        <v>0.12</v>
      </c>
      <c r="F54" s="260" t="n">
        <v>35.63</v>
      </c>
      <c r="G54" s="32">
        <f>ROUND(E54*F54,2)</f>
        <v/>
      </c>
      <c r="H54" s="160">
        <f>G54/$G$67</f>
        <v/>
      </c>
      <c r="I54" s="32">
        <f>ROUND(F54*Прил.10!$D$13,2)</f>
        <v/>
      </c>
      <c r="J54" s="32">
        <f>ROUND(I54*E54,2)</f>
        <v/>
      </c>
    </row>
    <row r="55" hidden="1" outlineLevel="1" ht="14.25" customFormat="1" customHeight="1" s="12">
      <c r="A55" s="249" t="n">
        <v>27</v>
      </c>
      <c r="B55" s="249" t="inlineStr">
        <is>
          <t>01.7.06.07-0002</t>
        </is>
      </c>
      <c r="C55" s="258" t="inlineStr">
        <is>
          <t>Лента монтажная, тип ЛМ-5</t>
        </is>
      </c>
      <c r="D55" s="249" t="inlineStr">
        <is>
          <t>10 м</t>
        </is>
      </c>
      <c r="E55" s="325" t="n">
        <v>0.49</v>
      </c>
      <c r="F55" s="260" t="n">
        <v>6.9</v>
      </c>
      <c r="G55" s="32">
        <f>ROUND(E55*F55,2)</f>
        <v/>
      </c>
      <c r="H55" s="160">
        <f>G55/$G$67</f>
        <v/>
      </c>
      <c r="I55" s="32">
        <f>ROUND(F55*Прил.10!$D$13,2)</f>
        <v/>
      </c>
      <c r="J55" s="32">
        <f>ROUND(I55*E55,2)</f>
        <v/>
      </c>
    </row>
    <row r="56" hidden="1" outlineLevel="1" ht="25.5" customFormat="1" customHeight="1" s="12">
      <c r="A56" s="249" t="n">
        <v>28</v>
      </c>
      <c r="B56" s="249" t="inlineStr">
        <is>
          <t>01.7.11.07-0034</t>
        </is>
      </c>
      <c r="C56" s="258" t="inlineStr">
        <is>
          <t>Электроды сварочные Э42А, диаметр 4 мм</t>
        </is>
      </c>
      <c r="D56" s="249" t="inlineStr">
        <is>
          <t>кг</t>
        </is>
      </c>
      <c r="E56" s="325" t="n">
        <v>0.3</v>
      </c>
      <c r="F56" s="260" t="n">
        <v>10.57</v>
      </c>
      <c r="G56" s="32">
        <f>ROUND(E56*F56,2)</f>
        <v/>
      </c>
      <c r="H56" s="160">
        <f>G56/$G$67</f>
        <v/>
      </c>
      <c r="I56" s="32">
        <f>ROUND(F56*Прил.10!$D$13,2)</f>
        <v/>
      </c>
      <c r="J56" s="32">
        <f>ROUND(I56*E56,2)</f>
        <v/>
      </c>
    </row>
    <row r="57" hidden="1" outlineLevel="1" ht="14.25" customFormat="1" customHeight="1" s="12">
      <c r="A57" s="249" t="n">
        <v>29</v>
      </c>
      <c r="B57" s="249" t="inlineStr">
        <is>
          <t>01.7.15.14-0165</t>
        </is>
      </c>
      <c r="C57" s="258" t="inlineStr">
        <is>
          <t>Шурупы с полукруглой головкой 4х40 мм</t>
        </is>
      </c>
      <c r="D57" s="249" t="inlineStr">
        <is>
          <t>т</t>
        </is>
      </c>
      <c r="E57" s="325" t="n">
        <v>0.00022</v>
      </c>
      <c r="F57" s="260" t="n">
        <v>12430</v>
      </c>
      <c r="G57" s="32">
        <f>ROUND(E57*F57,2)</f>
        <v/>
      </c>
      <c r="H57" s="160">
        <f>G57/$G$67</f>
        <v/>
      </c>
      <c r="I57" s="32">
        <f>ROUND(F57*Прил.10!$D$13,2)</f>
        <v/>
      </c>
      <c r="J57" s="32">
        <f>ROUND(I57*E57,2)</f>
        <v/>
      </c>
    </row>
    <row r="58" hidden="1" outlineLevel="1" ht="25.5" customFormat="1" customHeight="1" s="12">
      <c r="A58" s="249" t="n">
        <v>30</v>
      </c>
      <c r="B58" s="249" t="inlineStr">
        <is>
          <t>01.7.15.03-0031</t>
        </is>
      </c>
      <c r="C58" s="258" t="inlineStr">
        <is>
          <t>Болты с гайками и шайбами оцинкованные, диаметр 6 мм</t>
        </is>
      </c>
      <c r="D58" s="249" t="inlineStr">
        <is>
          <t>кг</t>
        </is>
      </c>
      <c r="E58" s="325" t="n">
        <v>0.07000000000000001</v>
      </c>
      <c r="F58" s="260" t="n">
        <v>28.22</v>
      </c>
      <c r="G58" s="32">
        <f>ROUND(E58*F58,2)</f>
        <v/>
      </c>
      <c r="H58" s="160">
        <f>G58/$G$67</f>
        <v/>
      </c>
      <c r="I58" s="32">
        <f>ROUND(F58*Прил.10!$D$13,2)</f>
        <v/>
      </c>
      <c r="J58" s="32">
        <f>ROUND(I58*E58,2)</f>
        <v/>
      </c>
    </row>
    <row r="59" hidden="1" outlineLevel="1" ht="25.5" customFormat="1" customHeight="1" s="12">
      <c r="A59" s="249" t="n">
        <v>31</v>
      </c>
      <c r="B59" s="249" t="inlineStr">
        <is>
          <t>01.3.01.07-0009</t>
        </is>
      </c>
      <c r="C59" s="258" t="inlineStr">
        <is>
          <t>Спирт этиловый ректификованный технический, сорт I</t>
        </is>
      </c>
      <c r="D59" s="249" t="inlineStr">
        <is>
          <t>кг</t>
        </is>
      </c>
      <c r="E59" s="325" t="n">
        <v>0.05</v>
      </c>
      <c r="F59" s="260" t="n">
        <v>38.89</v>
      </c>
      <c r="G59" s="32">
        <f>ROUND(E59*F59,2)</f>
        <v/>
      </c>
      <c r="H59" s="160">
        <f>G59/$G$67</f>
        <v/>
      </c>
      <c r="I59" s="32">
        <f>ROUND(F59*Прил.10!$D$13,2)</f>
        <v/>
      </c>
      <c r="J59" s="32">
        <f>ROUND(I59*E59,2)</f>
        <v/>
      </c>
    </row>
    <row r="60" hidden="1" outlineLevel="1" ht="14.25" customFormat="1" customHeight="1" s="12">
      <c r="A60" s="249" t="n">
        <v>32</v>
      </c>
      <c r="B60" s="249" t="inlineStr">
        <is>
          <t>14.4.02.09-0001</t>
        </is>
      </c>
      <c r="C60" s="258" t="inlineStr">
        <is>
          <t>Краска</t>
        </is>
      </c>
      <c r="D60" s="249" t="inlineStr">
        <is>
          <t>кг</t>
        </is>
      </c>
      <c r="E60" s="325" t="n">
        <v>0.05</v>
      </c>
      <c r="F60" s="260" t="n">
        <v>28.6</v>
      </c>
      <c r="G60" s="32">
        <f>ROUND(E60*F60,2)</f>
        <v/>
      </c>
      <c r="H60" s="160">
        <f>G60/$G$67</f>
        <v/>
      </c>
      <c r="I60" s="32">
        <f>ROUND(F60*Прил.10!$D$13,2)</f>
        <v/>
      </c>
      <c r="J60" s="32">
        <f>ROUND(I60*E60,2)</f>
        <v/>
      </c>
    </row>
    <row r="61" hidden="1" outlineLevel="1" ht="25.5" customFormat="1" customHeight="1" s="12">
      <c r="A61" s="249" t="n">
        <v>33</v>
      </c>
      <c r="B61" s="249" t="inlineStr">
        <is>
          <t>14.3.02.01-0219</t>
        </is>
      </c>
      <c r="C61" s="258" t="inlineStr">
        <is>
          <t>Краска универсальная, акриловая для внутренних и наружных работ</t>
        </is>
      </c>
      <c r="D61" s="249" t="inlineStr">
        <is>
          <t>т</t>
        </is>
      </c>
      <c r="E61" s="325" t="n">
        <v>8.000000000000001e-05</v>
      </c>
      <c r="F61" s="260" t="n">
        <v>15481</v>
      </c>
      <c r="G61" s="32">
        <f>ROUND(E61*F61,2)</f>
        <v/>
      </c>
      <c r="H61" s="160">
        <f>G61/$G$67</f>
        <v/>
      </c>
      <c r="I61" s="32">
        <f>ROUND(F61*Прил.10!$D$13,2)</f>
        <v/>
      </c>
      <c r="J61" s="32">
        <f>ROUND(I61*E61,2)</f>
        <v/>
      </c>
    </row>
    <row r="62" hidden="1" outlineLevel="1" ht="14.25" customFormat="1" customHeight="1" s="12">
      <c r="A62" s="249" t="n">
        <v>34</v>
      </c>
      <c r="B62" s="249" t="inlineStr">
        <is>
          <t>22.2.02.15-0001</t>
        </is>
      </c>
      <c r="C62" s="258" t="inlineStr">
        <is>
          <t>Скрепы 10х2 мм</t>
        </is>
      </c>
      <c r="D62" s="249" t="inlineStr">
        <is>
          <t>кг</t>
        </is>
      </c>
      <c r="E62" s="325" t="n">
        <v>0.08</v>
      </c>
      <c r="F62" s="260" t="n">
        <v>15.37</v>
      </c>
      <c r="G62" s="32">
        <f>ROUND(E62*F62,2)</f>
        <v/>
      </c>
      <c r="H62" s="160">
        <f>G62/$G$67</f>
        <v/>
      </c>
      <c r="I62" s="32">
        <f>ROUND(F62*Прил.10!$D$13,2)</f>
        <v/>
      </c>
      <c r="J62" s="32">
        <f>ROUND(I62*E62,2)</f>
        <v/>
      </c>
    </row>
    <row r="63" hidden="1" outlineLevel="1" ht="14.25" customFormat="1" customHeight="1" s="12">
      <c r="A63" s="249" t="n">
        <v>35</v>
      </c>
      <c r="B63" s="249" t="inlineStr">
        <is>
          <t>01.3.05.17-0002</t>
        </is>
      </c>
      <c r="C63" s="258" t="inlineStr">
        <is>
          <t>Канифоль сосновая</t>
        </is>
      </c>
      <c r="D63" s="249" t="inlineStr">
        <is>
          <t>кг</t>
        </is>
      </c>
      <c r="E63" s="325" t="n">
        <v>0.04</v>
      </c>
      <c r="F63" s="260" t="n">
        <v>27.74</v>
      </c>
      <c r="G63" s="32">
        <f>ROUND(E63*F63,2)</f>
        <v/>
      </c>
      <c r="H63" s="160">
        <f>G63/$G$67</f>
        <v/>
      </c>
      <c r="I63" s="32">
        <f>ROUND(F63*Прил.10!$D$13,2)</f>
        <v/>
      </c>
      <c r="J63" s="32">
        <f>ROUND(I63*E63,2)</f>
        <v/>
      </c>
    </row>
    <row r="64" hidden="1" outlineLevel="1" ht="14.25" customFormat="1" customHeight="1" s="12">
      <c r="A64" s="249" t="n">
        <v>36</v>
      </c>
      <c r="B64" s="249" t="inlineStr">
        <is>
          <t>03.1.01.01-0002</t>
        </is>
      </c>
      <c r="C64" s="258" t="inlineStr">
        <is>
          <t>Гипс строительный Г-3</t>
        </is>
      </c>
      <c r="D64" s="249" t="inlineStr">
        <is>
          <t>т</t>
        </is>
      </c>
      <c r="E64" s="325" t="n">
        <v>0.0012</v>
      </c>
      <c r="F64" s="260" t="n">
        <v>729.98</v>
      </c>
      <c r="G64" s="32">
        <f>ROUND(E64*F64,2)</f>
        <v/>
      </c>
      <c r="H64" s="160">
        <f>G64/$G$67</f>
        <v/>
      </c>
      <c r="I64" s="32">
        <f>ROUND(F64*Прил.10!$D$13,2)</f>
        <v/>
      </c>
      <c r="J64" s="32">
        <f>ROUND(I64*E64,2)</f>
        <v/>
      </c>
    </row>
    <row r="65" hidden="1" outlineLevel="1" ht="14.25" customFormat="1" customHeight="1" s="12">
      <c r="A65" s="249" t="n">
        <v>37</v>
      </c>
      <c r="B65" s="249" t="inlineStr">
        <is>
          <t>999-0005</t>
        </is>
      </c>
      <c r="C65" s="258" t="inlineStr">
        <is>
          <t>Масса</t>
        </is>
      </c>
      <c r="D65" s="249" t="inlineStr">
        <is>
          <t>т</t>
        </is>
      </c>
      <c r="E65" s="325" t="n">
        <v>0.004</v>
      </c>
      <c r="F65" s="260" t="n"/>
      <c r="G65" s="32">
        <f>ROUND(E65*F65,2)</f>
        <v/>
      </c>
      <c r="H65" s="160">
        <f>G65/$G$67</f>
        <v/>
      </c>
      <c r="I65" s="32">
        <f>ROUND(F65*Прил.10!$D$13,2)</f>
        <v/>
      </c>
      <c r="J65" s="32">
        <f>ROUND(I65*E65,2)</f>
        <v/>
      </c>
    </row>
    <row r="66" collapsed="1" ht="14.25" customFormat="1" customHeight="1" s="12">
      <c r="A66" s="249" t="n"/>
      <c r="B66" s="249" t="n"/>
      <c r="C66" s="258" t="inlineStr">
        <is>
          <t>Итого прочие материалы</t>
        </is>
      </c>
      <c r="D66" s="249" t="n"/>
      <c r="E66" s="259" t="n"/>
      <c r="F66" s="260" t="n"/>
      <c r="G66" s="32">
        <f>SUM(G43:G65)</f>
        <v/>
      </c>
      <c r="H66" s="160">
        <f>G66/$G$67</f>
        <v/>
      </c>
      <c r="I66" s="32" t="n"/>
      <c r="J66" s="32">
        <f>SUM(J43:J65)</f>
        <v/>
      </c>
    </row>
    <row r="67" ht="14.25" customFormat="1" customHeight="1" s="12">
      <c r="A67" s="249" t="n"/>
      <c r="B67" s="249" t="n"/>
      <c r="C67" s="257" t="inlineStr">
        <is>
          <t>Итого по разделу «Материалы»</t>
        </is>
      </c>
      <c r="D67" s="249" t="n"/>
      <c r="E67" s="259" t="n"/>
      <c r="F67" s="260" t="n"/>
      <c r="G67" s="32">
        <f>G42+G66</f>
        <v/>
      </c>
      <c r="H67" s="261">
        <f>G67/$G$67</f>
        <v/>
      </c>
      <c r="I67" s="32" t="n"/>
      <c r="J67" s="32">
        <f>J42+J66</f>
        <v/>
      </c>
    </row>
    <row r="68" ht="14.25" customFormat="1" customHeight="1" s="12">
      <c r="A68" s="249" t="n"/>
      <c r="B68" s="249" t="n"/>
      <c r="C68" s="258" t="inlineStr">
        <is>
          <t>ИТОГО ПО РМ</t>
        </is>
      </c>
      <c r="D68" s="249" t="n"/>
      <c r="E68" s="259" t="n"/>
      <c r="F68" s="260" t="n"/>
      <c r="G68" s="32">
        <f>G14+G29+G67</f>
        <v/>
      </c>
      <c r="H68" s="261" t="n"/>
      <c r="I68" s="32" t="n"/>
      <c r="J68" s="32">
        <f>J14+J29+J67</f>
        <v/>
      </c>
    </row>
    <row r="69" ht="14.25" customFormat="1" customHeight="1" s="12">
      <c r="A69" s="249" t="n"/>
      <c r="B69" s="249" t="n"/>
      <c r="C69" s="258" t="inlineStr">
        <is>
          <t>Накладные расходы</t>
        </is>
      </c>
      <c r="D69" s="173">
        <f>ROUND(G69/(G$16+$G$14),2)</f>
        <v/>
      </c>
      <c r="E69" s="259" t="n"/>
      <c r="F69" s="260" t="n"/>
      <c r="G69" s="32">
        <f>178.97+521.27</f>
        <v/>
      </c>
      <c r="H69" s="261" t="n"/>
      <c r="I69" s="32" t="n"/>
      <c r="J69" s="32">
        <f>ROUND(D69*(J14+J16),2)</f>
        <v/>
      </c>
    </row>
    <row r="70" ht="14.25" customFormat="1" customHeight="1" s="12">
      <c r="A70" s="249" t="n"/>
      <c r="B70" s="249" t="n"/>
      <c r="C70" s="258" t="inlineStr">
        <is>
          <t>Сметная прибыль</t>
        </is>
      </c>
      <c r="D70" s="173">
        <f>ROUND(G70/(G$14+G$16),2)</f>
        <v/>
      </c>
      <c r="E70" s="259" t="n"/>
      <c r="F70" s="260" t="n"/>
      <c r="G70" s="32">
        <f>94.1+267.13</f>
        <v/>
      </c>
      <c r="H70" s="261" t="n"/>
      <c r="I70" s="32" t="n"/>
      <c r="J70" s="32">
        <f>ROUND(D70*(J14+J16),2)</f>
        <v/>
      </c>
    </row>
    <row r="71" ht="14.25" customFormat="1" customHeight="1" s="12">
      <c r="A71" s="249" t="n"/>
      <c r="B71" s="249" t="n"/>
      <c r="C71" s="258" t="inlineStr">
        <is>
          <t>Итого СМР (с НР и СП)</t>
        </is>
      </c>
      <c r="D71" s="249" t="n"/>
      <c r="E71" s="259" t="n"/>
      <c r="F71" s="260" t="n"/>
      <c r="G71" s="32">
        <f>G14+G29+G67+G69+G70</f>
        <v/>
      </c>
      <c r="H71" s="261" t="n"/>
      <c r="I71" s="32" t="n"/>
      <c r="J71" s="32">
        <f>J14+J29+J67+J69+J70</f>
        <v/>
      </c>
    </row>
    <row r="72" ht="14.25" customFormat="1" customHeight="1" s="12">
      <c r="A72" s="249" t="n"/>
      <c r="B72" s="249" t="n"/>
      <c r="C72" s="258" t="inlineStr">
        <is>
          <t>ВСЕГО СМР + ОБОРУДОВАНИЕ</t>
        </is>
      </c>
      <c r="D72" s="249" t="n"/>
      <c r="E72" s="259" t="n"/>
      <c r="F72" s="260" t="n"/>
      <c r="G72" s="32">
        <f>G71+G37</f>
        <v/>
      </c>
      <c r="H72" s="261" t="n"/>
      <c r="I72" s="32" t="n"/>
      <c r="J72" s="32">
        <f>J71+J37</f>
        <v/>
      </c>
    </row>
    <row r="73" ht="34.5" customFormat="1" customHeight="1" s="12">
      <c r="A73" s="249" t="n"/>
      <c r="B73" s="249" t="n"/>
      <c r="C73" s="258" t="inlineStr">
        <is>
          <t>ИТОГО ПОКАЗАТЕЛЬ НА ЕД. ИЗМ.</t>
        </is>
      </c>
      <c r="D73" s="249" t="inlineStr">
        <is>
          <t>ед.</t>
        </is>
      </c>
      <c r="E73" s="329" t="n">
        <v>1</v>
      </c>
      <c r="F73" s="260" t="n"/>
      <c r="G73" s="32">
        <f>G72/E73</f>
        <v/>
      </c>
      <c r="H73" s="261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Д.Ю. Нефедова</t>
        </is>
      </c>
    </row>
    <row r="76" ht="14.25" customFormat="1" customHeight="1" s="12">
      <c r="A76" s="174" t="inlineStr">
        <is>
          <t xml:space="preserve">                         (подпись, инициалы, фамилия)</t>
        </is>
      </c>
    </row>
    <row r="77" ht="14.25" customFormat="1" customHeight="1" s="12">
      <c r="A77" s="4" t="n"/>
    </row>
    <row r="78" ht="14.25" customFormat="1" customHeight="1" s="12">
      <c r="A78" s="4" t="inlineStr">
        <is>
          <t>Проверил ______________________        А.В. Костянецкая</t>
        </is>
      </c>
    </row>
    <row r="79" ht="14.25" customFormat="1" customHeight="1" s="12">
      <c r="A79" s="174" t="inlineStr">
        <is>
          <t xml:space="preserve">                        (подпись, инициалы, фамилия)</t>
        </is>
      </c>
    </row>
  </sheetData>
  <mergeCells count="20">
    <mergeCell ref="B40:H40"/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B39:H39"/>
    <mergeCell ref="D6:J6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5"/>
  <sheetViews>
    <sheetView view="pageBreakPreview" topLeftCell="A17" workbookViewId="0">
      <selection activeCell="C17" sqref="C17"/>
    </sheetView>
  </sheetViews>
  <sheetFormatPr baseColWidth="8" defaultRowHeight="15"/>
  <cols>
    <col width="5.7109375" customWidth="1" style="197" min="1" max="1"/>
    <col width="17.5703125" customWidth="1" style="197" min="2" max="2"/>
    <col width="39.140625" customWidth="1" style="197" min="3" max="3"/>
    <col width="10.7109375" customWidth="1" style="197" min="4" max="4"/>
    <col width="13.85546875" customWidth="1" style="197" min="5" max="5"/>
    <col width="13.28515625" customWidth="1" style="197" min="6" max="6"/>
    <col width="14.140625" customWidth="1" style="197" min="7" max="7"/>
  </cols>
  <sheetData>
    <row r="1">
      <c r="A1" s="266" t="inlineStr">
        <is>
          <t>Приложение №6</t>
        </is>
      </c>
    </row>
    <row r="2" ht="21.75" customHeight="1" s="197">
      <c r="A2" s="266" t="n"/>
      <c r="B2" s="266" t="n"/>
      <c r="C2" s="266" t="n"/>
      <c r="D2" s="266" t="n"/>
      <c r="E2" s="266" t="n"/>
      <c r="F2" s="266" t="n"/>
      <c r="G2" s="266" t="n"/>
    </row>
    <row r="3">
      <c r="A3" s="218" t="inlineStr">
        <is>
          <t>Расчет стоимости оборудования</t>
        </is>
      </c>
    </row>
    <row r="4" ht="25.5" customHeight="1" s="197">
      <c r="A4" s="221" t="inlineStr">
        <is>
          <t>Наименование разрабатываемого показателя УНЦ — Комплекс систем безопасности ПС. Шкаф ЦК комплекса систем безопасности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7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49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7">
      <c r="A9" s="25" t="n"/>
      <c r="B9" s="258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7">
      <c r="A10" s="249" t="n"/>
      <c r="B10" s="257" t="n"/>
      <c r="C10" s="258" t="inlineStr">
        <is>
          <t>ИТОГО ИНЖЕНЕРНОЕ ОБОРУДОВАНИЕ</t>
        </is>
      </c>
      <c r="D10" s="257" t="n"/>
      <c r="E10" s="175" t="n"/>
      <c r="F10" s="260" t="n"/>
      <c r="G10" s="32" t="n">
        <v>0</v>
      </c>
    </row>
    <row r="11">
      <c r="A11" s="249" t="n"/>
      <c r="B11" s="258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15.75" customFormat="1" customHeight="1" s="199">
      <c r="A12" s="249" t="n">
        <v>1</v>
      </c>
      <c r="B12" s="258">
        <f>'Прил.5 Расчет СМР и ОБ'!B32</f>
        <v/>
      </c>
      <c r="C12" s="258">
        <f>'Прил.5 Расчет СМР и ОБ'!C32</f>
        <v/>
      </c>
      <c r="D12" s="249">
        <f>'Прил.5 Расчет СМР и ОБ'!D32</f>
        <v/>
      </c>
      <c r="E12" s="325">
        <f>'Прил.5 Расчет СМР и ОБ'!E32</f>
        <v/>
      </c>
      <c r="F12" s="260">
        <f>'Прил.5 Расчет СМР и ОБ'!F32</f>
        <v/>
      </c>
      <c r="G12" s="32">
        <f>ROUND(E12*F12,2)</f>
        <v/>
      </c>
    </row>
    <row r="13" ht="25.5" customFormat="1" customHeight="1" s="199">
      <c r="A13" s="249" t="n">
        <v>2</v>
      </c>
      <c r="B13" s="258">
        <f>'Прил.5 Расчет СМР и ОБ'!B34</f>
        <v/>
      </c>
      <c r="C13" s="258">
        <f>'Прил.5 Расчет СМР и ОБ'!C34</f>
        <v/>
      </c>
      <c r="D13" s="249">
        <f>'Прил.5 Расчет СМР и ОБ'!D34</f>
        <v/>
      </c>
      <c r="E13" s="325">
        <f>'Прил.5 Расчет СМР и ОБ'!E34</f>
        <v/>
      </c>
      <c r="F13" s="260">
        <f>'Прил.5 Расчет СМР и ОБ'!F34</f>
        <v/>
      </c>
      <c r="G13" s="32">
        <f>ROUND(E13*F13,2)</f>
        <v/>
      </c>
    </row>
    <row r="14" ht="15.75" customFormat="1" customHeight="1" s="199">
      <c r="A14" s="249" t="n">
        <v>3</v>
      </c>
      <c r="B14" s="258">
        <f>'Прил.5 Расчет СМР и ОБ'!B35</f>
        <v/>
      </c>
      <c r="C14" s="258">
        <f>'Прил.5 Расчет СМР и ОБ'!C35</f>
        <v/>
      </c>
      <c r="D14" s="249">
        <f>'Прил.5 Расчет СМР и ОБ'!D35</f>
        <v/>
      </c>
      <c r="E14" s="325">
        <f>'Прил.5 Расчет СМР и ОБ'!E35</f>
        <v/>
      </c>
      <c r="F14" s="260">
        <f>'Прил.5 Расчет СМР и ОБ'!F35</f>
        <v/>
      </c>
      <c r="G14" s="32">
        <f>ROUND(E14*F14,2)</f>
        <v/>
      </c>
    </row>
    <row r="15" ht="25.5" customHeight="1" s="197">
      <c r="A15" s="249" t="n"/>
      <c r="B15" s="258" t="n"/>
      <c r="C15" s="258" t="inlineStr">
        <is>
          <t>ИТОГО ТЕХНОЛОГИЧЕСКОЕ ОБОРУДОВАНИЕ</t>
        </is>
      </c>
      <c r="D15" s="258" t="n"/>
      <c r="E15" s="270" t="n"/>
      <c r="F15" s="260" t="n"/>
      <c r="G15" s="32">
        <f>SUM(G12:G14)</f>
        <v/>
      </c>
    </row>
    <row r="16" ht="19.5" customHeight="1" s="197">
      <c r="A16" s="249" t="n"/>
      <c r="B16" s="258" t="n"/>
      <c r="C16" s="258" t="inlineStr">
        <is>
          <t>Всего по разделу «Оборудование»</t>
        </is>
      </c>
      <c r="D16" s="258" t="n"/>
      <c r="E16" s="270" t="n"/>
      <c r="F16" s="260" t="n"/>
      <c r="G16" s="32">
        <f>G10+G15</f>
        <v/>
      </c>
    </row>
    <row r="17">
      <c r="A17" s="30" t="n"/>
      <c r="B17" s="17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Д.Ю. Нефедова</t>
        </is>
      </c>
      <c r="B18" s="12" t="n"/>
      <c r="C18" s="12" t="n"/>
      <c r="D18" s="30" t="n"/>
      <c r="E18" s="30" t="n"/>
      <c r="F18" s="30" t="n"/>
      <c r="G18" s="30" t="n"/>
    </row>
    <row r="19">
      <c r="A19" s="174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174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  <row r="35">
      <c r="A35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9" sqref="D27:D29"/>
    </sheetView>
  </sheetViews>
  <sheetFormatPr baseColWidth="8" defaultRowHeight="15"/>
  <cols>
    <col width="12.7109375" customWidth="1" style="197" min="1" max="1"/>
    <col width="28.85546875" customWidth="1" style="197" min="2" max="2"/>
    <col width="37.140625" customWidth="1" style="197" min="3" max="3"/>
    <col width="44" customWidth="1" style="197" min="4" max="4"/>
    <col width="9.140625" customWidth="1" style="197" min="5" max="5"/>
  </cols>
  <sheetData>
    <row r="1" ht="15.75" customHeight="1" s="197">
      <c r="A1" s="199" t="n"/>
      <c r="B1" s="199" t="n"/>
      <c r="C1" s="199" t="n"/>
      <c r="D1" s="199" t="inlineStr">
        <is>
          <t>Приложение №7</t>
        </is>
      </c>
    </row>
    <row r="2" ht="15.75" customHeight="1" s="197">
      <c r="A2" s="199" t="n"/>
      <c r="B2" s="199" t="n"/>
      <c r="C2" s="199" t="n"/>
      <c r="D2" s="199" t="n"/>
    </row>
    <row r="3" ht="15.75" customHeight="1" s="197">
      <c r="A3" s="199" t="n"/>
      <c r="B3" s="145" t="inlineStr">
        <is>
          <t>Расчет показателя УНЦ</t>
        </is>
      </c>
      <c r="C3" s="199" t="n"/>
      <c r="D3" s="199" t="n"/>
    </row>
    <row r="4" ht="15.75" customHeight="1" s="197">
      <c r="A4" s="199" t="n"/>
      <c r="B4" s="199" t="n"/>
      <c r="C4" s="199" t="n"/>
      <c r="D4" s="199" t="n"/>
    </row>
    <row r="5" ht="31.5" customHeight="1" s="197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 s="197">
      <c r="A6" s="199" t="inlineStr">
        <is>
          <t>Составил ______________________      Д.Ю. Нефедова</t>
        </is>
      </c>
      <c r="B6" s="199" t="n"/>
      <c r="C6" s="199" t="n"/>
      <c r="D6" s="199" t="n"/>
    </row>
    <row r="7" ht="15.75" customHeight="1" s="197">
      <c r="A7" s="199" t="n"/>
      <c r="B7" s="199" t="n"/>
      <c r="C7" s="199" t="n"/>
      <c r="D7" s="199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 ht="15.75" customHeight="1" s="197">
      <c r="A10" s="235" t="n">
        <v>1</v>
      </c>
      <c r="B10" s="235" t="n">
        <v>2</v>
      </c>
      <c r="C10" s="235" t="n">
        <v>3</v>
      </c>
      <c r="D10" s="235" t="n">
        <v>4</v>
      </c>
    </row>
    <row r="11" ht="63" customHeight="1" s="197">
      <c r="A11" s="235" t="inlineStr">
        <is>
          <t>И15-02</t>
        </is>
      </c>
      <c r="B11" s="235" t="inlineStr">
        <is>
          <t xml:space="preserve">УНЦ комплекса систем безопасности ПС </t>
        </is>
      </c>
      <c r="C11" s="195">
        <f>D5</f>
        <v/>
      </c>
      <c r="D11" s="205">
        <f>'Прил.4 РМ'!C41/1000</f>
        <v/>
      </c>
    </row>
    <row r="13">
      <c r="A13" s="317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74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74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zoomScale="60" zoomScaleNormal="85" workbookViewId="0">
      <selection activeCell="B27" sqref="B27"/>
    </sheetView>
  </sheetViews>
  <sheetFormatPr baseColWidth="8" defaultRowHeight="15"/>
  <cols>
    <col width="9.140625" customWidth="1" style="197" min="1" max="1"/>
    <col width="40.7109375" customWidth="1" style="197" min="2" max="2"/>
    <col width="37" customWidth="1" style="197" min="3" max="3"/>
    <col width="32" customWidth="1" style="197" min="4" max="4"/>
    <col width="9.140625" customWidth="1" style="197" min="5" max="5"/>
  </cols>
  <sheetData>
    <row r="4" ht="15.75" customHeight="1" s="197">
      <c r="B4" s="225" t="inlineStr">
        <is>
          <t>Приложение № 10</t>
        </is>
      </c>
    </row>
    <row r="5" ht="18.75" customHeight="1" s="197">
      <c r="B5" s="177" t="n"/>
    </row>
    <row r="6" ht="15.75" customHeight="1" s="197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 s="197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197">
      <c r="B10" s="235" t="n">
        <v>1</v>
      </c>
      <c r="C10" s="235" t="n">
        <v>2</v>
      </c>
      <c r="D10" s="235" t="n">
        <v>3</v>
      </c>
    </row>
    <row r="11" ht="45" customHeight="1" s="197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прил.1</t>
        </is>
      </c>
      <c r="D11" s="235" t="n">
        <v>44.29</v>
      </c>
    </row>
    <row r="12" ht="29.25" customHeight="1" s="197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прил.1</t>
        </is>
      </c>
      <c r="D12" s="235" t="n">
        <v>13.47</v>
      </c>
    </row>
    <row r="13" ht="29.25" customHeight="1" s="197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прил.1</t>
        </is>
      </c>
      <c r="D13" s="235" t="n">
        <v>8.039999999999999</v>
      </c>
    </row>
    <row r="14" ht="30.75" customHeight="1" s="197">
      <c r="B14" s="235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197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8" t="n">
        <v>0.039</v>
      </c>
    </row>
    <row r="16" ht="78.75" customHeight="1" s="197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8" t="n">
        <v>0.021</v>
      </c>
    </row>
    <row r="17" ht="34.5" customHeight="1" s="197">
      <c r="B17" s="235" t="inlineStr">
        <is>
          <t>Пусконаладочные работы*</t>
        </is>
      </c>
      <c r="C17" s="235" t="n"/>
      <c r="D17" s="235" t="inlineStr">
        <is>
          <t>Расчет</t>
        </is>
      </c>
    </row>
    <row r="18" ht="31.5" customHeight="1" s="197">
      <c r="B18" s="235" t="inlineStr">
        <is>
          <t>Строительный контроль</t>
        </is>
      </c>
      <c r="C18" s="235" t="inlineStr">
        <is>
          <t>Постановление Правительства РФ от 21.06.10 г. № 468</t>
        </is>
      </c>
      <c r="D18" s="178" t="n">
        <v>0.0214</v>
      </c>
    </row>
    <row r="19" ht="31.5" customHeight="1" s="197">
      <c r="B19" s="235" t="inlineStr">
        <is>
          <t>Авторский надзор - 0,2%</t>
        </is>
      </c>
      <c r="C19" s="235" t="inlineStr">
        <is>
          <t>Приказ от 4.08.2020 № 421/пр п.173</t>
        </is>
      </c>
      <c r="D19" s="178" t="n">
        <v>0.002</v>
      </c>
    </row>
    <row r="20" ht="24" customHeight="1" s="197">
      <c r="B20" s="235" t="inlineStr">
        <is>
          <t>Непредвиденные расходы</t>
        </is>
      </c>
      <c r="C20" s="235" t="inlineStr">
        <is>
          <t>Приказ от 4.08.2020 № 421/пр п.179</t>
        </is>
      </c>
      <c r="D20" s="178" t="n">
        <v>0.03</v>
      </c>
    </row>
    <row r="21" ht="18.75" customHeight="1" s="197">
      <c r="B21" s="179" t="n"/>
    </row>
    <row r="22" ht="18.75" customHeight="1" s="197">
      <c r="B22" s="179" t="n"/>
    </row>
    <row r="23" ht="18.75" customHeight="1" s="197">
      <c r="B23" s="179" t="n"/>
    </row>
    <row r="24" ht="18.75" customHeight="1" s="197">
      <c r="B24" s="179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74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74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99" t="n"/>
    </row>
    <row r="6" ht="15.75" customHeight="1" s="197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5" t="n"/>
      <c r="D10" s="235" t="n"/>
      <c r="E10" s="330" t="n">
        <v>4.5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31" t="n">
        <v>1.441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01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32" t="n">
        <v>1.139</v>
      </c>
      <c r="F12" s="2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n"/>
    </row>
    <row r="13" ht="63" customHeight="1" s="197">
      <c r="A13" s="201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1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pageMargins left="0.7" right="0.7" top="0.75" bottom="0.75" header="0.3" footer="0.3"/>
  <pageSetup orientation="portrait" scale="2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2025-01-24T12:01:53Z</dcterms:modified>
  <cp:lastModifiedBy>Nikolay Ivanov</cp:lastModifiedBy>
  <cp:lastPrinted>2023-11-30T13:25:32Z</cp:lastPrinted>
</cp:coreProperties>
</file>