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ОБ'!$A$1:$J$63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0"/>
    <numFmt numFmtId="166" formatCode="#,##0.0000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FF99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10" fontId="16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16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8" fillId="0" borderId="0" pivotButton="0" quotePrefix="0" xfId="0"/>
    <xf numFmtId="49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21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10" fontId="1" fillId="4" borderId="1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right" vertical="center" wrapText="1"/>
    </xf>
    <xf numFmtId="0" fontId="19" fillId="0" borderId="6" applyAlignment="1" pivotButton="0" quotePrefix="0" xfId="0">
      <alignment horizontal="right" vertical="center" wrapText="1"/>
    </xf>
    <xf numFmtId="0" fontId="19" fillId="0" borderId="7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6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2" zoomScale="70" zoomScaleNormal="55" workbookViewId="0">
      <selection activeCell="C27" sqref="C27"/>
    </sheetView>
  </sheetViews>
  <sheetFormatPr baseColWidth="8" defaultColWidth="9.140625" defaultRowHeight="15.75"/>
  <cols>
    <col width="9.140625" customWidth="1" style="315" min="1" max="2"/>
    <col width="36.85546875" customWidth="1" style="315" min="3" max="3"/>
    <col width="36.5703125" customWidth="1" style="315" min="4" max="6"/>
    <col width="17.5703125" customWidth="1" style="315" min="7" max="7"/>
    <col width="18.7109375" customWidth="1" style="315" min="8" max="8"/>
    <col width="9.140625" customWidth="1" style="315" min="9" max="9"/>
  </cols>
  <sheetData>
    <row r="3">
      <c r="B3" s="342" t="inlineStr">
        <is>
          <t>Приложение № 1</t>
        </is>
      </c>
    </row>
    <row r="4">
      <c r="B4" s="343" t="inlineStr">
        <is>
          <t>Сравнительная таблица отбора объекта-представителя</t>
        </is>
      </c>
    </row>
    <row r="5">
      <c r="B5" s="167" t="n"/>
      <c r="C5" s="167" t="n"/>
      <c r="D5" s="167" t="n"/>
      <c r="E5" s="167" t="n"/>
      <c r="F5" s="167" t="n"/>
    </row>
    <row r="6">
      <c r="B6" s="167" t="n"/>
      <c r="C6" s="167" t="n"/>
      <c r="D6" s="167" t="n"/>
      <c r="E6" s="167" t="n"/>
      <c r="F6" s="167" t="n"/>
    </row>
    <row r="7">
      <c r="B7" s="344" t="inlineStr">
        <is>
          <t>Наименование разрабатываемого показателя УНЦ — Комплекс систем безопасности ПС. АРМ персонала комплекса систем безопасности</t>
        </is>
      </c>
    </row>
    <row r="8" ht="31.5" customHeight="1" s="313">
      <c r="B8" s="345" t="inlineStr">
        <is>
          <t>Сопоставимый уровень цен: 3 кв 2017</t>
        </is>
      </c>
    </row>
    <row r="9">
      <c r="B9" s="345" t="inlineStr">
        <is>
          <t>Единица измерения  — 1 ед.</t>
        </is>
      </c>
    </row>
    <row r="10">
      <c r="B10" s="345" t="n"/>
    </row>
    <row r="11">
      <c r="B11" s="351" t="inlineStr">
        <is>
          <t>№ п/п</t>
        </is>
      </c>
      <c r="C11" s="351" t="inlineStr">
        <is>
          <t>Параметр</t>
        </is>
      </c>
      <c r="D11" s="327" t="inlineStr">
        <is>
          <t>Объект-представитель 1</t>
        </is>
      </c>
      <c r="E11" s="327" t="inlineStr">
        <is>
          <t>Объект-представитель 2</t>
        </is>
      </c>
      <c r="F11" s="327" t="inlineStr">
        <is>
          <t>Объект-представитель 3</t>
        </is>
      </c>
    </row>
    <row r="12" ht="157.5" customHeight="1" s="313">
      <c r="B12" s="351" t="n">
        <v>1</v>
      </c>
      <c r="C12" s="327" t="inlineStr">
        <is>
          <t>Наименование объекта-представителя</t>
        </is>
      </c>
      <c r="D12" s="351" t="inlineStr">
        <is>
          <t>ПС 220 кВ Звезда с заходами ВЛ 220 кВ Береговая-2-Перевал. Корректировка</t>
        </is>
      </c>
      <c r="E12" s="351" t="inlineStr">
        <is>
          <t>Строительство ПС 220кВ Восточный НХК трансформаторной мощностью 500 МВА(2х250 МВА), строительство двух одноцепных ВЛ 220 кВ Лозовая - Восточный НХК № 1, 2 ориентировочной протяженностью 30 км каждая с расширением ПС 500 кВ Лозовая на две линейные ячейки 220 кВ.</t>
        </is>
      </c>
      <c r="F12" s="327" t="n"/>
    </row>
    <row r="13" ht="31.5" customHeight="1" s="313">
      <c r="B13" s="351" t="n">
        <v>2</v>
      </c>
      <c r="C13" s="327" t="inlineStr">
        <is>
          <t>Наименование субъекта Российской Федерации</t>
        </is>
      </c>
      <c r="D13" s="351" t="inlineStr">
        <is>
          <t>Приморский край</t>
        </is>
      </c>
      <c r="E13" s="351" t="inlineStr">
        <is>
          <t>Приморский край</t>
        </is>
      </c>
      <c r="F13" s="327" t="n"/>
    </row>
    <row r="14">
      <c r="B14" s="351" t="n">
        <v>3</v>
      </c>
      <c r="C14" s="327" t="inlineStr">
        <is>
          <t>Климатический район и подрайон</t>
        </is>
      </c>
      <c r="D14" s="351" t="inlineStr">
        <is>
          <t>IIг</t>
        </is>
      </c>
      <c r="E14" s="351" t="inlineStr">
        <is>
          <t>IIг</t>
        </is>
      </c>
      <c r="F14" s="327" t="n"/>
    </row>
    <row r="15">
      <c r="B15" s="351" t="n">
        <v>4</v>
      </c>
      <c r="C15" s="327" t="inlineStr">
        <is>
          <t>Мощность объекта</t>
        </is>
      </c>
      <c r="D15" s="351" t="n">
        <v>2</v>
      </c>
      <c r="E15" s="351" t="n">
        <v>2</v>
      </c>
      <c r="F15" s="322" t="n"/>
    </row>
    <row r="16" ht="94.5" customHeight="1" s="313">
      <c r="B16" s="351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АРМ - 2 шт</t>
        </is>
      </c>
      <c r="E16" s="351" t="inlineStr">
        <is>
          <t>АРМ - 2 шт</t>
        </is>
      </c>
      <c r="F16" s="327" t="n"/>
    </row>
    <row r="17" ht="78.75" customHeight="1" s="313">
      <c r="B17" s="351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1">
        <f>SUM(D18:D21)</f>
        <v/>
      </c>
      <c r="E17" s="171">
        <f>SUM(E18:E21)</f>
        <v/>
      </c>
      <c r="F17" s="171" t="n"/>
    </row>
    <row r="18">
      <c r="B18" s="172" t="inlineStr">
        <is>
          <t>6.1</t>
        </is>
      </c>
      <c r="C18" s="327" t="inlineStr">
        <is>
          <t>строительно-монтажные работы</t>
        </is>
      </c>
      <c r="D18" s="171" t="n">
        <v>16.4629104</v>
      </c>
      <c r="E18" s="171" t="n">
        <v>11.5324</v>
      </c>
      <c r="F18" s="171" t="n"/>
    </row>
    <row r="19" ht="15.75" customHeight="1" s="313">
      <c r="B19" s="172" t="inlineStr">
        <is>
          <t>6.2</t>
        </is>
      </c>
      <c r="C19" s="327" t="inlineStr">
        <is>
          <t>оборудование и инвентарь</t>
        </is>
      </c>
      <c r="D19" s="171" t="n">
        <v>1092.93866</v>
      </c>
      <c r="E19" s="171" t="n">
        <v>340.2736</v>
      </c>
      <c r="F19" s="171" t="n"/>
    </row>
    <row r="20" ht="16.5" customHeight="1" s="313">
      <c r="B20" s="172" t="inlineStr">
        <is>
          <t>6.3</t>
        </is>
      </c>
      <c r="C20" s="327" t="inlineStr">
        <is>
          <t>пусконаладочные работы</t>
        </is>
      </c>
      <c r="D20" s="171">
        <f>D19/(146205.12*4.28)*4057.67*11.1</f>
        <v/>
      </c>
      <c r="E20" s="171">
        <f>E19/(127854.09*4.37)*7159.83*11.66</f>
        <v/>
      </c>
      <c r="F20" s="171" t="n"/>
      <c r="H20" s="173" t="n"/>
    </row>
    <row r="21" ht="35.25" customHeight="1" s="313">
      <c r="B21" s="172" t="inlineStr">
        <is>
          <t>6.4</t>
        </is>
      </c>
      <c r="C21" s="174" t="inlineStr">
        <is>
          <t>прочие и лимитированные затраты</t>
        </is>
      </c>
      <c r="D21" s="171">
        <f>D18*3.9%+(D18+D18*3.9%)*3.2%</f>
        <v/>
      </c>
      <c r="E21" s="171">
        <f>E18*3.9%+(E18+E18*3.9%)*3.2%*1*1.05</f>
        <v/>
      </c>
      <c r="F21" s="171" t="n"/>
    </row>
    <row r="22">
      <c r="B22" s="351" t="n">
        <v>7</v>
      </c>
      <c r="C22" s="174" t="inlineStr">
        <is>
          <t>Сопоставимый уровень цен</t>
        </is>
      </c>
      <c r="D22" s="351" t="inlineStr">
        <is>
          <t>3 кв 2017</t>
        </is>
      </c>
      <c r="E22" s="351" t="inlineStr">
        <is>
          <t>3 кв 2017</t>
        </is>
      </c>
      <c r="F22" s="171" t="n"/>
    </row>
    <row r="23" ht="123" customHeight="1" s="313">
      <c r="B23" s="351" t="n">
        <v>8</v>
      </c>
      <c r="C23" s="17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1">
        <f>D17</f>
        <v/>
      </c>
      <c r="E23" s="171">
        <f>E17</f>
        <v/>
      </c>
      <c r="F23" s="435" t="n"/>
    </row>
    <row r="24" ht="51" customHeight="1" s="313">
      <c r="B24" s="351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171">
        <f>D23/D15</f>
        <v/>
      </c>
      <c r="E24" s="171">
        <f>E23/E15</f>
        <v/>
      </c>
      <c r="F24" s="171" t="n"/>
    </row>
    <row r="25" ht="110.25" customHeight="1" s="313">
      <c r="B25" s="351" t="n">
        <v>10</v>
      </c>
      <c r="C25" s="327" t="inlineStr">
        <is>
          <t>Примечание</t>
        </is>
      </c>
      <c r="D25" s="327" t="n"/>
      <c r="E25" s="327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
Рекомендуемая расчетная единица  УНЦ - 1 ед.</t>
        </is>
      </c>
      <c r="F25" s="327" t="n"/>
    </row>
    <row r="26">
      <c r="B26" s="178" t="n"/>
      <c r="C26" s="179" t="n"/>
      <c r="D26" s="179" t="n"/>
      <c r="E26" s="179" t="n"/>
      <c r="F26" s="179" t="n"/>
    </row>
    <row r="27">
      <c r="B27" s="180" t="n"/>
    </row>
    <row r="28">
      <c r="B28" s="315" t="inlineStr">
        <is>
          <t>Составил ______________________        Д.Ю. Нефедова</t>
        </is>
      </c>
    </row>
    <row r="29">
      <c r="B29" s="180" t="inlineStr">
        <is>
          <t xml:space="preserve">                         (подпись, инициалы, фамилия)</t>
        </is>
      </c>
    </row>
    <row r="31">
      <c r="B31" s="315" t="inlineStr">
        <is>
          <t>Проверил ______________________        А.В. Костянецкая</t>
        </is>
      </c>
    </row>
    <row r="32">
      <c r="B32" s="180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2"/>
  <sheetViews>
    <sheetView view="pageBreakPreview" zoomScale="70" zoomScaleNormal="70" workbookViewId="0">
      <selection activeCell="C27" sqref="C27"/>
    </sheetView>
  </sheetViews>
  <sheetFormatPr baseColWidth="8" defaultColWidth="9.140625" defaultRowHeight="15.75"/>
  <cols>
    <col width="5.5703125" customWidth="1" style="315" min="1" max="1"/>
    <col width="9.140625" customWidth="1" style="315" min="2" max="2"/>
    <col width="35.28515625" customWidth="1" style="315" min="3" max="3"/>
    <col width="13.85546875" customWidth="1" style="315" min="4" max="4"/>
    <col width="24.85546875" customWidth="1" style="315" min="5" max="5"/>
    <col width="15.5703125" customWidth="1" style="315" min="6" max="6"/>
    <col width="14.85546875" customWidth="1" style="315" min="7" max="7"/>
    <col width="16.7109375" customWidth="1" style="315" min="8" max="8"/>
    <col width="13" customWidth="1" style="315" min="9" max="10"/>
    <col width="18" customWidth="1" style="315" min="11" max="11"/>
    <col width="9.140625" customWidth="1" style="315" min="12" max="12"/>
  </cols>
  <sheetData>
    <row r="3">
      <c r="B3" s="342" t="inlineStr">
        <is>
          <t>Приложение № 2</t>
        </is>
      </c>
      <c r="K3" s="180" t="n"/>
    </row>
    <row r="4">
      <c r="B4" s="343" t="inlineStr">
        <is>
          <t>Расчет стоимости основных видов работ для выбора объекта-представителя</t>
        </is>
      </c>
    </row>
    <row r="5"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  <c r="K5" s="167" t="n"/>
    </row>
    <row r="6" ht="15.75" customHeight="1" s="313">
      <c r="B6" s="350" t="inlineStr">
        <is>
          <t>Наименование разрабатываемого показателя УНЦ —  Комплекс систем безопасности ПС. АРМ персонала комплекса систем безопасности</t>
        </is>
      </c>
      <c r="K6" s="180" t="n"/>
      <c r="L6" s="181" t="n"/>
    </row>
    <row r="7">
      <c r="B7" s="345" t="inlineStr">
        <is>
          <t>Единица измерения  — 1 ед.</t>
        </is>
      </c>
      <c r="L7" s="181" t="n"/>
    </row>
    <row r="8">
      <c r="B8" s="345" t="n"/>
    </row>
    <row r="9" ht="15.75" customHeight="1" s="313"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</row>
    <row r="10" ht="15.75" customHeight="1" s="313">
      <c r="B10" s="438" t="n"/>
      <c r="C10" s="438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2016 г., тыс. руб.</t>
        </is>
      </c>
      <c r="G10" s="436" t="n"/>
      <c r="H10" s="436" t="n"/>
      <c r="I10" s="436" t="n"/>
      <c r="J10" s="437" t="n"/>
    </row>
    <row r="11" ht="31.5" customHeight="1" s="313">
      <c r="B11" s="439" t="n"/>
      <c r="C11" s="439" t="n"/>
      <c r="D11" s="439" t="n"/>
      <c r="E11" s="439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</row>
    <row r="12" ht="47.25" customHeight="1" s="313">
      <c r="B12" s="264" t="n">
        <v>1</v>
      </c>
      <c r="C12" s="281" t="inlineStr">
        <is>
          <t>АРМ - 2 шт</t>
        </is>
      </c>
      <c r="D12" s="182" t="inlineStr">
        <is>
          <t>05-01-05</t>
        </is>
      </c>
      <c r="E12" s="322" t="inlineStr">
        <is>
          <t>КСТСБ. Система охранного телевидения ПС 220 кВ Звезда</t>
        </is>
      </c>
      <c r="F12" s="183" t="n"/>
      <c r="G12" s="183" t="n">
        <v>16.4629</v>
      </c>
      <c r="H12" s="183" t="n">
        <v>1092.938</v>
      </c>
      <c r="I12" s="184" t="n"/>
      <c r="J12" s="185">
        <f>SUM(F12:I12)</f>
        <v/>
      </c>
    </row>
    <row r="13" ht="15.75" customHeight="1" s="313">
      <c r="B13" s="349" t="inlineStr">
        <is>
          <t>Всего по объекту:</t>
        </is>
      </c>
      <c r="C13" s="436" t="n"/>
      <c r="D13" s="436" t="n"/>
      <c r="E13" s="437" t="n"/>
      <c r="F13" s="186">
        <f>SUM(F12:F12)</f>
        <v/>
      </c>
      <c r="G13" s="186">
        <f>SUM(G12:G12)</f>
        <v/>
      </c>
      <c r="H13" s="186">
        <f>SUM(H12:H12)</f>
        <v/>
      </c>
      <c r="I13" s="331" t="n"/>
      <c r="J13" s="188">
        <f>SUM(F13:I13)</f>
        <v/>
      </c>
    </row>
    <row r="14" ht="28.5" customHeight="1" s="313">
      <c r="B14" s="349" t="inlineStr">
        <is>
          <t>Всего по объекту в сопоставимом уровне цен 3 кв. 2016 г:</t>
        </is>
      </c>
      <c r="C14" s="436" t="n"/>
      <c r="D14" s="436" t="n"/>
      <c r="E14" s="437" t="n"/>
      <c r="F14" s="186">
        <f>F13</f>
        <v/>
      </c>
      <c r="G14" s="186">
        <f>G13</f>
        <v/>
      </c>
      <c r="H14" s="186">
        <f>H13</f>
        <v/>
      </c>
      <c r="I14" s="331" t="n"/>
      <c r="J14" s="188">
        <f>SUM(F14:I14)</f>
        <v/>
      </c>
    </row>
    <row r="15">
      <c r="B15" s="345" t="n"/>
    </row>
    <row r="16">
      <c r="B16" s="351" t="inlineStr">
        <is>
          <t>№ п/п</t>
        </is>
      </c>
      <c r="C16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351" t="inlineStr">
        <is>
          <t>Объект-представитель 2</t>
        </is>
      </c>
      <c r="E16" s="436" t="n"/>
      <c r="F16" s="436" t="n"/>
      <c r="G16" s="436" t="n"/>
      <c r="H16" s="436" t="n"/>
      <c r="I16" s="436" t="n"/>
      <c r="J16" s="437" t="n"/>
    </row>
    <row r="17" ht="15.75" customHeight="1" s="313">
      <c r="B17" s="438" t="n"/>
      <c r="C17" s="438" t="n"/>
      <c r="D17" s="351" t="inlineStr">
        <is>
          <t>Номер сметы</t>
        </is>
      </c>
      <c r="E17" s="351" t="inlineStr">
        <is>
          <t>Наименование сметы</t>
        </is>
      </c>
      <c r="F17" s="351" t="inlineStr">
        <is>
          <t>Сметная стоимость в уровне цен 3 кв. 2017 г., тыс. руб.</t>
        </is>
      </c>
      <c r="G17" s="436" t="n"/>
      <c r="H17" s="436" t="n"/>
      <c r="I17" s="436" t="n"/>
      <c r="J17" s="437" t="n"/>
    </row>
    <row r="18" ht="31.5" customHeight="1" s="313">
      <c r="B18" s="439" t="n"/>
      <c r="C18" s="439" t="n"/>
      <c r="D18" s="439" t="n"/>
      <c r="E18" s="439" t="n"/>
      <c r="F18" s="351" t="inlineStr">
        <is>
          <t>Строительные работы</t>
        </is>
      </c>
      <c r="G18" s="351" t="inlineStr">
        <is>
          <t>Монтажные работы</t>
        </is>
      </c>
      <c r="H18" s="351" t="inlineStr">
        <is>
          <t>Оборудование</t>
        </is>
      </c>
      <c r="I18" s="351" t="inlineStr">
        <is>
          <t>Прочее</t>
        </is>
      </c>
      <c r="J18" s="351" t="inlineStr">
        <is>
          <t>Всего</t>
        </is>
      </c>
    </row>
    <row r="19" ht="68.25" customHeight="1" s="313">
      <c r="B19" s="264" t="n">
        <v>1</v>
      </c>
      <c r="C19" s="282" t="inlineStr">
        <is>
          <t>АРМ - 2 шт</t>
        </is>
      </c>
      <c r="D19" s="189" t="inlineStr">
        <is>
          <t>02-15-02</t>
        </is>
      </c>
      <c r="E19" s="327" t="inlineStr">
        <is>
          <t>Система охранное телевидиния (СОТ, СТТ) ПС 220 кВ ВНХК</t>
        </is>
      </c>
      <c r="F19" s="183" t="n"/>
      <c r="G19" s="183" t="n">
        <v>11.5324</v>
      </c>
      <c r="H19" s="183" t="n">
        <v>340.2736</v>
      </c>
      <c r="I19" s="184" t="n"/>
      <c r="J19" s="185">
        <f>SUM(F19:I19)</f>
        <v/>
      </c>
    </row>
    <row r="20" ht="15.75" customHeight="1" s="313">
      <c r="B20" s="349" t="inlineStr">
        <is>
          <t>Всего по объекту:</t>
        </is>
      </c>
      <c r="C20" s="436" t="n"/>
      <c r="D20" s="436" t="n"/>
      <c r="E20" s="437" t="n"/>
      <c r="F20" s="186" t="n"/>
      <c r="G20" s="186">
        <f>SUM(G19:G19)</f>
        <v/>
      </c>
      <c r="H20" s="186">
        <f>SUM(H19:H19)</f>
        <v/>
      </c>
      <c r="I20" s="331" t="n"/>
      <c r="J20" s="188">
        <f>SUM(F20:I20)</f>
        <v/>
      </c>
    </row>
    <row r="21" ht="28.5" customHeight="1" s="313">
      <c r="B21" s="349" t="inlineStr">
        <is>
          <t>Всего по объекту в сопоставимом уровне цен 3 кв. 2017 г:</t>
        </is>
      </c>
      <c r="C21" s="436" t="n"/>
      <c r="D21" s="436" t="n"/>
      <c r="E21" s="437" t="n"/>
      <c r="F21" s="186" t="n"/>
      <c r="G21" s="186">
        <f>G20</f>
        <v/>
      </c>
      <c r="H21" s="186">
        <f>H20</f>
        <v/>
      </c>
      <c r="I21" s="331" t="n"/>
      <c r="J21" s="188">
        <f>SUM(F21:I21)</f>
        <v/>
      </c>
    </row>
    <row r="24">
      <c r="B24" s="190" t="inlineStr">
        <is>
          <t>*</t>
        </is>
      </c>
      <c r="C24" s="315" t="inlineStr">
        <is>
          <t xml:space="preserve"> - стоимость с учетом исключения затрат на корректровку по транспортировке  свыше 30 км.</t>
        </is>
      </c>
    </row>
    <row r="28">
      <c r="B28" s="315" t="inlineStr">
        <is>
          <t>Составил ______________________        Д.Ю. Нефедова</t>
        </is>
      </c>
    </row>
    <row r="29">
      <c r="B29" s="180" t="inlineStr">
        <is>
          <t xml:space="preserve">                         (подпись, инициалы, фамилия)</t>
        </is>
      </c>
    </row>
    <row r="31">
      <c r="B31" s="315" t="inlineStr">
        <is>
          <t>Проверил ______________________        А.В. Костянецкая</t>
        </is>
      </c>
    </row>
    <row r="32">
      <c r="B32" s="180" t="inlineStr">
        <is>
          <t xml:space="preserve">                        (подпись, инициалы, фамилия)</t>
        </is>
      </c>
    </row>
  </sheetData>
  <mergeCells count="20">
    <mergeCell ref="E17:E18"/>
    <mergeCell ref="D9:J9"/>
    <mergeCell ref="F10:J10"/>
    <mergeCell ref="D17:D18"/>
    <mergeCell ref="B20:E20"/>
    <mergeCell ref="E10:E11"/>
    <mergeCell ref="B4:K4"/>
    <mergeCell ref="B7:K7"/>
    <mergeCell ref="B16:B18"/>
    <mergeCell ref="B6:J6"/>
    <mergeCell ref="F17:J17"/>
    <mergeCell ref="B21:E21"/>
    <mergeCell ref="B14:E14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47"/>
  <sheetViews>
    <sheetView view="pageBreakPreview" topLeftCell="A25" zoomScale="80" workbookViewId="0">
      <selection activeCell="C44" sqref="C44"/>
    </sheetView>
  </sheetViews>
  <sheetFormatPr baseColWidth="8" defaultColWidth="9.140625" defaultRowHeight="15.75"/>
  <cols>
    <col width="9.140625" customWidth="1" style="315" min="1" max="1"/>
    <col width="12.5703125" customWidth="1" style="315" min="2" max="2"/>
    <col width="22.42578125" customWidth="1" style="315" min="3" max="3"/>
    <col width="49.7109375" customWidth="1" style="315" min="4" max="4"/>
    <col width="10.140625" customWidth="1" style="191" min="5" max="5"/>
    <col width="20.7109375" customWidth="1" style="315" min="6" max="6"/>
    <col width="16.140625" customWidth="1" style="315" min="7" max="7"/>
    <col width="16.7109375" customWidth="1" style="315" min="8" max="8"/>
    <col width="9.140625" customWidth="1" style="315" min="9" max="9"/>
    <col width="10.28515625" customWidth="1" style="315" min="10" max="10"/>
    <col width="9.140625" customWidth="1" style="315" min="11" max="11"/>
  </cols>
  <sheetData>
    <row r="2">
      <c r="A2" s="342" t="inlineStr">
        <is>
          <t xml:space="preserve">Приложение № 3 </t>
        </is>
      </c>
    </row>
    <row r="3">
      <c r="A3" s="343" t="inlineStr">
        <is>
          <t>Объектная ресурсная ведомость</t>
        </is>
      </c>
    </row>
    <row r="4">
      <c r="A4" s="345" t="n"/>
    </row>
    <row r="5">
      <c r="A5" s="350" t="inlineStr">
        <is>
          <t>Наименование разрабатываемого показателя УНЦ - Комплекс систем безопасности ПС. АРМ персонала комплекса систем безопасности</t>
        </is>
      </c>
    </row>
    <row r="6">
      <c r="A6" s="350" t="n"/>
      <c r="B6" s="350" t="n"/>
      <c r="C6" s="350" t="n"/>
      <c r="D6" s="350" t="n"/>
      <c r="E6" s="167" t="n"/>
      <c r="F6" s="350" t="n"/>
      <c r="G6" s="350" t="n"/>
      <c r="H6" s="350" t="n"/>
    </row>
    <row r="7" s="313">
      <c r="A7" s="350" t="n"/>
      <c r="B7" s="350" t="n"/>
      <c r="C7" s="350" t="n"/>
      <c r="D7" s="350" t="n"/>
      <c r="E7" s="167" t="n"/>
      <c r="F7" s="350" t="n"/>
      <c r="G7" s="350" t="n"/>
      <c r="H7" s="350" t="n"/>
      <c r="I7" s="315" t="n"/>
      <c r="J7" s="315" t="n"/>
      <c r="K7" s="315" t="n"/>
    </row>
    <row r="8" s="313">
      <c r="A8" s="350" t="n"/>
      <c r="B8" s="350" t="n"/>
      <c r="C8" s="350" t="n"/>
      <c r="D8" s="350" t="n"/>
      <c r="E8" s="167" t="n"/>
      <c r="F8" s="350" t="n"/>
      <c r="G8" s="350" t="n"/>
      <c r="H8" s="350" t="n"/>
      <c r="I8" s="315" t="n"/>
      <c r="J8" s="315" t="n"/>
      <c r="K8" s="315" t="n"/>
    </row>
    <row r="9" s="313">
      <c r="A9" s="350" t="n"/>
      <c r="B9" s="350" t="n"/>
      <c r="C9" s="350" t="n"/>
      <c r="D9" s="350" t="n"/>
      <c r="E9" s="167" t="n"/>
      <c r="F9" s="350" t="n"/>
      <c r="G9" s="350" t="n"/>
      <c r="H9" s="350" t="n"/>
      <c r="I9" s="315" t="n"/>
      <c r="J9" s="315" t="n"/>
      <c r="K9" s="315" t="n"/>
    </row>
    <row r="10" s="313">
      <c r="A10" s="350" t="n"/>
      <c r="B10" s="350" t="n"/>
      <c r="C10" s="350" t="n"/>
      <c r="D10" s="350" t="n"/>
      <c r="E10" s="167" t="n"/>
      <c r="F10" s="350" t="n"/>
      <c r="G10" s="350" t="n"/>
      <c r="H10" s="350" t="n"/>
      <c r="I10" s="315" t="n"/>
      <c r="J10" s="315" t="n"/>
      <c r="K10" s="315" t="n"/>
    </row>
    <row r="11" ht="38.25" customHeight="1" s="313">
      <c r="A11" s="351" t="inlineStr">
        <is>
          <t>п/п</t>
        </is>
      </c>
      <c r="B11" s="351" t="inlineStr">
        <is>
          <t>№ЛСР</t>
        </is>
      </c>
      <c r="C11" s="351" t="inlineStr">
        <is>
          <t>Код ресурса</t>
        </is>
      </c>
      <c r="D11" s="351" t="inlineStr">
        <is>
          <t>Наименование ресурса</t>
        </is>
      </c>
      <c r="E11" s="351" t="inlineStr">
        <is>
          <t>Ед. изм.</t>
        </is>
      </c>
      <c r="F11" s="351" t="inlineStr">
        <is>
          <t>Кол-во единиц по данным объекта-представителя</t>
        </is>
      </c>
      <c r="G11" s="351" t="inlineStr">
        <is>
          <t>Сметная стоимость в ценах на 01.01.2000 (руб.)</t>
        </is>
      </c>
      <c r="H11" s="437" t="n"/>
    </row>
    <row r="12" ht="40.5" customHeight="1" s="313">
      <c r="A12" s="439" t="n"/>
      <c r="B12" s="439" t="n"/>
      <c r="C12" s="439" t="n"/>
      <c r="D12" s="439" t="n"/>
      <c r="E12" s="439" t="n"/>
      <c r="F12" s="439" t="n"/>
      <c r="G12" s="351" t="inlineStr">
        <is>
          <t>на ед.изм.</t>
        </is>
      </c>
      <c r="H12" s="351" t="inlineStr">
        <is>
          <t>общая</t>
        </is>
      </c>
    </row>
    <row r="13">
      <c r="A13" s="281" t="n">
        <v>1</v>
      </c>
      <c r="B13" s="281" t="n"/>
      <c r="C13" s="281" t="n">
        <v>2</v>
      </c>
      <c r="D13" s="281" t="inlineStr">
        <is>
          <t>З</t>
        </is>
      </c>
      <c r="E13" s="281" t="n">
        <v>4</v>
      </c>
      <c r="F13" s="281" t="n">
        <v>5</v>
      </c>
      <c r="G13" s="281" t="n">
        <v>6</v>
      </c>
      <c r="H13" s="281" t="n">
        <v>7</v>
      </c>
    </row>
    <row r="14" customFormat="1" s="304">
      <c r="A14" s="355" t="inlineStr">
        <is>
          <t>Затраты труда рабочих</t>
        </is>
      </c>
      <c r="B14" s="436" t="n"/>
      <c r="C14" s="436" t="n"/>
      <c r="D14" s="436" t="n"/>
      <c r="E14" s="437" t="n"/>
      <c r="F14" s="194" t="n">
        <v>112.36</v>
      </c>
      <c r="G14" s="194" t="n"/>
      <c r="H14" s="194">
        <f>SUM(H15:H16)</f>
        <v/>
      </c>
      <c r="I14" s="315" t="n"/>
      <c r="J14" s="315" t="n"/>
      <c r="K14" s="315" t="n"/>
      <c r="L14" s="315" t="n"/>
      <c r="M14" s="315" t="n"/>
    </row>
    <row r="15">
      <c r="A15" s="356" t="n">
        <v>1</v>
      </c>
      <c r="B15" s="197" t="inlineStr">
        <is>
          <t> </t>
        </is>
      </c>
      <c r="C15" s="198" t="inlineStr">
        <is>
          <t>1-4-0</t>
        </is>
      </c>
      <c r="D15" s="357" t="inlineStr">
        <is>
          <t>Затраты труда рабочих (ср 4)</t>
        </is>
      </c>
      <c r="E15" s="200" t="inlineStr">
        <is>
          <t>чел.-ч</t>
        </is>
      </c>
      <c r="F15" s="356" t="n">
        <v>100</v>
      </c>
      <c r="G15" s="201" t="n">
        <v>9.619999999999999</v>
      </c>
      <c r="H15" s="201">
        <f>ROUND(F15*G15,2)</f>
        <v/>
      </c>
    </row>
    <row r="16">
      <c r="A16" s="356" t="n">
        <v>2</v>
      </c>
      <c r="B16" s="197" t="inlineStr">
        <is>
          <t> </t>
        </is>
      </c>
      <c r="C16" s="198" t="inlineStr">
        <is>
          <t>1-3-0</t>
        </is>
      </c>
      <c r="D16" s="357" t="inlineStr">
        <is>
          <t>Затраты труда рабочих (ср 3)</t>
        </is>
      </c>
      <c r="E16" s="200" t="inlineStr">
        <is>
          <t>чел.-ч</t>
        </is>
      </c>
      <c r="F16" s="356" t="n">
        <v>12.36</v>
      </c>
      <c r="G16" s="201" t="n">
        <v>8.529999999999999</v>
      </c>
      <c r="H16" s="201">
        <f>ROUND(F16*G16,2)</f>
        <v/>
      </c>
    </row>
    <row r="17">
      <c r="A17" s="355" t="inlineStr">
        <is>
          <t>Затраты труда машинистов</t>
        </is>
      </c>
      <c r="B17" s="436" t="n"/>
      <c r="C17" s="436" t="n"/>
      <c r="D17" s="436" t="n"/>
      <c r="E17" s="437" t="n"/>
      <c r="F17" s="355" t="n">
        <v>2.02</v>
      </c>
      <c r="G17" s="194" t="n"/>
      <c r="H17" s="194">
        <f>H18</f>
        <v/>
      </c>
    </row>
    <row r="18">
      <c r="A18" s="356" t="n">
        <v>3</v>
      </c>
      <c r="B18" s="356" t="inlineStr">
        <is>
          <t> </t>
        </is>
      </c>
      <c r="C18" s="333" t="n">
        <v>2</v>
      </c>
      <c r="D18" s="357" t="inlineStr">
        <is>
          <t>Затраты труда машинистов</t>
        </is>
      </c>
      <c r="E18" s="200" t="inlineStr">
        <is>
          <t>чел.-ч</t>
        </is>
      </c>
      <c r="F18" s="356" t="n">
        <v>2.02</v>
      </c>
      <c r="G18" s="201" t="n"/>
      <c r="H18" s="201" t="n">
        <v>23.28</v>
      </c>
    </row>
    <row r="19" customFormat="1" s="304">
      <c r="A19" s="355" t="inlineStr">
        <is>
          <t>Машины и механизмы</t>
        </is>
      </c>
      <c r="B19" s="436" t="n"/>
      <c r="C19" s="436" t="n"/>
      <c r="D19" s="436" t="n"/>
      <c r="E19" s="437" t="n"/>
      <c r="F19" s="355" t="n"/>
      <c r="G19" s="194" t="n"/>
      <c r="H19" s="194">
        <f>SUM(H20:H21)</f>
        <v/>
      </c>
      <c r="I19" s="315" t="n"/>
      <c r="J19" s="315" t="n"/>
      <c r="K19" s="315" t="n"/>
      <c r="L19" s="315" t="n"/>
      <c r="M19" s="315" t="n"/>
    </row>
    <row r="20">
      <c r="A20" s="356" t="n">
        <v>4</v>
      </c>
      <c r="B20" s="356" t="inlineStr">
        <is>
          <t> </t>
        </is>
      </c>
      <c r="C20" s="333" t="inlineStr">
        <is>
          <t>91.14.02-001</t>
        </is>
      </c>
      <c r="D20" s="357" t="inlineStr">
        <is>
          <t>Автомобили бортовые, грузоподъемность до 5 т</t>
        </is>
      </c>
      <c r="E20" s="200" t="inlineStr">
        <is>
          <t>маш.час</t>
        </is>
      </c>
      <c r="F20" s="356" t="n">
        <v>1.92</v>
      </c>
      <c r="G20" s="201" t="n">
        <v>65.70999999999999</v>
      </c>
      <c r="H20" s="201">
        <f>ROUND(F20*G20,2)</f>
        <v/>
      </c>
    </row>
    <row r="21" customFormat="1" s="304">
      <c r="A21" s="356" t="n">
        <v>5</v>
      </c>
      <c r="B21" s="356" t="inlineStr">
        <is>
          <t> </t>
        </is>
      </c>
      <c r="C21" s="333" t="inlineStr">
        <is>
          <t>91.06.05-011</t>
        </is>
      </c>
      <c r="D21" s="357" t="inlineStr">
        <is>
          <t>Погрузчики, грузоподъемность 5 т</t>
        </is>
      </c>
      <c r="E21" s="200" t="inlineStr">
        <is>
          <t>маш.час</t>
        </is>
      </c>
      <c r="F21" s="356" t="n">
        <v>0.1</v>
      </c>
      <c r="G21" s="201" t="n">
        <v>89.98999999999999</v>
      </c>
      <c r="H21" s="201">
        <f>ROUND(F21*G21,2)</f>
        <v/>
      </c>
      <c r="I21" s="315" t="n"/>
      <c r="J21" s="315" t="n"/>
      <c r="K21" s="315" t="n"/>
      <c r="L21" s="315" t="n"/>
      <c r="M21" s="315" t="n"/>
    </row>
    <row r="22">
      <c r="A22" s="355" t="inlineStr">
        <is>
          <t>Оборудование</t>
        </is>
      </c>
      <c r="B22" s="436" t="n"/>
      <c r="C22" s="436" t="n"/>
      <c r="D22" s="436" t="n"/>
      <c r="E22" s="437" t="n"/>
      <c r="F22" s="355" t="n"/>
      <c r="G22" s="194" t="n"/>
      <c r="H22" s="194">
        <f>SUM(H23:H23)</f>
        <v/>
      </c>
    </row>
    <row r="23" ht="94.5" customFormat="1" customHeight="1" s="304">
      <c r="A23" s="356" t="n">
        <v>6</v>
      </c>
      <c r="B23" s="356" t="inlineStr">
        <is>
          <t> </t>
        </is>
      </c>
      <c r="C23" s="333" t="inlineStr">
        <is>
          <t>Прайс из СД ОП</t>
        </is>
      </c>
      <c r="D23" s="357" t="inlineStr">
        <is>
          <t>Рабочая станция HP T4K63EA Z840 / Win10p64DowngradeWin764 / 16GB DDR4-2400 (2x8GB) / 1TB 7200 / E5-2620v4 2.1 2133 / 3yw / SuperMultiODD / USBBusinessSlimkbd / USBmouse / MCR / T7T60AA NVIDIA Quadro M2000 4GB Graphics   HP Z840</t>
        </is>
      </c>
      <c r="E23" s="200" t="inlineStr">
        <is>
          <t>шт</t>
        </is>
      </c>
      <c r="F23" s="356" t="n">
        <v>2</v>
      </c>
      <c r="G23" s="201" t="n">
        <v>38932.91</v>
      </c>
      <c r="H23" s="201">
        <f>ROUND(F23*G23,2)</f>
        <v/>
      </c>
      <c r="I23" s="315" t="n"/>
      <c r="J23" s="315" t="n"/>
      <c r="K23" s="315" t="n"/>
      <c r="L23" s="315" t="n"/>
      <c r="M23" s="315" t="n"/>
    </row>
    <row r="24">
      <c r="A24" s="355" t="inlineStr">
        <is>
          <t>Материалы</t>
        </is>
      </c>
      <c r="B24" s="436" t="n"/>
      <c r="C24" s="436" t="n"/>
      <c r="D24" s="436" t="n"/>
      <c r="E24" s="437" t="n"/>
      <c r="F24" s="355" t="n"/>
      <c r="G24" s="194" t="n"/>
      <c r="H24" s="194">
        <f>SUM(H25:H40)</f>
        <v/>
      </c>
    </row>
    <row r="25" ht="31.5" customHeight="1" s="313">
      <c r="A25" s="356" t="n">
        <v>7</v>
      </c>
      <c r="B25" s="356" t="inlineStr">
        <is>
          <t> </t>
        </is>
      </c>
      <c r="C25" s="333" t="inlineStr">
        <is>
          <t>14.3.02.01-0219</t>
        </is>
      </c>
      <c r="D25" s="357" t="inlineStr">
        <is>
          <t>Краска универсальная, акриловая для внутренних и наружных работ</t>
        </is>
      </c>
      <c r="E25" s="200" t="inlineStr">
        <is>
          <t>т</t>
        </is>
      </c>
      <c r="F25" s="356" t="n">
        <v>0.012</v>
      </c>
      <c r="G25" s="201" t="n">
        <v>15481</v>
      </c>
      <c r="H25" s="201">
        <f>ROUND(F25*G25,2)</f>
        <v/>
      </c>
    </row>
    <row r="26" ht="47.25" customHeight="1" s="313">
      <c r="A26" s="356" t="n">
        <v>8</v>
      </c>
      <c r="B26" s="356" t="inlineStr">
        <is>
          <t> </t>
        </is>
      </c>
      <c r="C26" s="333" t="inlineStr">
        <is>
          <t>21.2.02.01-0023</t>
        </is>
      </c>
      <c r="D26" s="357" t="inlineStr">
        <is>
          <t>Провод неизолированный медный гибкий для электрических установок и антенн, марка МГ, сечение 4 мм2</t>
        </is>
      </c>
      <c r="E26" s="200" t="inlineStr">
        <is>
          <t>т</t>
        </is>
      </c>
      <c r="F26" s="356" t="n">
        <v>0.0008</v>
      </c>
      <c r="G26" s="201" t="n">
        <v>75162.28999999999</v>
      </c>
      <c r="H26" s="201">
        <f>ROUND(F26*G26,2)</f>
        <v/>
      </c>
    </row>
    <row r="27">
      <c r="A27" s="356" t="n">
        <v>9</v>
      </c>
      <c r="B27" s="356" t="inlineStr">
        <is>
          <t> </t>
        </is>
      </c>
      <c r="C27" s="333" t="inlineStr">
        <is>
          <t>01.7.20.04-0003</t>
        </is>
      </c>
      <c r="D27" s="357" t="inlineStr">
        <is>
          <t>Нитки суровые</t>
        </is>
      </c>
      <c r="E27" s="200" t="inlineStr">
        <is>
          <t>кг</t>
        </is>
      </c>
      <c r="F27" s="356" t="n">
        <v>0.3</v>
      </c>
      <c r="G27" s="201" t="n">
        <v>155</v>
      </c>
      <c r="H27" s="201">
        <f>ROUND(F27*G27,2)</f>
        <v/>
      </c>
    </row>
    <row r="28">
      <c r="A28" s="356" t="n">
        <v>10</v>
      </c>
      <c r="B28" s="356" t="inlineStr">
        <is>
          <t> </t>
        </is>
      </c>
      <c r="C28" s="333" t="inlineStr">
        <is>
          <t>20.2.10.03-0020</t>
        </is>
      </c>
      <c r="D28" s="357" t="inlineStr">
        <is>
          <t>Наконечники кабельные П2.5-4Д-МУ3</t>
        </is>
      </c>
      <c r="E28" s="200" t="inlineStr">
        <is>
          <t>100 шт</t>
        </is>
      </c>
      <c r="F28" s="356" t="n">
        <v>0.2</v>
      </c>
      <c r="G28" s="201" t="n">
        <v>203</v>
      </c>
      <c r="H28" s="201">
        <f>ROUND(F28*G28,2)</f>
        <v/>
      </c>
    </row>
    <row r="29" ht="31.5" customHeight="1" s="313">
      <c r="A29" s="356" t="n">
        <v>11</v>
      </c>
      <c r="B29" s="356" t="inlineStr">
        <is>
          <t> </t>
        </is>
      </c>
      <c r="C29" s="333" t="inlineStr">
        <is>
          <t>01.7.15.02-0084</t>
        </is>
      </c>
      <c r="D29" s="357" t="inlineStr">
        <is>
          <t>Болты с шестигранной головкой, диаметр 12 (14) мм</t>
        </is>
      </c>
      <c r="E29" s="200" t="inlineStr">
        <is>
          <t>т</t>
        </is>
      </c>
      <c r="F29" s="356" t="n">
        <v>0.00194</v>
      </c>
      <c r="G29" s="201" t="n">
        <v>12606</v>
      </c>
      <c r="H29" s="201">
        <f>ROUND(F29*G29,2)</f>
        <v/>
      </c>
    </row>
    <row r="30" ht="31.5" customHeight="1" s="313">
      <c r="A30" s="356" t="n">
        <v>12</v>
      </c>
      <c r="B30" s="356" t="inlineStr">
        <is>
          <t> </t>
        </is>
      </c>
      <c r="C30" s="333" t="inlineStr">
        <is>
          <t>999-9950</t>
        </is>
      </c>
      <c r="D30" s="357" t="inlineStr">
        <is>
          <t>Вспомогательные ненормируемые ресурсы (2% от Оплаты труда рабочих)</t>
        </is>
      </c>
      <c r="E30" s="200" t="inlineStr">
        <is>
          <t>руб</t>
        </is>
      </c>
      <c r="F30" s="356" t="n">
        <v>21.4</v>
      </c>
      <c r="G30" s="201" t="n">
        <v>1</v>
      </c>
      <c r="H30" s="201">
        <f>ROUND(F30*G30,2)</f>
        <v/>
      </c>
    </row>
    <row r="31" ht="31.5" customHeight="1" s="313">
      <c r="A31" s="356" t="n">
        <v>13</v>
      </c>
      <c r="B31" s="356" t="inlineStr">
        <is>
          <t> </t>
        </is>
      </c>
      <c r="C31" s="333" t="inlineStr">
        <is>
          <t>10.2.02.08-0001</t>
        </is>
      </c>
      <c r="D31" s="357" t="inlineStr">
        <is>
          <t>Проволока медная, круглая, мягкая, электротехническая, диаметр 1,0-3,0 мм и выше</t>
        </is>
      </c>
      <c r="E31" s="200" t="inlineStr">
        <is>
          <t>т</t>
        </is>
      </c>
      <c r="F31" s="356" t="n">
        <v>0.00056</v>
      </c>
      <c r="G31" s="201" t="n">
        <v>37517</v>
      </c>
      <c r="H31" s="201">
        <f>ROUND(F31*G31,2)</f>
        <v/>
      </c>
    </row>
    <row r="32">
      <c r="A32" s="356" t="n">
        <v>14</v>
      </c>
      <c r="B32" s="356" t="inlineStr">
        <is>
          <t> </t>
        </is>
      </c>
      <c r="C32" s="333" t="inlineStr">
        <is>
          <t>14.4.03.02-0011</t>
        </is>
      </c>
      <c r="D32" s="357" t="inlineStr">
        <is>
          <t>Лак бакелитовый ЛБС-1, ЛБС-2</t>
        </is>
      </c>
      <c r="E32" s="200" t="inlineStr">
        <is>
          <t>т</t>
        </is>
      </c>
      <c r="F32" s="356" t="n">
        <v>0.00036</v>
      </c>
      <c r="G32" s="201" t="n">
        <v>42700.01</v>
      </c>
      <c r="H32" s="201">
        <f>ROUND(F32*G32,2)</f>
        <v/>
      </c>
    </row>
    <row r="33" ht="31.5" customHeight="1" s="313">
      <c r="A33" s="356" t="n">
        <v>15</v>
      </c>
      <c r="B33" s="356" t="inlineStr">
        <is>
          <t> </t>
        </is>
      </c>
      <c r="C33" s="333" t="inlineStr">
        <is>
          <t>10.3.02.03-0013</t>
        </is>
      </c>
      <c r="D33" s="357" t="inlineStr">
        <is>
          <t>Припои оловянно-свинцовые бессурьмянистые, марка ПОС61</t>
        </is>
      </c>
      <c r="E33" s="200" t="inlineStr">
        <is>
          <t>т</t>
        </is>
      </c>
      <c r="F33" s="356" t="n">
        <v>0.00012</v>
      </c>
      <c r="G33" s="201" t="n">
        <v>114220</v>
      </c>
      <c r="H33" s="201">
        <f>ROUND(F33*G33,2)</f>
        <v/>
      </c>
    </row>
    <row r="34">
      <c r="A34" s="356" t="n">
        <v>16</v>
      </c>
      <c r="B34" s="356" t="inlineStr">
        <is>
          <t> </t>
        </is>
      </c>
      <c r="C34" s="333" t="inlineStr">
        <is>
          <t>01.7.19.07-0003</t>
        </is>
      </c>
      <c r="D34" s="357" t="inlineStr">
        <is>
          <t>Резина прессованная</t>
        </is>
      </c>
      <c r="E34" s="200" t="inlineStr">
        <is>
          <t>кг</t>
        </is>
      </c>
      <c r="F34" s="356" t="n">
        <v>0.24</v>
      </c>
      <c r="G34" s="201" t="n">
        <v>28.26</v>
      </c>
      <c r="H34" s="201">
        <f>ROUND(F34*G34,2)</f>
        <v/>
      </c>
    </row>
    <row r="35">
      <c r="A35" s="356" t="n">
        <v>17</v>
      </c>
      <c r="B35" s="356" t="inlineStr">
        <is>
          <t> </t>
        </is>
      </c>
      <c r="C35" s="333" t="inlineStr">
        <is>
          <t>01.7.11.06-0028</t>
        </is>
      </c>
      <c r="D35" s="357" t="inlineStr">
        <is>
          <t>Флюс ФКДТ</t>
        </is>
      </c>
      <c r="E35" s="200" t="inlineStr">
        <is>
          <t>кг</t>
        </is>
      </c>
      <c r="F35" s="356" t="n">
        <v>0.037</v>
      </c>
      <c r="G35" s="201" t="n">
        <v>138.76</v>
      </c>
      <c r="H35" s="201">
        <f>ROUND(F35*G35,2)</f>
        <v/>
      </c>
    </row>
    <row r="36" ht="47.25" customHeight="1" s="313">
      <c r="A36" s="356" t="n">
        <v>18</v>
      </c>
      <c r="B36" s="356" t="inlineStr">
        <is>
          <t> </t>
        </is>
      </c>
      <c r="C36" s="333" t="inlineStr">
        <is>
          <t>01.7.05.03-0006</t>
        </is>
      </c>
      <c r="D36" s="357" t="inlineStr">
        <is>
          <t>Лакоткани стеклянные ЛСК-155/180, ширина 690, 790, 890, 940, 990, 1060, 1140 мм, толщина 0,08 мм</t>
        </is>
      </c>
      <c r="E36" s="200" t="inlineStr">
        <is>
          <t>10 м2</t>
        </is>
      </c>
      <c r="F36" s="356" t="n">
        <v>0.006</v>
      </c>
      <c r="G36" s="201" t="n">
        <v>405.22</v>
      </c>
      <c r="H36" s="201">
        <f>ROUND(F36*G36,2)</f>
        <v/>
      </c>
    </row>
    <row r="37">
      <c r="A37" s="356" t="n">
        <v>19</v>
      </c>
      <c r="B37" s="356" t="inlineStr">
        <is>
          <t> </t>
        </is>
      </c>
      <c r="C37" s="333" t="inlineStr">
        <is>
          <t>01.7.06.03-0023</t>
        </is>
      </c>
      <c r="D37" s="357" t="inlineStr">
        <is>
          <t>Лента полиэтиленовая с липким слоем, марка А</t>
        </is>
      </c>
      <c r="E37" s="200" t="inlineStr">
        <is>
          <t>кг</t>
        </is>
      </c>
      <c r="F37" s="356" t="n">
        <v>0.052</v>
      </c>
      <c r="G37" s="201" t="n">
        <v>39.02</v>
      </c>
      <c r="H37" s="201">
        <f>ROUND(F37*G37,2)</f>
        <v/>
      </c>
    </row>
    <row r="38" ht="31.5" customHeight="1" s="313">
      <c r="A38" s="356" t="n">
        <v>20</v>
      </c>
      <c r="B38" s="356" t="inlineStr">
        <is>
          <t> </t>
        </is>
      </c>
      <c r="C38" s="333" t="inlineStr">
        <is>
          <t>24.3.01.01-0004</t>
        </is>
      </c>
      <c r="D38" s="357" t="inlineStr">
        <is>
          <t>Трубка электроизоляционная ПВХ-305, диаметр 6-10 мм</t>
        </is>
      </c>
      <c r="E38" s="200" t="inlineStr">
        <is>
          <t>кг</t>
        </is>
      </c>
      <c r="F38" s="356" t="n">
        <v>0.04</v>
      </c>
      <c r="G38" s="201" t="n">
        <v>38.34</v>
      </c>
      <c r="H38" s="201">
        <f>ROUND(F38*G38,2)</f>
        <v/>
      </c>
    </row>
    <row r="39" ht="31.5" customHeight="1" s="313">
      <c r="A39" s="356" t="n">
        <v>21</v>
      </c>
      <c r="B39" s="356" t="inlineStr">
        <is>
          <t> </t>
        </is>
      </c>
      <c r="C39" s="333" t="inlineStr">
        <is>
          <t>01.7.07.03-0007</t>
        </is>
      </c>
      <c r="D39" s="357" t="inlineStr">
        <is>
          <t>Воск полиэтиленовый неокисленный ПВ-25, ПВ-100, ПВ-200, ПВ-300, ПВ-500</t>
        </is>
      </c>
      <c r="E39" s="200" t="inlineStr">
        <is>
          <t>т</t>
        </is>
      </c>
      <c r="F39" s="356" t="n">
        <v>4.8e-05</v>
      </c>
      <c r="G39" s="201" t="n">
        <v>22419</v>
      </c>
      <c r="H39" s="201">
        <f>ROUND(F39*G39,2)</f>
        <v/>
      </c>
      <c r="J39" s="165" t="n"/>
    </row>
    <row r="40">
      <c r="A40" s="356" t="n">
        <v>22</v>
      </c>
      <c r="B40" s="356" t="inlineStr">
        <is>
          <t> </t>
        </is>
      </c>
      <c r="C40" s="333" t="inlineStr">
        <is>
          <t>999-0005</t>
        </is>
      </c>
      <c r="D40" s="357" t="inlineStr">
        <is>
          <t>Масса</t>
        </is>
      </c>
      <c r="E40" s="200" t="inlineStr">
        <is>
          <t>т</t>
        </is>
      </c>
      <c r="F40" s="356" t="n">
        <v>0.35</v>
      </c>
      <c r="G40" s="201" t="n"/>
      <c r="H40" s="201">
        <f>ROUND(F40*G40,2)</f>
        <v/>
      </c>
      <c r="J40" s="165" t="n"/>
    </row>
    <row r="43">
      <c r="B43" s="315" t="inlineStr">
        <is>
          <t>Составил ______________________        Д.Ю. Нефедова</t>
        </is>
      </c>
    </row>
    <row r="44">
      <c r="B44" s="180" t="inlineStr">
        <is>
          <t xml:space="preserve">                         (подпись, инициалы, фамилия)</t>
        </is>
      </c>
    </row>
    <row r="46">
      <c r="B46" s="315" t="inlineStr">
        <is>
          <t>Проверил ______________________        А.В. Костянецкая</t>
        </is>
      </c>
    </row>
    <row r="47">
      <c r="B47" s="180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A14:E14"/>
    <mergeCell ref="A2:H2"/>
    <mergeCell ref="G11:H11"/>
    <mergeCell ref="A19:E19"/>
    <mergeCell ref="B11:B12"/>
    <mergeCell ref="C11:C12"/>
    <mergeCell ref="D11:D12"/>
    <mergeCell ref="A5:H5"/>
    <mergeCell ref="E11:E12"/>
    <mergeCell ref="A22:E22"/>
    <mergeCell ref="A17:E17"/>
    <mergeCell ref="A11:A12"/>
    <mergeCell ref="F11:F1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313" min="1" max="1"/>
    <col width="36.28515625" customWidth="1" style="313" min="2" max="2"/>
    <col width="18.85546875" customWidth="1" style="313" min="3" max="3"/>
    <col width="18.28515625" customWidth="1" style="313" min="4" max="4"/>
    <col width="18.85546875" customWidth="1" style="313" min="5" max="5"/>
    <col width="11.42578125" customWidth="1" style="313" min="6" max="6"/>
    <col width="9.140625" customWidth="1" style="313" min="7" max="10"/>
    <col width="13.5703125" customWidth="1" style="313" min="11" max="11"/>
    <col width="9.140625" customWidth="1" style="313" min="12" max="12"/>
  </cols>
  <sheetData>
    <row r="1">
      <c r="B1" s="309" t="n"/>
      <c r="C1" s="309" t="n"/>
      <c r="D1" s="309" t="n"/>
      <c r="E1" s="309" t="n"/>
    </row>
    <row r="2">
      <c r="B2" s="309" t="n"/>
      <c r="C2" s="309" t="n"/>
      <c r="D2" s="309" t="n"/>
      <c r="E2" s="384" t="inlineStr">
        <is>
          <t>Приложение № 4</t>
        </is>
      </c>
    </row>
    <row r="3">
      <c r="B3" s="309" t="n"/>
      <c r="C3" s="309" t="n"/>
      <c r="D3" s="309" t="n"/>
      <c r="E3" s="309" t="n"/>
    </row>
    <row r="4">
      <c r="B4" s="309" t="n"/>
      <c r="C4" s="309" t="n"/>
      <c r="D4" s="309" t="n"/>
      <c r="E4" s="309" t="n"/>
    </row>
    <row r="5">
      <c r="B5" s="335" t="inlineStr">
        <is>
          <t>Ресурсная модель</t>
        </is>
      </c>
    </row>
    <row r="6">
      <c r="B6" s="162" t="n"/>
      <c r="C6" s="309" t="n"/>
      <c r="D6" s="309" t="n"/>
      <c r="E6" s="309" t="n"/>
    </row>
    <row r="7" ht="25.5" customHeight="1" s="313">
      <c r="B7" s="348" t="inlineStr">
        <is>
          <t>Наименование разрабатываемого показателя УНЦ — Комплекс систем безопасности ПС. АРМ персонала комплекса систем безопасности</t>
        </is>
      </c>
    </row>
    <row r="8">
      <c r="B8" s="358" t="inlineStr">
        <is>
          <t>Единица измерения  — 1 ед.</t>
        </is>
      </c>
    </row>
    <row r="9">
      <c r="B9" s="162" t="n"/>
      <c r="C9" s="309" t="n"/>
      <c r="D9" s="309" t="n"/>
      <c r="E9" s="309" t="n"/>
    </row>
    <row r="10" ht="51" customHeight="1" s="313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52" t="inlineStr">
        <is>
          <t>Оплата труда рабочих</t>
        </is>
      </c>
      <c r="C11" s="279">
        <f>'Прил.5 Расчет СМР и ОБ'!J14</f>
        <v/>
      </c>
      <c r="D11" s="161">
        <f>C11/$C$24</f>
        <v/>
      </c>
      <c r="E11" s="161">
        <f>C11/$C$40</f>
        <v/>
      </c>
    </row>
    <row r="12">
      <c r="B12" s="252" t="inlineStr">
        <is>
          <t>Эксплуатация машин основных</t>
        </is>
      </c>
      <c r="C12" s="279">
        <f>'Прил.5 Расчет СМР и ОБ'!J20</f>
        <v/>
      </c>
      <c r="D12" s="161">
        <f>C12/$C$24</f>
        <v/>
      </c>
      <c r="E12" s="161">
        <f>C12/$C$40</f>
        <v/>
      </c>
    </row>
    <row r="13">
      <c r="B13" s="252" t="inlineStr">
        <is>
          <t>Эксплуатация машин прочих</t>
        </is>
      </c>
      <c r="C13" s="279">
        <f>'Прил.5 Расчет СМР и ОБ'!J22</f>
        <v/>
      </c>
      <c r="D13" s="161">
        <f>C13/$C$24</f>
        <v/>
      </c>
      <c r="E13" s="161">
        <f>C13/$C$40</f>
        <v/>
      </c>
    </row>
    <row r="14">
      <c r="B14" s="252" t="inlineStr">
        <is>
          <t>ЭКСПЛУАТАЦИЯ МАШИН, ВСЕГО:</t>
        </is>
      </c>
      <c r="C14" s="279">
        <f>C13+C12</f>
        <v/>
      </c>
      <c r="D14" s="161">
        <f>C14/$C$24</f>
        <v/>
      </c>
      <c r="E14" s="161">
        <f>C14/$C$40</f>
        <v/>
      </c>
    </row>
    <row r="15">
      <c r="B15" s="252" t="inlineStr">
        <is>
          <t>в том числе зарплата машинистов</t>
        </is>
      </c>
      <c r="C15" s="279">
        <f>'Прил.5 Расчет СМР и ОБ'!J16</f>
        <v/>
      </c>
      <c r="D15" s="161">
        <f>C15/$C$24</f>
        <v/>
      </c>
      <c r="E15" s="161">
        <f>C15/$C$40</f>
        <v/>
      </c>
    </row>
    <row r="16">
      <c r="B16" s="252" t="inlineStr">
        <is>
          <t>Материалы основные</t>
        </is>
      </c>
      <c r="C16" s="279">
        <f>'Прил.5 Расчет СМР и ОБ'!J40</f>
        <v/>
      </c>
      <c r="D16" s="161">
        <f>C16/$C$24</f>
        <v/>
      </c>
      <c r="E16" s="161">
        <f>C16/$C$40</f>
        <v/>
      </c>
    </row>
    <row r="17">
      <c r="B17" s="252" t="inlineStr">
        <is>
          <t>Материалы прочие</t>
        </is>
      </c>
      <c r="C17" s="279">
        <f>'Прил.5 Расчет СМР и ОБ'!J50</f>
        <v/>
      </c>
      <c r="D17" s="161">
        <f>C17/$C$24</f>
        <v/>
      </c>
      <c r="E17" s="161">
        <f>C17/$C$40</f>
        <v/>
      </c>
    </row>
    <row r="18">
      <c r="B18" s="252" t="inlineStr">
        <is>
          <t>МАТЕРИАЛЫ, ВСЕГО:</t>
        </is>
      </c>
      <c r="C18" s="279">
        <f>C17+C16</f>
        <v/>
      </c>
      <c r="D18" s="161">
        <f>C18/$C$24</f>
        <v/>
      </c>
      <c r="E18" s="161">
        <f>C18/$C$40</f>
        <v/>
      </c>
    </row>
    <row r="19">
      <c r="B19" s="252" t="inlineStr">
        <is>
          <t>ИТОГО</t>
        </is>
      </c>
      <c r="C19" s="279">
        <f>C18+C14+C11</f>
        <v/>
      </c>
      <c r="D19" s="161" t="n"/>
      <c r="E19" s="252" t="n"/>
    </row>
    <row r="20">
      <c r="B20" s="252" t="inlineStr">
        <is>
          <t>Сметная прибыль, руб.</t>
        </is>
      </c>
      <c r="C20" s="279">
        <f>ROUND(C21*(C11+C15),2)</f>
        <v/>
      </c>
      <c r="D20" s="161">
        <f>C20/$C$24</f>
        <v/>
      </c>
      <c r="E20" s="161">
        <f>C20/$C$40</f>
        <v/>
      </c>
    </row>
    <row r="21">
      <c r="B21" s="252" t="inlineStr">
        <is>
          <t>Сметная прибыль, %</t>
        </is>
      </c>
      <c r="C21" s="280">
        <f>'Прил.5 Расчет СМР и ОБ'!D54</f>
        <v/>
      </c>
      <c r="D21" s="161" t="n"/>
      <c r="E21" s="252" t="n"/>
    </row>
    <row r="22">
      <c r="B22" s="252" t="inlineStr">
        <is>
          <t>Накладные расходы, руб.</t>
        </is>
      </c>
      <c r="C22" s="279">
        <f>ROUND(C23*(C11+C15),2)</f>
        <v/>
      </c>
      <c r="D22" s="161">
        <f>C22/$C$24</f>
        <v/>
      </c>
      <c r="E22" s="161">
        <f>C22/$C$40</f>
        <v/>
      </c>
    </row>
    <row r="23">
      <c r="B23" s="252" t="inlineStr">
        <is>
          <t>Накладные расходы, %</t>
        </is>
      </c>
      <c r="C23" s="280">
        <f>'Прил.5 Расчет СМР и ОБ'!D53</f>
        <v/>
      </c>
      <c r="D23" s="161" t="n"/>
      <c r="E23" s="252" t="n"/>
    </row>
    <row r="24">
      <c r="B24" s="252" t="inlineStr">
        <is>
          <t>ВСЕГО СМР с НР и СП</t>
        </is>
      </c>
      <c r="C24" s="279">
        <f>C19+C20+C22</f>
        <v/>
      </c>
      <c r="D24" s="161">
        <f>C24/$C$24</f>
        <v/>
      </c>
      <c r="E24" s="161">
        <f>C24/$C$40</f>
        <v/>
      </c>
    </row>
    <row r="25" ht="25.5" customHeight="1" s="313">
      <c r="B25" s="252" t="inlineStr">
        <is>
          <t>ВСЕГО стоимость оборудования, в том числе</t>
        </is>
      </c>
      <c r="C25" s="279">
        <f>'Прил.5 Расчет СМР и ОБ'!J29</f>
        <v/>
      </c>
      <c r="D25" s="161" t="n"/>
      <c r="E25" s="161">
        <f>C25/$C$40</f>
        <v/>
      </c>
    </row>
    <row r="26" ht="25.5" customHeight="1" s="313">
      <c r="B26" s="252" t="inlineStr">
        <is>
          <t>стоимость оборудования технологического</t>
        </is>
      </c>
      <c r="C26" s="279">
        <f>'Прил.5 Расчет СМР и ОБ'!J30</f>
        <v/>
      </c>
      <c r="D26" s="161" t="n"/>
      <c r="E26" s="161">
        <f>C26/$C$40</f>
        <v/>
      </c>
    </row>
    <row r="27">
      <c r="B27" s="252" t="inlineStr">
        <is>
          <t>ИТОГО (СМР + ОБОРУДОВАНИЕ)</t>
        </is>
      </c>
      <c r="C27" s="202">
        <f>C24+C25</f>
        <v/>
      </c>
      <c r="D27" s="161" t="n"/>
      <c r="E27" s="161">
        <f>C27/$C$40</f>
        <v/>
      </c>
    </row>
    <row r="28" ht="33" customHeight="1" s="313">
      <c r="B28" s="252" t="inlineStr">
        <is>
          <t>ПРОЧ. ЗАТР., УЧТЕННЫЕ ПОКАЗАТЕЛЕМ,  в том числе</t>
        </is>
      </c>
      <c r="C28" s="252" t="n"/>
      <c r="D28" s="252" t="n"/>
      <c r="E28" s="252" t="n"/>
      <c r="F28" s="203" t="n"/>
    </row>
    <row r="29" ht="25.5" customHeight="1" s="313">
      <c r="B29" s="252" t="inlineStr">
        <is>
          <t>Временные здания и сооружения - 3,9%</t>
        </is>
      </c>
      <c r="C29" s="202">
        <f>ROUND(C24*3.9%,2)</f>
        <v/>
      </c>
      <c r="D29" s="252" t="n"/>
      <c r="E29" s="161">
        <f>C29/$C$40</f>
        <v/>
      </c>
    </row>
    <row r="30" ht="38.25" customHeight="1" s="313">
      <c r="B30" s="252" t="inlineStr">
        <is>
          <t>Дополнительные затраты при производстве строительно-монтажных работ в зимнее время - 2,1%</t>
        </is>
      </c>
      <c r="C30" s="299">
        <f>ROUND((C24+C29)*2.1%,2)</f>
        <v/>
      </c>
      <c r="D30" s="300" t="n"/>
      <c r="E30" s="301">
        <f>C30/$C$40</f>
        <v/>
      </c>
      <c r="F30" s="203" t="n"/>
    </row>
    <row r="31">
      <c r="B31" s="252" t="inlineStr">
        <is>
          <t>Пусконаладочные работы</t>
        </is>
      </c>
      <c r="C31" s="299" t="n">
        <v>32200</v>
      </c>
      <c r="D31" s="300" t="n"/>
      <c r="E31" s="301">
        <f>C31/$C$40</f>
        <v/>
      </c>
    </row>
    <row r="32" ht="25.5" customHeight="1" s="313">
      <c r="B32" s="252" t="inlineStr">
        <is>
          <t>Затраты по перевозке работников к месту работы и обратно</t>
        </is>
      </c>
      <c r="C32" s="299" t="n">
        <v>0</v>
      </c>
      <c r="D32" s="300" t="n"/>
      <c r="E32" s="301">
        <f>C32/$C$40</f>
        <v/>
      </c>
    </row>
    <row r="33" ht="25.5" customHeight="1" s="313">
      <c r="B33" s="252" t="inlineStr">
        <is>
          <t>Затраты, связанные с осуществлением работ вахтовым методом</t>
        </is>
      </c>
      <c r="C33" s="202" t="n">
        <v>0</v>
      </c>
      <c r="D33" s="300" t="n"/>
      <c r="E33" s="301">
        <f>C33/$C$40</f>
        <v/>
      </c>
    </row>
    <row r="34" ht="51" customHeight="1" s="313">
      <c r="B34" s="25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2" t="n">
        <v>0</v>
      </c>
      <c r="D34" s="252" t="n"/>
      <c r="E34" s="161">
        <f>C34/$C$40</f>
        <v/>
      </c>
      <c r="G34" s="204" t="n"/>
    </row>
    <row r="35" ht="76.5" customHeight="1" s="313">
      <c r="B35" s="25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2" t="n">
        <v>0</v>
      </c>
      <c r="D35" s="252" t="n"/>
      <c r="E35" s="161">
        <f>C35/$C$40</f>
        <v/>
      </c>
    </row>
    <row r="36" ht="25.5" customHeight="1" s="313">
      <c r="B36" s="252" t="inlineStr">
        <is>
          <t>Строительный контроль и содержание службы заказчика - 1,72%</t>
        </is>
      </c>
      <c r="C36" s="202">
        <f>ROUND((C27+C32+C33+C34+C35+C29+C31+C30)*1.72%,2)</f>
        <v/>
      </c>
      <c r="D36" s="252" t="n"/>
      <c r="E36" s="161">
        <f>C36/$C$40</f>
        <v/>
      </c>
      <c r="K36" s="203" t="n"/>
    </row>
    <row r="37">
      <c r="B37" s="252" t="inlineStr">
        <is>
          <t>Авторский надзор - 0,2%</t>
        </is>
      </c>
      <c r="C37" s="202">
        <f>ROUND((C27+C32+C33+C34+C35+C29+C31+C30)*0.2%,2)</f>
        <v/>
      </c>
      <c r="D37" s="252" t="n"/>
      <c r="E37" s="161">
        <f>C37/$C$40</f>
        <v/>
      </c>
      <c r="K37" s="203" t="n"/>
    </row>
    <row r="38" ht="38.25" customHeight="1" s="313">
      <c r="B38" s="252" t="inlineStr">
        <is>
          <t>ИТОГО (СМР+ОБОРУДОВАНИЕ+ПРОЧ. ЗАТР., УЧТЕННЫЕ ПОКАЗАТЕЛЕМ)</t>
        </is>
      </c>
      <c r="C38" s="279">
        <f>C27+C32+C33+C34+C35+C29+C31+C30+C36+C37</f>
        <v/>
      </c>
      <c r="D38" s="252" t="n"/>
      <c r="E38" s="161">
        <f>C38/$C$40</f>
        <v/>
      </c>
    </row>
    <row r="39" ht="13.5" customHeight="1" s="313">
      <c r="B39" s="252" t="inlineStr">
        <is>
          <t>Непредвиденные расходы</t>
        </is>
      </c>
      <c r="C39" s="279">
        <f>ROUND(C38*3%,2)</f>
        <v/>
      </c>
      <c r="D39" s="252" t="n"/>
      <c r="E39" s="161">
        <f>C39/$C$38</f>
        <v/>
      </c>
    </row>
    <row r="40">
      <c r="B40" s="252" t="inlineStr">
        <is>
          <t>ВСЕГО:</t>
        </is>
      </c>
      <c r="C40" s="279">
        <f>C39+C38</f>
        <v/>
      </c>
      <c r="D40" s="252" t="n"/>
      <c r="E40" s="161">
        <f>C40/$C$40</f>
        <v/>
      </c>
    </row>
    <row r="41">
      <c r="B41" s="252" t="inlineStr">
        <is>
          <t>ИТОГО ПОКАЗАТЕЛЬ НА ЕД. ИЗМ.</t>
        </is>
      </c>
      <c r="C41" s="279">
        <f>C40/'Прил.5 Расчет СМР и ОБ'!E57</f>
        <v/>
      </c>
      <c r="D41" s="252" t="n"/>
      <c r="E41" s="252" t="n"/>
    </row>
    <row r="42">
      <c r="B42" s="164" t="n"/>
      <c r="C42" s="309" t="n"/>
      <c r="D42" s="309" t="n"/>
      <c r="E42" s="309" t="n"/>
    </row>
    <row r="43">
      <c r="B43" s="164" t="inlineStr">
        <is>
          <t>Составил ____________________________ Д.Ю. Нефедова</t>
        </is>
      </c>
      <c r="C43" s="309" t="n"/>
      <c r="D43" s="309" t="n"/>
      <c r="E43" s="309" t="n"/>
    </row>
    <row r="44">
      <c r="B44" s="164" t="inlineStr">
        <is>
          <t xml:space="preserve">(должность, подпись, инициалы, фамилия) </t>
        </is>
      </c>
      <c r="C44" s="309" t="n"/>
      <c r="D44" s="309" t="n"/>
      <c r="E44" s="309" t="n"/>
    </row>
    <row r="45">
      <c r="B45" s="164" t="n"/>
      <c r="C45" s="309" t="n"/>
      <c r="D45" s="309" t="n"/>
      <c r="E45" s="309" t="n"/>
    </row>
    <row r="46">
      <c r="B46" s="164" t="inlineStr">
        <is>
          <t>Проверил ____________________________ А.В. Костянецкая</t>
        </is>
      </c>
      <c r="C46" s="309" t="n"/>
      <c r="D46" s="309" t="n"/>
      <c r="E46" s="309" t="n"/>
    </row>
    <row r="47">
      <c r="B47" s="358" t="inlineStr">
        <is>
          <t>(должность, подпись, инициалы, фамилия)</t>
        </is>
      </c>
      <c r="D47" s="309" t="n"/>
      <c r="E47" s="309" t="n"/>
    </row>
    <row r="49">
      <c r="B49" s="309" t="n"/>
      <c r="C49" s="309" t="n"/>
      <c r="D49" s="309" t="n"/>
      <c r="E49" s="309" t="n"/>
    </row>
    <row r="50">
      <c r="B50" s="309" t="n"/>
      <c r="C50" s="309" t="n"/>
      <c r="D50" s="309" t="n"/>
      <c r="E50" s="3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topLeftCell="A40" zoomScale="85" workbookViewId="0">
      <selection activeCell="B60" sqref="B60"/>
    </sheetView>
  </sheetViews>
  <sheetFormatPr baseColWidth="8" defaultColWidth="9.140625" defaultRowHeight="15" outlineLevelRow="1"/>
  <cols>
    <col width="5.7109375" customWidth="1" style="310" min="1" max="1"/>
    <col width="22.5703125" customWidth="1" style="310" min="2" max="2"/>
    <col width="39.140625" customWidth="1" style="310" min="3" max="3"/>
    <col width="10.7109375" customWidth="1" style="310" min="4" max="4"/>
    <col width="12.7109375" customWidth="1" style="310" min="5" max="5"/>
    <col width="15" customWidth="1" style="310" min="6" max="6"/>
    <col width="13.42578125" customWidth="1" style="310" min="7" max="7"/>
    <col width="12.7109375" customWidth="1" style="310" min="8" max="8"/>
    <col width="13.85546875" customWidth="1" style="310" min="9" max="9"/>
    <col width="17.5703125" customWidth="1" style="310" min="10" max="10"/>
    <col width="10.85546875" customWidth="1" style="310" min="11" max="11"/>
    <col width="9.140625" customWidth="1" style="310" min="12" max="12"/>
    <col width="9.140625" customWidth="1" style="313" min="13" max="13"/>
  </cols>
  <sheetData>
    <row r="1" s="313">
      <c r="A1" s="310" t="n"/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</row>
    <row r="2" s="313">
      <c r="A2" s="310" t="n"/>
      <c r="B2" s="310" t="n"/>
      <c r="C2" s="310" t="n"/>
      <c r="D2" s="310" t="n"/>
      <c r="E2" s="310" t="n"/>
      <c r="F2" s="310" t="n"/>
      <c r="G2" s="310" t="n"/>
      <c r="H2" s="310" t="n"/>
      <c r="I2" s="310" t="n"/>
      <c r="J2" s="310" t="n"/>
      <c r="K2" s="310" t="n"/>
      <c r="L2" s="310" t="n"/>
      <c r="M2" s="310" t="n"/>
      <c r="N2" s="310" t="n"/>
    </row>
    <row r="3" ht="12.75" customFormat="1" customHeight="1" s="309">
      <c r="A3" s="335" t="inlineStr">
        <is>
          <t>Расчет стоимости СМР и оборудования</t>
        </is>
      </c>
    </row>
    <row r="4" ht="12.75" customFormat="1" customHeight="1" s="309">
      <c r="A4" s="335" t="n"/>
      <c r="B4" s="335" t="n"/>
      <c r="C4" s="392" t="n"/>
      <c r="D4" s="335" t="n"/>
      <c r="E4" s="335" t="n"/>
      <c r="F4" s="335" t="n"/>
      <c r="G4" s="335" t="n"/>
      <c r="H4" s="335" t="n"/>
      <c r="I4" s="335" t="n"/>
      <c r="J4" s="335" t="n"/>
    </row>
    <row r="5" ht="12.75" customFormat="1" customHeight="1" s="309">
      <c r="A5" s="210" t="inlineStr">
        <is>
          <t>Наименование разрабатываемого показателя УНЦ</t>
        </is>
      </c>
      <c r="B5" s="211" t="n"/>
      <c r="C5" s="211" t="n"/>
      <c r="D5" s="383" t="inlineStr">
        <is>
          <t>Комплекс систем безопасности ПС. АРМ персонала комплекса систем безопасности</t>
        </is>
      </c>
    </row>
    <row r="6" ht="12.75" customFormat="1" customHeight="1" s="309">
      <c r="A6" s="338" t="inlineStr">
        <is>
          <t>Единица измерения  — 1 ед.</t>
        </is>
      </c>
      <c r="I6" s="348" t="n"/>
      <c r="J6" s="348" t="n"/>
    </row>
    <row r="7" ht="13.5" customFormat="1" customHeight="1" s="309">
      <c r="A7" s="338" t="n"/>
    </row>
    <row r="8" ht="13.15" customFormat="1" customHeight="1" s="309"/>
    <row r="9" ht="27" customHeight="1" s="313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37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37" t="n"/>
      <c r="K9" s="310" t="n"/>
      <c r="L9" s="310" t="n"/>
      <c r="M9" s="310" t="n"/>
      <c r="N9" s="310" t="n"/>
    </row>
    <row r="10" ht="28.5" customHeight="1" s="313">
      <c r="A10" s="439" t="n"/>
      <c r="B10" s="439" t="n"/>
      <c r="C10" s="439" t="n"/>
      <c r="D10" s="439" t="n"/>
      <c r="E10" s="439" t="n"/>
      <c r="F10" s="366" t="inlineStr">
        <is>
          <t>на ед. изм.</t>
        </is>
      </c>
      <c r="G10" s="366" t="inlineStr">
        <is>
          <t>общая</t>
        </is>
      </c>
      <c r="H10" s="439" t="n"/>
      <c r="I10" s="366" t="inlineStr">
        <is>
          <t>на ед. изм.</t>
        </is>
      </c>
      <c r="J10" s="366" t="inlineStr">
        <is>
          <t>общая</t>
        </is>
      </c>
      <c r="K10" s="310" t="n"/>
      <c r="L10" s="310" t="n"/>
      <c r="M10" s="310" t="n"/>
      <c r="N10" s="310" t="n"/>
    </row>
    <row r="11" s="313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81" t="n">
        <v>9</v>
      </c>
      <c r="J11" s="381" t="n">
        <v>10</v>
      </c>
      <c r="K11" s="310" t="n"/>
      <c r="L11" s="310" t="n"/>
      <c r="M11" s="310" t="n"/>
      <c r="N11" s="310" t="n"/>
    </row>
    <row r="12">
      <c r="A12" s="366" t="n"/>
      <c r="B12" s="364" t="inlineStr">
        <is>
          <t>Затраты труда рабочих-строителей</t>
        </is>
      </c>
      <c r="C12" s="436" t="n"/>
      <c r="D12" s="436" t="n"/>
      <c r="E12" s="436" t="n"/>
      <c r="F12" s="436" t="n"/>
      <c r="G12" s="436" t="n"/>
      <c r="H12" s="437" t="n"/>
      <c r="I12" s="233" t="n"/>
      <c r="J12" s="233" t="n"/>
    </row>
    <row r="13" ht="25.5" customHeight="1" s="313">
      <c r="A13" s="366" t="n">
        <v>1</v>
      </c>
      <c r="B13" s="221" t="inlineStr">
        <is>
          <t>1-3-9</t>
        </is>
      </c>
      <c r="C13" s="365" t="inlineStr">
        <is>
          <t>Затраты труда рабочих-строителей среднего разряда (3,9)</t>
        </is>
      </c>
      <c r="D13" s="366" t="inlineStr">
        <is>
          <t>чел.-ч.</t>
        </is>
      </c>
      <c r="E13" s="440" t="n">
        <v>8.24</v>
      </c>
      <c r="F13" s="238" t="n">
        <v>9.51</v>
      </c>
      <c r="G13" s="238">
        <f>'Прил. 3'!H14</f>
        <v/>
      </c>
      <c r="H13" s="228">
        <f>G13/$G$14</f>
        <v/>
      </c>
      <c r="I13" s="238">
        <f>ФОТр.тек.!E13</f>
        <v/>
      </c>
      <c r="J13" s="238">
        <f>ROUND(I13*E13,2)</f>
        <v/>
      </c>
    </row>
    <row r="14" ht="25.5" customFormat="1" customHeight="1" s="310">
      <c r="A14" s="366" t="n"/>
      <c r="B14" s="366" t="n"/>
      <c r="C14" s="364" t="inlineStr">
        <is>
          <t>Итого по разделу "Затраты труда рабочих-строителей"</t>
        </is>
      </c>
      <c r="D14" s="366" t="inlineStr">
        <is>
          <t>чел.-ч.</t>
        </is>
      </c>
      <c r="E14" s="440">
        <f>SUM(E13:E13)</f>
        <v/>
      </c>
      <c r="F14" s="238" t="n"/>
      <c r="G14" s="238">
        <f>SUM(G13:G13)</f>
        <v/>
      </c>
      <c r="H14" s="369" t="n">
        <v>1</v>
      </c>
      <c r="I14" s="233" t="n"/>
      <c r="J14" s="238">
        <f>SUM(J13:J13)</f>
        <v/>
      </c>
    </row>
    <row r="15" ht="14.25" customFormat="1" customHeight="1" s="310">
      <c r="A15" s="366" t="n"/>
      <c r="B15" s="365" t="inlineStr">
        <is>
          <t>Затраты труда машинистов</t>
        </is>
      </c>
      <c r="C15" s="436" t="n"/>
      <c r="D15" s="436" t="n"/>
      <c r="E15" s="436" t="n"/>
      <c r="F15" s="436" t="n"/>
      <c r="G15" s="436" t="n"/>
      <c r="H15" s="437" t="n"/>
      <c r="I15" s="233" t="n"/>
      <c r="J15" s="233" t="n"/>
    </row>
    <row r="16" ht="14.25" customFormat="1" customHeight="1" s="310">
      <c r="A16" s="366" t="n">
        <v>2</v>
      </c>
      <c r="B16" s="366" t="n">
        <v>2</v>
      </c>
      <c r="C16" s="365" t="inlineStr">
        <is>
          <t>Затраты труда машинистов</t>
        </is>
      </c>
      <c r="D16" s="366" t="inlineStr">
        <is>
          <t>чел.-ч.</t>
        </is>
      </c>
      <c r="E16" s="440">
        <f>'Прил. 3'!F18</f>
        <v/>
      </c>
      <c r="F16" s="238">
        <f>G16/E16</f>
        <v/>
      </c>
      <c r="G16" s="238">
        <f>'Прил. 3'!H17</f>
        <v/>
      </c>
      <c r="H16" s="369" t="n">
        <v>1</v>
      </c>
      <c r="I16" s="238">
        <f>ROUND(F16*'Прил. 10'!D11,2)</f>
        <v/>
      </c>
      <c r="J16" s="238">
        <f>ROUND(I16*E16,2)</f>
        <v/>
      </c>
    </row>
    <row r="17" ht="14.25" customFormat="1" customHeight="1" s="310">
      <c r="A17" s="366" t="n"/>
      <c r="B17" s="364" t="inlineStr">
        <is>
          <t>Машины и механизмы</t>
        </is>
      </c>
      <c r="C17" s="436" t="n"/>
      <c r="D17" s="436" t="n"/>
      <c r="E17" s="436" t="n"/>
      <c r="F17" s="436" t="n"/>
      <c r="G17" s="436" t="n"/>
      <c r="H17" s="437" t="n"/>
      <c r="I17" s="233" t="n"/>
      <c r="J17" s="233" t="n"/>
    </row>
    <row r="18" ht="14.25" customFormat="1" customHeight="1" s="310">
      <c r="A18" s="366" t="n"/>
      <c r="B18" s="365" t="inlineStr">
        <is>
          <t>Основные 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33" t="n"/>
      <c r="J18" s="233" t="n"/>
    </row>
    <row r="19" ht="25.5" customFormat="1" customHeight="1" s="310">
      <c r="A19" s="366" t="n">
        <v>3</v>
      </c>
      <c r="B19" s="221" t="inlineStr">
        <is>
          <t>91.14.02-001</t>
        </is>
      </c>
      <c r="C19" s="365" t="inlineStr">
        <is>
          <t>Автомобили бортовые, грузоподъемность до 5 т</t>
        </is>
      </c>
      <c r="D19" s="366" t="inlineStr">
        <is>
          <t>маш.час</t>
        </is>
      </c>
      <c r="E19" s="440" t="n">
        <v>1.92</v>
      </c>
      <c r="F19" s="368" t="n">
        <v>65.70999999999999</v>
      </c>
      <c r="G19" s="238">
        <f>ROUND(E19*F19,2)</f>
        <v/>
      </c>
      <c r="H19" s="228">
        <f>G19/$G$23</f>
        <v/>
      </c>
      <c r="I19" s="238">
        <f>ROUND(F19*'Прил. 10'!$D$12,2)</f>
        <v/>
      </c>
      <c r="J19" s="238">
        <f>ROUND(I19*E19,2)</f>
        <v/>
      </c>
    </row>
    <row r="20" ht="14.25" customFormat="1" customHeight="1" s="310">
      <c r="A20" s="366" t="n"/>
      <c r="B20" s="366" t="n"/>
      <c r="C20" s="365" t="inlineStr">
        <is>
          <t>Итого основные машины и механизмы</t>
        </is>
      </c>
      <c r="D20" s="366" t="n"/>
      <c r="E20" s="440" t="n"/>
      <c r="F20" s="238" t="n"/>
      <c r="G20" s="238">
        <f>SUM(G19:G19)</f>
        <v/>
      </c>
      <c r="H20" s="369">
        <f>G20/G23</f>
        <v/>
      </c>
      <c r="I20" s="239" t="n"/>
      <c r="J20" s="238">
        <f>SUM(J19:J19)</f>
        <v/>
      </c>
    </row>
    <row r="21" outlineLevel="1" ht="14.25" customFormat="1" customHeight="1" s="310">
      <c r="A21" s="366" t="n">
        <v>4</v>
      </c>
      <c r="B21" s="221" t="inlineStr">
        <is>
          <t>91.06.05-011</t>
        </is>
      </c>
      <c r="C21" s="365" t="inlineStr">
        <is>
          <t>Погрузчики, грузоподъемность 5 т</t>
        </is>
      </c>
      <c r="D21" s="366" t="inlineStr">
        <is>
          <t>маш.час</t>
        </is>
      </c>
      <c r="E21" s="440" t="n">
        <v>0.1</v>
      </c>
      <c r="F21" s="368" t="n">
        <v>89.98999999999999</v>
      </c>
      <c r="G21" s="238">
        <f>ROUND(E21*F21,2)</f>
        <v/>
      </c>
      <c r="H21" s="228">
        <f>G21/$G$23</f>
        <v/>
      </c>
      <c r="I21" s="238">
        <f>ROUND(F21*'Прил. 10'!$D$12,2)</f>
        <v/>
      </c>
      <c r="J21" s="238">
        <f>ROUND(I21*E21,2)</f>
        <v/>
      </c>
    </row>
    <row r="22" ht="14.25" customFormat="1" customHeight="1" s="310">
      <c r="A22" s="366" t="n"/>
      <c r="B22" s="366" t="n"/>
      <c r="C22" s="365" t="inlineStr">
        <is>
          <t>Итого прочие машины и механизмы</t>
        </is>
      </c>
      <c r="D22" s="366" t="n"/>
      <c r="E22" s="367" t="n"/>
      <c r="F22" s="238" t="n"/>
      <c r="G22" s="239">
        <f>SUM(G21:G21)</f>
        <v/>
      </c>
      <c r="H22" s="228">
        <f>G22/G23</f>
        <v/>
      </c>
      <c r="I22" s="238" t="n"/>
      <c r="J22" s="238">
        <f>SUM(J21:J21)</f>
        <v/>
      </c>
    </row>
    <row r="23" ht="25.5" customFormat="1" customHeight="1" s="310">
      <c r="A23" s="366" t="n"/>
      <c r="B23" s="366" t="n"/>
      <c r="C23" s="364" t="inlineStr">
        <is>
          <t>Итого по разделу «Машины и механизмы»</t>
        </is>
      </c>
      <c r="D23" s="366" t="n"/>
      <c r="E23" s="367" t="n"/>
      <c r="F23" s="238" t="n"/>
      <c r="G23" s="238">
        <f>G22+G20</f>
        <v/>
      </c>
      <c r="H23" s="230" t="n">
        <v>1</v>
      </c>
      <c r="I23" s="231" t="n"/>
      <c r="J23" s="248">
        <f>J22+J20</f>
        <v/>
      </c>
    </row>
    <row r="24" ht="14.25" customFormat="1" customHeight="1" s="310">
      <c r="A24" s="366" t="n"/>
      <c r="B24" s="364" t="inlineStr">
        <is>
          <t>Оборудование</t>
        </is>
      </c>
      <c r="C24" s="436" t="n"/>
      <c r="D24" s="436" t="n"/>
      <c r="E24" s="436" t="n"/>
      <c r="F24" s="436" t="n"/>
      <c r="G24" s="436" t="n"/>
      <c r="H24" s="437" t="n"/>
      <c r="I24" s="233" t="n"/>
      <c r="J24" s="233" t="n"/>
    </row>
    <row r="25">
      <c r="A25" s="366" t="n"/>
      <c r="B25" s="365" t="inlineStr">
        <is>
          <t>Основное оборудование</t>
        </is>
      </c>
      <c r="C25" s="436" t="n"/>
      <c r="D25" s="436" t="n"/>
      <c r="E25" s="436" t="n"/>
      <c r="F25" s="436" t="n"/>
      <c r="G25" s="436" t="n"/>
      <c r="H25" s="437" t="n"/>
      <c r="I25" s="233" t="n"/>
      <c r="J25" s="233" t="n"/>
      <c r="K25" s="310" t="n"/>
      <c r="L25" s="310" t="n"/>
    </row>
    <row r="26" ht="147" customFormat="1" customHeight="1" s="310">
      <c r="A26" s="366" t="n">
        <v>5</v>
      </c>
      <c r="B26" s="291" t="inlineStr">
        <is>
          <t>БЦ.54.24</t>
        </is>
      </c>
      <c r="C26" s="290" t="inlineStr">
        <is>
          <t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t>
        </is>
      </c>
      <c r="D26" s="291" t="inlineStr">
        <is>
          <t>шт</t>
        </is>
      </c>
      <c r="E26" s="441" t="n">
        <v>2</v>
      </c>
      <c r="F26" s="293">
        <f>ROUND(I26/'Прил. 10'!$D$14,2)</f>
        <v/>
      </c>
      <c r="G26" s="294">
        <f>ROUND(E26*F26,2)</f>
        <v/>
      </c>
      <c r="H26" s="288">
        <f>G26/$G$29</f>
        <v/>
      </c>
      <c r="I26" s="238" t="n">
        <v>270800</v>
      </c>
      <c r="J26" s="238">
        <f>ROUND(I26*E26,2)</f>
        <v/>
      </c>
    </row>
    <row r="27">
      <c r="A27" s="366" t="n"/>
      <c r="B27" s="291" t="n"/>
      <c r="C27" s="290" t="inlineStr">
        <is>
          <t>Итого основное оборудование</t>
        </is>
      </c>
      <c r="D27" s="291" t="n"/>
      <c r="E27" s="442" t="n"/>
      <c r="F27" s="293" t="n"/>
      <c r="G27" s="294">
        <f>SUM(G26:G26)</f>
        <v/>
      </c>
      <c r="H27" s="288">
        <f>G27/$G$29</f>
        <v/>
      </c>
      <c r="I27" s="239" t="n"/>
      <c r="J27" s="238">
        <f>SUM(J26:J26)</f>
        <v/>
      </c>
      <c r="K27" s="310" t="n"/>
      <c r="L27" s="310" t="n"/>
    </row>
    <row r="28">
      <c r="A28" s="366" t="n"/>
      <c r="B28" s="291" t="n"/>
      <c r="C28" s="290" t="inlineStr">
        <is>
          <t>Итого прочее оборудование</t>
        </is>
      </c>
      <c r="D28" s="291" t="n"/>
      <c r="E28" s="442" t="n"/>
      <c r="F28" s="293" t="n"/>
      <c r="G28" s="294" t="n">
        <v>0</v>
      </c>
      <c r="H28" s="288">
        <f>G28/$G$29</f>
        <v/>
      </c>
      <c r="I28" s="239" t="n"/>
      <c r="J28" s="238" t="n">
        <v>0</v>
      </c>
      <c r="K28" s="310" t="n"/>
      <c r="L28" s="310" t="n"/>
    </row>
    <row r="29">
      <c r="A29" s="366" t="n"/>
      <c r="B29" s="291" t="n"/>
      <c r="C29" s="374" t="inlineStr">
        <is>
          <t>Итого по разделу «Оборудование»</t>
        </is>
      </c>
      <c r="D29" s="291" t="n"/>
      <c r="E29" s="296" t="n"/>
      <c r="F29" s="293" t="n"/>
      <c r="G29" s="294">
        <f>G27+G28</f>
        <v/>
      </c>
      <c r="H29" s="288">
        <f>H27+H28</f>
        <v/>
      </c>
      <c r="I29" s="239" t="n"/>
      <c r="J29" s="238">
        <f>J28+J27</f>
        <v/>
      </c>
      <c r="K29" s="310" t="n"/>
      <c r="L29" s="310" t="n"/>
    </row>
    <row r="30" ht="25.5" customHeight="1" s="313">
      <c r="A30" s="366" t="n"/>
      <c r="B30" s="291" t="n"/>
      <c r="C30" s="290" t="inlineStr">
        <is>
          <t>в том числе технологическое оборудование</t>
        </is>
      </c>
      <c r="D30" s="291" t="n"/>
      <c r="E30" s="441" t="n"/>
      <c r="F30" s="293" t="n"/>
      <c r="G30" s="294">
        <f>'Прил.6 Расчет ОБ'!G13</f>
        <v/>
      </c>
      <c r="H30" s="298" t="n"/>
      <c r="I30" s="239" t="n"/>
      <c r="J30" s="238">
        <f>ROUND(G30*'Прил. 10'!D14,2)</f>
        <v/>
      </c>
      <c r="K30" s="310" t="n"/>
      <c r="L30" s="310" t="n"/>
    </row>
    <row r="31" ht="14.25" customFormat="1" customHeight="1" s="310">
      <c r="A31" s="366" t="n"/>
      <c r="B31" s="374" t="inlineStr">
        <is>
          <t>Материалы</t>
        </is>
      </c>
      <c r="C31" s="436" t="n"/>
      <c r="D31" s="436" t="n"/>
      <c r="E31" s="436" t="n"/>
      <c r="F31" s="436" t="n"/>
      <c r="G31" s="436" t="n"/>
      <c r="H31" s="437" t="n"/>
      <c r="I31" s="233" t="n"/>
      <c r="J31" s="233" t="n"/>
    </row>
    <row r="32" ht="14.25" customFormat="1" customHeight="1" s="310">
      <c r="A32" s="381" t="n"/>
      <c r="B32" s="359" t="inlineStr">
        <is>
          <t>Основные материалы</t>
        </is>
      </c>
      <c r="C32" s="443" t="n"/>
      <c r="D32" s="443" t="n"/>
      <c r="E32" s="443" t="n"/>
      <c r="F32" s="443" t="n"/>
      <c r="G32" s="443" t="n"/>
      <c r="H32" s="444" t="n"/>
      <c r="I32" s="241" t="n"/>
      <c r="J32" s="241" t="n"/>
    </row>
    <row r="33" ht="25.5" customFormat="1" customHeight="1" s="310">
      <c r="A33" s="366" t="n">
        <v>9</v>
      </c>
      <c r="B33" s="291" t="inlineStr">
        <is>
          <t>14.3.02.01-0219</t>
        </is>
      </c>
      <c r="C33" s="290" t="inlineStr">
        <is>
          <t>Краска универсальная, акриловая для внутренних и наружных работ</t>
        </is>
      </c>
      <c r="D33" s="291" t="inlineStr">
        <is>
          <t>т</t>
        </is>
      </c>
      <c r="E33" s="441" t="n">
        <v>0.012</v>
      </c>
      <c r="F33" s="293" t="n">
        <v>15481</v>
      </c>
      <c r="G33" s="294">
        <f>ROUND(E33*F33,2)</f>
        <v/>
      </c>
      <c r="H33" s="288">
        <f>G33/$G$51</f>
        <v/>
      </c>
      <c r="I33" s="238">
        <f>ROUND(F33*'Прил. 10'!$D$13,2)</f>
        <v/>
      </c>
      <c r="J33" s="238">
        <f>ROUND(I33*E33,2)</f>
        <v/>
      </c>
    </row>
    <row r="34" ht="38.25" customFormat="1" customHeight="1" s="310">
      <c r="A34" s="366" t="n">
        <v>10</v>
      </c>
      <c r="B34" s="291" t="inlineStr">
        <is>
          <t>21.2.02.01-0023</t>
        </is>
      </c>
      <c r="C34" s="290" t="inlineStr">
        <is>
          <t>Провод неизолированный медный гибкий для электрических установок и антенн, марка МГ, сечение 4 мм2</t>
        </is>
      </c>
      <c r="D34" s="291" t="inlineStr">
        <is>
          <t>т</t>
        </is>
      </c>
      <c r="E34" s="441" t="n">
        <v>0.0008</v>
      </c>
      <c r="F34" s="293" t="n">
        <v>75162.28999999999</v>
      </c>
      <c r="G34" s="294">
        <f>ROUND(E34*F34,2)</f>
        <v/>
      </c>
      <c r="H34" s="288">
        <f>G34/$G$51</f>
        <v/>
      </c>
      <c r="I34" s="238">
        <f>ROUND(F34*'Прил. 10'!$D$13,2)</f>
        <v/>
      </c>
      <c r="J34" s="238">
        <f>ROUND(I34*E34,2)</f>
        <v/>
      </c>
    </row>
    <row r="35" ht="14.25" customFormat="1" customHeight="1" s="310">
      <c r="A35" s="366" t="n">
        <v>11</v>
      </c>
      <c r="B35" s="366" t="inlineStr">
        <is>
          <t>01.7.20.04-0003</t>
        </is>
      </c>
      <c r="C35" s="365" t="inlineStr">
        <is>
          <t>Нитки суровые</t>
        </is>
      </c>
      <c r="D35" s="366" t="inlineStr">
        <is>
          <t>кг</t>
        </is>
      </c>
      <c r="E35" s="445" t="n">
        <v>0.3</v>
      </c>
      <c r="F35" s="368" t="n">
        <v>155</v>
      </c>
      <c r="G35" s="238">
        <f>ROUND(E35*F35,2)</f>
        <v/>
      </c>
      <c r="H35" s="228">
        <f>G35/$G$51</f>
        <v/>
      </c>
      <c r="I35" s="238">
        <f>ROUND(F35*'Прил. 10'!$D$13,2)</f>
        <v/>
      </c>
      <c r="J35" s="238">
        <f>ROUND(I35*E35,2)</f>
        <v/>
      </c>
    </row>
    <row r="36" ht="14.25" customFormat="1" customHeight="1" s="310">
      <c r="A36" s="366" t="n">
        <v>12</v>
      </c>
      <c r="B36" s="366" t="inlineStr">
        <is>
          <t>20.2.10.03-0020</t>
        </is>
      </c>
      <c r="C36" s="365" t="inlineStr">
        <is>
          <t>Наконечники кабельные П2.5-4Д-МУ3</t>
        </is>
      </c>
      <c r="D36" s="366" t="inlineStr">
        <is>
          <t>100 шт</t>
        </is>
      </c>
      <c r="E36" s="445" t="n">
        <v>0.2</v>
      </c>
      <c r="F36" s="368" t="n">
        <v>203</v>
      </c>
      <c r="G36" s="238">
        <f>ROUND(E36*F36,2)</f>
        <v/>
      </c>
      <c r="H36" s="228">
        <f>G36/$G$51</f>
        <v/>
      </c>
      <c r="I36" s="238">
        <f>ROUND(F36*'Прил. 10'!$D$13,2)</f>
        <v/>
      </c>
      <c r="J36" s="238">
        <f>ROUND(I36*E36,2)</f>
        <v/>
      </c>
    </row>
    <row r="37" ht="25.5" customFormat="1" customHeight="1" s="310">
      <c r="A37" s="366" t="n">
        <v>13</v>
      </c>
      <c r="B37" s="366" t="inlineStr">
        <is>
          <t>01.7.15.02-0084</t>
        </is>
      </c>
      <c r="C37" s="365" t="inlineStr">
        <is>
          <t>Болты с шестигранной головкой, диаметр 12 (14) мм</t>
        </is>
      </c>
      <c r="D37" s="366" t="inlineStr">
        <is>
          <t>т</t>
        </is>
      </c>
      <c r="E37" s="445" t="n">
        <v>0.00194</v>
      </c>
      <c r="F37" s="368" t="n">
        <v>12606</v>
      </c>
      <c r="G37" s="238">
        <f>ROUND(E37*F37,2)</f>
        <v/>
      </c>
      <c r="H37" s="228">
        <f>G37/$G$51</f>
        <v/>
      </c>
      <c r="I37" s="238">
        <f>ROUND(F37*'Прил. 10'!$D$13,2)</f>
        <v/>
      </c>
      <c r="J37" s="238">
        <f>ROUND(I37*E37,2)</f>
        <v/>
      </c>
    </row>
    <row r="38" ht="25.5" customFormat="1" customHeight="1" s="310">
      <c r="A38" s="366" t="n">
        <v>14</v>
      </c>
      <c r="B38" s="366" t="inlineStr">
        <is>
          <t>999-9950</t>
        </is>
      </c>
      <c r="C38" s="365" t="inlineStr">
        <is>
          <t>Вспомогательные ненормируемые ресурсы (2% от Оплаты труда рабочих)</t>
        </is>
      </c>
      <c r="D38" s="366" t="inlineStr">
        <is>
          <t>руб</t>
        </is>
      </c>
      <c r="E38" s="445" t="n">
        <v>21.4</v>
      </c>
      <c r="F38" s="368" t="n">
        <v>1</v>
      </c>
      <c r="G38" s="238">
        <f>ROUND(E38*F38,2)</f>
        <v/>
      </c>
      <c r="H38" s="228">
        <f>G38/$G$51</f>
        <v/>
      </c>
      <c r="I38" s="238">
        <f>ROUND(F38*'Прил. 10'!$D$13,2)</f>
        <v/>
      </c>
      <c r="J38" s="238">
        <f>ROUND(I38*E38,2)</f>
        <v/>
      </c>
    </row>
    <row r="39" ht="38.25" customFormat="1" customHeight="1" s="310">
      <c r="A39" s="366" t="n">
        <v>15</v>
      </c>
      <c r="B39" s="366" t="inlineStr">
        <is>
          <t>10.2.02.08-0001</t>
        </is>
      </c>
      <c r="C39" s="365" t="inlineStr">
        <is>
          <t>Проволока медная, круглая, мягкая, электротехническая, диаметр 1,0-3,0 мм и выше</t>
        </is>
      </c>
      <c r="D39" s="366" t="inlineStr">
        <is>
          <t>т</t>
        </is>
      </c>
      <c r="E39" s="445" t="n">
        <v>0.00056</v>
      </c>
      <c r="F39" s="368" t="n">
        <v>37517</v>
      </c>
      <c r="G39" s="238">
        <f>ROUND(E39*F39,2)</f>
        <v/>
      </c>
      <c r="H39" s="228">
        <f>G39/$G$51</f>
        <v/>
      </c>
      <c r="I39" s="238">
        <f>ROUND(F39*'Прил. 10'!$D$13,2)</f>
        <v/>
      </c>
      <c r="J39" s="238">
        <f>ROUND(I39*E39,2)</f>
        <v/>
      </c>
    </row>
    <row r="40" ht="14.25" customFormat="1" customHeight="1" s="310">
      <c r="A40" s="382" t="n"/>
      <c r="B40" s="243" t="n"/>
      <c r="C40" s="244" t="inlineStr">
        <is>
          <t>Итого основные материалы</t>
        </is>
      </c>
      <c r="D40" s="382" t="n"/>
      <c r="E40" s="446" t="n"/>
      <c r="F40" s="248" t="n"/>
      <c r="G40" s="248">
        <f>SUM(G33:G39)</f>
        <v/>
      </c>
      <c r="H40" s="228">
        <f>G40/$G$51</f>
        <v/>
      </c>
      <c r="I40" s="238" t="n"/>
      <c r="J40" s="248">
        <f>SUM(J33:J39)</f>
        <v/>
      </c>
      <c r="K40" s="30" t="n"/>
      <c r="L40" s="30" t="n"/>
    </row>
    <row r="41" hidden="1" outlineLevel="1" ht="14.25" customFormat="1" customHeight="1" s="310">
      <c r="A41" s="366" t="n">
        <v>16</v>
      </c>
      <c r="B41" s="366" t="inlineStr">
        <is>
          <t>14.4.03.02-0011</t>
        </is>
      </c>
      <c r="C41" s="365" t="inlineStr">
        <is>
          <t>Лак бакелитовый ЛБС-1, ЛБС-2</t>
        </is>
      </c>
      <c r="D41" s="366" t="inlineStr">
        <is>
          <t>т</t>
        </is>
      </c>
      <c r="E41" s="445" t="n">
        <v>0.00036</v>
      </c>
      <c r="F41" s="368" t="n">
        <v>42700.01</v>
      </c>
      <c r="G41" s="238">
        <f>ROUND(E41*F41,2)</f>
        <v/>
      </c>
      <c r="H41" s="228">
        <f>G41/$G$51</f>
        <v/>
      </c>
      <c r="I41" s="238">
        <f>ROUND(F41*'Прил. 10'!$D$13,2)</f>
        <v/>
      </c>
      <c r="J41" s="238">
        <f>ROUND(I41*E41,2)</f>
        <v/>
      </c>
    </row>
    <row r="42" hidden="1" outlineLevel="1" ht="25.5" customFormat="1" customHeight="1" s="310">
      <c r="A42" s="366" t="n">
        <v>17</v>
      </c>
      <c r="B42" s="366" t="inlineStr">
        <is>
          <t>10.3.02.03-0013</t>
        </is>
      </c>
      <c r="C42" s="365" t="inlineStr">
        <is>
          <t>Припои оловянно-свинцовые бессурьмянистые, марка ПОС61</t>
        </is>
      </c>
      <c r="D42" s="366" t="inlineStr">
        <is>
          <t>т</t>
        </is>
      </c>
      <c r="E42" s="445" t="n">
        <v>0.00012</v>
      </c>
      <c r="F42" s="368" t="n">
        <v>114220</v>
      </c>
      <c r="G42" s="238">
        <f>ROUND(E42*F42,2)</f>
        <v/>
      </c>
      <c r="H42" s="228">
        <f>G42/$G$51</f>
        <v/>
      </c>
      <c r="I42" s="238">
        <f>ROUND(F42*'Прил. 10'!$D$13,2)</f>
        <v/>
      </c>
      <c r="J42" s="238">
        <f>ROUND(I42*E42,2)</f>
        <v/>
      </c>
    </row>
    <row r="43" hidden="1" outlineLevel="1" ht="14.25" customFormat="1" customHeight="1" s="310">
      <c r="A43" s="366" t="n">
        <v>18</v>
      </c>
      <c r="B43" s="366" t="inlineStr">
        <is>
          <t>01.7.19.07-0003</t>
        </is>
      </c>
      <c r="C43" s="365" t="inlineStr">
        <is>
          <t>Резина прессованная</t>
        </is>
      </c>
      <c r="D43" s="366" t="inlineStr">
        <is>
          <t>кг</t>
        </is>
      </c>
      <c r="E43" s="445" t="n">
        <v>0.24</v>
      </c>
      <c r="F43" s="368" t="n">
        <v>28.26</v>
      </c>
      <c r="G43" s="238">
        <f>ROUND(E43*F43,2)</f>
        <v/>
      </c>
      <c r="H43" s="228">
        <f>G43/$G$51</f>
        <v/>
      </c>
      <c r="I43" s="238">
        <f>ROUND(F43*'Прил. 10'!$D$13,2)</f>
        <v/>
      </c>
      <c r="J43" s="238">
        <f>ROUND(I43*E43,2)</f>
        <v/>
      </c>
    </row>
    <row r="44" hidden="1" outlineLevel="1" ht="14.25" customFormat="1" customHeight="1" s="310">
      <c r="A44" s="366" t="n">
        <v>19</v>
      </c>
      <c r="B44" s="366" t="inlineStr">
        <is>
          <t>01.7.11.06-0028</t>
        </is>
      </c>
      <c r="C44" s="365" t="inlineStr">
        <is>
          <t>Флюс ФКДТ</t>
        </is>
      </c>
      <c r="D44" s="366" t="inlineStr">
        <is>
          <t>кг</t>
        </is>
      </c>
      <c r="E44" s="445" t="n">
        <v>0.037</v>
      </c>
      <c r="F44" s="368" t="n">
        <v>138.76</v>
      </c>
      <c r="G44" s="238">
        <f>ROUND(E44*F44,2)</f>
        <v/>
      </c>
      <c r="H44" s="228">
        <f>G44/$G$51</f>
        <v/>
      </c>
      <c r="I44" s="238">
        <f>ROUND(F44*'Прил. 10'!$D$13,2)</f>
        <v/>
      </c>
      <c r="J44" s="238">
        <f>ROUND(I44*E44,2)</f>
        <v/>
      </c>
    </row>
    <row r="45" hidden="1" outlineLevel="1" ht="38.25" customFormat="1" customHeight="1" s="310">
      <c r="A45" s="366" t="n">
        <v>20</v>
      </c>
      <c r="B45" s="366" t="inlineStr">
        <is>
          <t>01.7.05.03-0006</t>
        </is>
      </c>
      <c r="C45" s="365" t="inlineStr">
        <is>
          <t>Лакоткани стеклянные ЛСК-155/180, ширина 690, 790, 890, 940, 990, 1060, 1140 мм, толщина 0,08 мм</t>
        </is>
      </c>
      <c r="D45" s="366" t="inlineStr">
        <is>
          <t>10 м2</t>
        </is>
      </c>
      <c r="E45" s="445" t="n">
        <v>0.006</v>
      </c>
      <c r="F45" s="368" t="n">
        <v>405.22</v>
      </c>
      <c r="G45" s="238">
        <f>ROUND(E45*F45,2)</f>
        <v/>
      </c>
      <c r="H45" s="228">
        <f>G45/$G$51</f>
        <v/>
      </c>
      <c r="I45" s="238">
        <f>ROUND(F45*'Прил. 10'!$D$13,2)</f>
        <v/>
      </c>
      <c r="J45" s="238">
        <f>ROUND(I45*E45,2)</f>
        <v/>
      </c>
    </row>
    <row r="46" hidden="1" outlineLevel="1" ht="25.5" customFormat="1" customHeight="1" s="310">
      <c r="A46" s="366" t="n">
        <v>21</v>
      </c>
      <c r="B46" s="366" t="inlineStr">
        <is>
          <t>01.7.06.03-0023</t>
        </is>
      </c>
      <c r="C46" s="365" t="inlineStr">
        <is>
          <t>Лента полиэтиленовая с липким слоем, марка А</t>
        </is>
      </c>
      <c r="D46" s="366" t="inlineStr">
        <is>
          <t>кг</t>
        </is>
      </c>
      <c r="E46" s="445" t="n">
        <v>0.052</v>
      </c>
      <c r="F46" s="368" t="n">
        <v>39.02</v>
      </c>
      <c r="G46" s="238">
        <f>ROUND(E46*F46,2)</f>
        <v/>
      </c>
      <c r="H46" s="228">
        <f>G46/$G$51</f>
        <v/>
      </c>
      <c r="I46" s="238">
        <f>ROUND(F46*'Прил. 10'!$D$13,2)</f>
        <v/>
      </c>
      <c r="J46" s="238">
        <f>ROUND(I46*E46,2)</f>
        <v/>
      </c>
    </row>
    <row r="47" hidden="1" outlineLevel="1" ht="25.5" customFormat="1" customHeight="1" s="310">
      <c r="A47" s="366" t="n">
        <v>22</v>
      </c>
      <c r="B47" s="366" t="inlineStr">
        <is>
          <t>24.3.01.01-0004</t>
        </is>
      </c>
      <c r="C47" s="365" t="inlineStr">
        <is>
          <t>Трубка электроизоляционная ПВХ-305, диаметр 6-10 мм</t>
        </is>
      </c>
      <c r="D47" s="366" t="inlineStr">
        <is>
          <t>кг</t>
        </is>
      </c>
      <c r="E47" s="445" t="n">
        <v>0.04</v>
      </c>
      <c r="F47" s="368" t="n">
        <v>38.34</v>
      </c>
      <c r="G47" s="238">
        <f>ROUND(E47*F47,2)</f>
        <v/>
      </c>
      <c r="H47" s="228">
        <f>G47/$G$51</f>
        <v/>
      </c>
      <c r="I47" s="238">
        <f>ROUND(F47*'Прил. 10'!$D$13,2)</f>
        <v/>
      </c>
      <c r="J47" s="238">
        <f>ROUND(I47*E47,2)</f>
        <v/>
      </c>
    </row>
    <row r="48" hidden="1" outlineLevel="1" ht="25.5" customFormat="1" customHeight="1" s="310">
      <c r="A48" s="366" t="n">
        <v>23</v>
      </c>
      <c r="B48" s="366" t="inlineStr">
        <is>
          <t>01.7.07.03-0007</t>
        </is>
      </c>
      <c r="C48" s="365" t="inlineStr">
        <is>
          <t>Воск полиэтиленовый неокисленный ПВ-25, ПВ-100, ПВ-200, ПВ-300, ПВ-500</t>
        </is>
      </c>
      <c r="D48" s="366" t="inlineStr">
        <is>
          <t>т</t>
        </is>
      </c>
      <c r="E48" s="445" t="n">
        <v>4.8e-05</v>
      </c>
      <c r="F48" s="368" t="n">
        <v>22419</v>
      </c>
      <c r="G48" s="238">
        <f>ROUND(E48*F48,2)</f>
        <v/>
      </c>
      <c r="H48" s="228">
        <f>G48/$G$51</f>
        <v/>
      </c>
      <c r="I48" s="238">
        <f>ROUND(F48*'Прил. 10'!$D$13,2)</f>
        <v/>
      </c>
      <c r="J48" s="238">
        <f>ROUND(I48*E48,2)</f>
        <v/>
      </c>
    </row>
    <row r="49" hidden="1" outlineLevel="1" ht="14.25" customFormat="1" customHeight="1" s="310">
      <c r="A49" s="366" t="n">
        <v>24</v>
      </c>
      <c r="B49" s="366" t="inlineStr">
        <is>
          <t>999-0005</t>
        </is>
      </c>
      <c r="C49" s="365" t="inlineStr">
        <is>
          <t>Масса</t>
        </is>
      </c>
      <c r="D49" s="366" t="inlineStr">
        <is>
          <t>т</t>
        </is>
      </c>
      <c r="E49" s="445" t="n">
        <v>0.35</v>
      </c>
      <c r="F49" s="368" t="n"/>
      <c r="G49" s="238">
        <f>ROUND(E49*F49,2)</f>
        <v/>
      </c>
      <c r="H49" s="228">
        <f>G49/$G$51</f>
        <v/>
      </c>
      <c r="I49" s="238">
        <f>ROUND(F49*'Прил. 10'!$D$13,2)</f>
        <v/>
      </c>
      <c r="J49" s="238">
        <f>ROUND(I49*E49,2)</f>
        <v/>
      </c>
    </row>
    <row r="50" collapsed="1" ht="14.25" customFormat="1" customHeight="1" s="310">
      <c r="A50" s="366" t="n"/>
      <c r="B50" s="366" t="n"/>
      <c r="C50" s="365" t="inlineStr">
        <is>
          <t>Итого прочие материалы</t>
        </is>
      </c>
      <c r="D50" s="366" t="n"/>
      <c r="E50" s="367" t="n"/>
      <c r="F50" s="368" t="n"/>
      <c r="G50" s="238">
        <f>SUM(G41:G49)</f>
        <v/>
      </c>
      <c r="H50" s="228">
        <f>G50/$G$51</f>
        <v/>
      </c>
      <c r="I50" s="238" t="n"/>
      <c r="J50" s="238">
        <f>SUM(J41:J49)</f>
        <v/>
      </c>
    </row>
    <row r="51" ht="14.25" customFormat="1" customHeight="1" s="310">
      <c r="A51" s="366" t="n"/>
      <c r="B51" s="366" t="n"/>
      <c r="C51" s="364" t="inlineStr">
        <is>
          <t>Итого по разделу «Материалы»</t>
        </is>
      </c>
      <c r="D51" s="366" t="n"/>
      <c r="E51" s="367" t="n"/>
      <c r="F51" s="368" t="n"/>
      <c r="G51" s="238">
        <f>G40+G50</f>
        <v/>
      </c>
      <c r="H51" s="369">
        <f>G51/$G$51</f>
        <v/>
      </c>
      <c r="I51" s="238" t="n"/>
      <c r="J51" s="238">
        <f>J40+J50</f>
        <v/>
      </c>
    </row>
    <row r="52" ht="14.25" customFormat="1" customHeight="1" s="310">
      <c r="A52" s="366" t="n"/>
      <c r="B52" s="366" t="n"/>
      <c r="C52" s="365" t="inlineStr">
        <is>
          <t>ИТОГО ПО РМ</t>
        </is>
      </c>
      <c r="D52" s="366" t="n"/>
      <c r="E52" s="367" t="n"/>
      <c r="F52" s="368" t="n"/>
      <c r="G52" s="238">
        <f>G14+G23+G51</f>
        <v/>
      </c>
      <c r="H52" s="369" t="n"/>
      <c r="I52" s="238" t="n"/>
      <c r="J52" s="238">
        <f>J14+J23+J51</f>
        <v/>
      </c>
    </row>
    <row r="53" ht="14.25" customFormat="1" customHeight="1" s="310">
      <c r="A53" s="366" t="n"/>
      <c r="B53" s="366" t="n"/>
      <c r="C53" s="365" t="inlineStr">
        <is>
          <t>Накладные расходы</t>
        </is>
      </c>
      <c r="D53" s="249">
        <f>ROUND(G53/(G$16+$G$14),2)</f>
        <v/>
      </c>
      <c r="E53" s="367" t="n"/>
      <c r="F53" s="368" t="n"/>
      <c r="G53" s="238" t="n">
        <v>1029.87</v>
      </c>
      <c r="H53" s="369" t="n"/>
      <c r="I53" s="238" t="n"/>
      <c r="J53" s="238">
        <f>ROUND(D53*(J14+J16),2)</f>
        <v/>
      </c>
    </row>
    <row r="54" ht="14.25" customFormat="1" customHeight="1" s="310">
      <c r="A54" s="366" t="n"/>
      <c r="B54" s="366" t="n"/>
      <c r="C54" s="365" t="inlineStr">
        <is>
          <t>Сметная прибыль</t>
        </is>
      </c>
      <c r="D54" s="249">
        <f>ROUND(G54/(G$14+G$16),2)</f>
        <v/>
      </c>
      <c r="E54" s="367" t="n"/>
      <c r="F54" s="368" t="n"/>
      <c r="G54" s="238" t="n">
        <v>569.1799999999999</v>
      </c>
      <c r="H54" s="369" t="n"/>
      <c r="I54" s="238" t="n"/>
      <c r="J54" s="238">
        <f>ROUND(D54*(J14+J16),2)</f>
        <v/>
      </c>
    </row>
    <row r="55" ht="14.25" customFormat="1" customHeight="1" s="310">
      <c r="A55" s="366" t="n"/>
      <c r="B55" s="366" t="n"/>
      <c r="C55" s="365" t="inlineStr">
        <is>
          <t>Итого СМР (с НР и СП)</t>
        </is>
      </c>
      <c r="D55" s="366" t="n"/>
      <c r="E55" s="367" t="n"/>
      <c r="F55" s="368" t="n"/>
      <c r="G55" s="238">
        <f>G14+G23+G51+G53+G54</f>
        <v/>
      </c>
      <c r="H55" s="369" t="n"/>
      <c r="I55" s="238" t="n"/>
      <c r="J55" s="238">
        <f>J14+J23+J51+J53+J54</f>
        <v/>
      </c>
    </row>
    <row r="56" ht="14.25" customFormat="1" customHeight="1" s="310">
      <c r="A56" s="366" t="n"/>
      <c r="B56" s="366" t="n"/>
      <c r="C56" s="365" t="inlineStr">
        <is>
          <t>ВСЕГО СМР + ОБОРУДОВАНИЕ</t>
        </is>
      </c>
      <c r="D56" s="366" t="n"/>
      <c r="E56" s="367" t="n"/>
      <c r="F56" s="368" t="n"/>
      <c r="G56" s="238">
        <f>G55+G29</f>
        <v/>
      </c>
      <c r="H56" s="369" t="n"/>
      <c r="I56" s="238" t="n"/>
      <c r="J56" s="238">
        <f>J55+J29</f>
        <v/>
      </c>
    </row>
    <row r="57" ht="34.5" customFormat="1" customHeight="1" s="310">
      <c r="A57" s="366" t="n"/>
      <c r="B57" s="366" t="n"/>
      <c r="C57" s="365" t="inlineStr">
        <is>
          <t>ИТОГО ПОКАЗАТЕЛЬ НА ЕД. ИЗМ.</t>
        </is>
      </c>
      <c r="D57" s="366" t="inlineStr">
        <is>
          <t>ед.</t>
        </is>
      </c>
      <c r="E57" s="447" t="n">
        <v>2</v>
      </c>
      <c r="F57" s="368" t="n"/>
      <c r="G57" s="238">
        <f>G56/E57</f>
        <v/>
      </c>
      <c r="H57" s="369" t="n"/>
      <c r="I57" s="238" t="n"/>
      <c r="J57" s="238">
        <f>J56/E57</f>
        <v/>
      </c>
    </row>
    <row r="59" ht="14.25" customFormat="1" customHeight="1" s="310">
      <c r="A59" s="309" t="inlineStr">
        <is>
          <t>Составил ______________________    Д.Ю. Нефедова</t>
        </is>
      </c>
    </row>
    <row r="60" ht="14.25" customFormat="1" customHeight="1" s="310">
      <c r="A60" s="312" t="inlineStr">
        <is>
          <t xml:space="preserve">                         (подпись, инициалы, фамилия)</t>
        </is>
      </c>
    </row>
    <row r="61" ht="14.25" customFormat="1" customHeight="1" s="310">
      <c r="A61" s="309" t="n"/>
    </row>
    <row r="62" ht="14.25" customFormat="1" customHeight="1" s="310">
      <c r="A62" s="309" t="inlineStr">
        <is>
          <t>Проверил ______________________        А.В. Костянецкая</t>
        </is>
      </c>
    </row>
    <row r="63" ht="14.25" customFormat="1" customHeight="1" s="310">
      <c r="A63" s="312" t="inlineStr">
        <is>
          <t xml:space="preserve">                        (подпись, инициалы, фамилия)</t>
        </is>
      </c>
    </row>
  </sheetData>
  <mergeCells count="20">
    <mergeCell ref="H9:H10"/>
    <mergeCell ref="B24:H24"/>
    <mergeCell ref="B15:H15"/>
    <mergeCell ref="D5:J5"/>
    <mergeCell ref="A6:H6"/>
    <mergeCell ref="C9:C10"/>
    <mergeCell ref="B32:H32"/>
    <mergeCell ref="E9:E10"/>
    <mergeCell ref="A7:H7"/>
    <mergeCell ref="B25:H25"/>
    <mergeCell ref="B31:H31"/>
    <mergeCell ref="B9:B10"/>
    <mergeCell ref="D9:D10"/>
    <mergeCell ref="B18:H18"/>
    <mergeCell ref="B12:H12"/>
    <mergeCell ref="F9:G9"/>
    <mergeCell ref="B17:H17"/>
    <mergeCell ref="A9:A10"/>
    <mergeCell ref="A3:J3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C17" sqref="C17"/>
    </sheetView>
  </sheetViews>
  <sheetFormatPr baseColWidth="8" defaultRowHeight="15"/>
  <cols>
    <col width="5.7109375" customWidth="1" style="313" min="1" max="1"/>
    <col width="17.5703125" customWidth="1" style="313" min="2" max="2"/>
    <col width="39.140625" customWidth="1" style="313" min="3" max="3"/>
    <col width="10.7109375" customWidth="1" style="313" min="4" max="4"/>
    <col width="13.85546875" customWidth="1" style="313" min="5" max="5"/>
    <col width="13.28515625" customWidth="1" style="313" min="6" max="6"/>
    <col width="14.140625" customWidth="1" style="313" min="7" max="7"/>
  </cols>
  <sheetData>
    <row r="1">
      <c r="A1" s="384" t="inlineStr">
        <is>
          <t>Приложение №6</t>
        </is>
      </c>
    </row>
    <row r="2" ht="21.75" customHeight="1" s="313">
      <c r="A2" s="384" t="n"/>
      <c r="B2" s="384" t="n"/>
      <c r="C2" s="384" t="n"/>
      <c r="D2" s="384" t="n"/>
      <c r="E2" s="384" t="n"/>
      <c r="F2" s="384" t="n"/>
      <c r="G2" s="384" t="n"/>
    </row>
    <row r="3">
      <c r="A3" s="335" t="inlineStr">
        <is>
          <t>Расчет стоимости оборудования</t>
        </is>
      </c>
    </row>
    <row r="4" ht="25.5" customHeight="1" s="313">
      <c r="A4" s="338" t="inlineStr">
        <is>
          <t>Наименование разрабатываемого показателя УНЦ — Комплекс систем безопасности ПС. АРМ персонала комплекса систем безопасности</t>
        </is>
      </c>
    </row>
    <row r="5">
      <c r="A5" s="309" t="n"/>
      <c r="B5" s="309" t="n"/>
      <c r="C5" s="309" t="n"/>
      <c r="D5" s="309" t="n"/>
      <c r="E5" s="309" t="n"/>
      <c r="F5" s="309" t="n"/>
      <c r="G5" s="309" t="n"/>
    </row>
    <row r="6" ht="30" customHeight="1" s="313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6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3">
      <c r="A9" s="252" t="n"/>
      <c r="B9" s="365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3">
      <c r="A10" s="366" t="n"/>
      <c r="B10" s="364" t="n"/>
      <c r="C10" s="365" t="inlineStr">
        <is>
          <t>ИТОГО ИНЖЕНЕРНОЕ ОБОРУДОВАНИЕ</t>
        </is>
      </c>
      <c r="D10" s="364" t="n"/>
      <c r="E10" s="253" t="n"/>
      <c r="F10" s="368" t="n"/>
      <c r="G10" s="238" t="n">
        <v>0</v>
      </c>
    </row>
    <row r="11">
      <c r="A11" s="366" t="n"/>
      <c r="B11" s="365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145.9" customFormat="1" customHeight="1" s="315">
      <c r="A12" s="366" t="n">
        <v>1</v>
      </c>
      <c r="B12" s="365">
        <f>'Прил.5 Расчет СМР и ОБ'!B26</f>
        <v/>
      </c>
      <c r="C12" s="365">
        <f>'Прил.5 Расчет СМР и ОБ'!C26</f>
        <v/>
      </c>
      <c r="D12" s="366">
        <f>'Прил.5 Расчет СМР и ОБ'!D26</f>
        <v/>
      </c>
      <c r="E12" s="445">
        <f>'Прил.5 Расчет СМР и ОБ'!E26</f>
        <v/>
      </c>
      <c r="F12" s="368">
        <f>'Прил.5 Расчет СМР и ОБ'!F26</f>
        <v/>
      </c>
      <c r="G12" s="238">
        <f>ROUND(E12*F12,2)</f>
        <v/>
      </c>
    </row>
    <row r="13" ht="25.5" customHeight="1" s="313">
      <c r="A13" s="366" t="n"/>
      <c r="B13" s="365" t="n"/>
      <c r="C13" s="365" t="inlineStr">
        <is>
          <t>ИТОГО ТЕХНОЛОГИЧЕСКОЕ ОБОРУДОВАНИЕ</t>
        </is>
      </c>
      <c r="D13" s="365" t="n"/>
      <c r="E13" s="388" t="n"/>
      <c r="F13" s="368" t="n"/>
      <c r="G13" s="238">
        <f>SUM(G12:G12)</f>
        <v/>
      </c>
    </row>
    <row r="14" ht="19.5" customHeight="1" s="313">
      <c r="A14" s="366" t="n"/>
      <c r="B14" s="365" t="n"/>
      <c r="C14" s="365" t="inlineStr">
        <is>
          <t>Всего по разделу «Оборудование»</t>
        </is>
      </c>
      <c r="D14" s="365" t="n"/>
      <c r="E14" s="388" t="n"/>
      <c r="F14" s="368" t="n"/>
      <c r="G14" s="238">
        <f>G10+G13</f>
        <v/>
      </c>
    </row>
    <row r="15">
      <c r="A15" s="311" t="n"/>
      <c r="B15" s="258" t="n"/>
      <c r="C15" s="311" t="n"/>
      <c r="D15" s="311" t="n"/>
      <c r="E15" s="311" t="n"/>
      <c r="F15" s="311" t="n"/>
      <c r="G15" s="311" t="n"/>
    </row>
    <row r="16">
      <c r="A16" s="309" t="inlineStr">
        <is>
          <t>Составил ______________________    Д.Ю. Нефедова</t>
        </is>
      </c>
      <c r="B16" s="310" t="n"/>
      <c r="C16" s="310" t="n"/>
      <c r="D16" s="311" t="n"/>
      <c r="E16" s="311" t="n"/>
      <c r="F16" s="311" t="n"/>
      <c r="G16" s="311" t="n"/>
    </row>
    <row r="17">
      <c r="A17" s="312" t="inlineStr">
        <is>
          <t xml:space="preserve">                         (подпись, инициалы, фамилия)</t>
        </is>
      </c>
      <c r="B17" s="310" t="n"/>
      <c r="C17" s="310" t="n"/>
      <c r="D17" s="311" t="n"/>
      <c r="E17" s="311" t="n"/>
      <c r="F17" s="311" t="n"/>
      <c r="G17" s="311" t="n"/>
    </row>
    <row r="18">
      <c r="A18" s="309" t="n"/>
      <c r="B18" s="310" t="n"/>
      <c r="C18" s="310" t="n"/>
      <c r="D18" s="311" t="n"/>
      <c r="E18" s="311" t="n"/>
      <c r="F18" s="311" t="n"/>
      <c r="G18" s="311" t="n"/>
    </row>
    <row r="19">
      <c r="A19" s="309" t="inlineStr">
        <is>
          <t>Проверил ______________________        А.В. Костянецкая</t>
        </is>
      </c>
      <c r="B19" s="310" t="n"/>
      <c r="C19" s="310" t="n"/>
      <c r="D19" s="311" t="n"/>
      <c r="E19" s="311" t="n"/>
      <c r="F19" s="311" t="n"/>
      <c r="G19" s="311" t="n"/>
    </row>
    <row r="20">
      <c r="A20" s="312" t="inlineStr">
        <is>
          <t xml:space="preserve">                        (подпись, инициалы, фамилия)</t>
        </is>
      </c>
      <c r="B20" s="310" t="n"/>
      <c r="C20" s="310" t="n"/>
      <c r="D20" s="311" t="n"/>
      <c r="E20" s="311" t="n"/>
      <c r="F20" s="311" t="n"/>
      <c r="G20" s="3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4" sqref="B14"/>
    </sheetView>
  </sheetViews>
  <sheetFormatPr baseColWidth="8" defaultRowHeight="15"/>
  <cols>
    <col width="12.7109375" customWidth="1" style="313" min="1" max="1"/>
    <col width="16.42578125" customWidth="1" style="313" min="2" max="2"/>
    <col width="37.140625" customWidth="1" style="313" min="3" max="3"/>
    <col width="49" customWidth="1" style="313" min="4" max="4"/>
    <col width="9.140625" customWidth="1" style="313" min="5" max="5"/>
  </cols>
  <sheetData>
    <row r="1" ht="15.75" customHeight="1" s="313">
      <c r="A1" s="315" t="n"/>
      <c r="B1" s="315" t="n"/>
      <c r="C1" s="315" t="n"/>
      <c r="D1" s="315" t="inlineStr">
        <is>
          <t>Приложение №7</t>
        </is>
      </c>
    </row>
    <row r="2" ht="15.75" customHeight="1" s="313">
      <c r="A2" s="315" t="n"/>
      <c r="B2" s="315" t="n"/>
      <c r="C2" s="315" t="n"/>
      <c r="D2" s="315" t="n"/>
    </row>
    <row r="3" ht="15.75" customHeight="1" s="313">
      <c r="A3" s="315" t="n"/>
      <c r="B3" s="304" t="inlineStr">
        <is>
          <t>Расчет показателя УНЦ</t>
        </is>
      </c>
      <c r="C3" s="315" t="n"/>
      <c r="D3" s="315" t="n"/>
    </row>
    <row r="4" ht="15.75" customHeight="1" s="313">
      <c r="A4" s="315" t="n"/>
      <c r="B4" s="315" t="n"/>
      <c r="C4" s="315" t="n"/>
      <c r="D4" s="315" t="n"/>
    </row>
    <row r="5" ht="31.5" customHeight="1" s="313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ОБ'!D5:J5</f>
        <v/>
      </c>
    </row>
    <row r="6" ht="15.75" customHeight="1" s="313">
      <c r="A6" s="315" t="inlineStr">
        <is>
          <t>Единица измерения  — 1 ед</t>
        </is>
      </c>
      <c r="B6" s="315" t="n"/>
      <c r="C6" s="315" t="n"/>
      <c r="D6" s="315" t="n"/>
    </row>
    <row r="7" ht="15.75" customHeight="1" s="313">
      <c r="A7" s="315" t="n"/>
      <c r="B7" s="315" t="n"/>
      <c r="C7" s="315" t="n"/>
      <c r="D7" s="315" t="n"/>
    </row>
    <row r="8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3">
      <c r="A10" s="351" t="n">
        <v>1</v>
      </c>
      <c r="B10" s="351" t="n">
        <v>2</v>
      </c>
      <c r="C10" s="351" t="n">
        <v>3</v>
      </c>
      <c r="D10" s="351" t="n">
        <v>4</v>
      </c>
    </row>
    <row r="11" ht="63" customHeight="1" s="313">
      <c r="A11" s="351" t="inlineStr">
        <is>
          <t>И15-03</t>
        </is>
      </c>
      <c r="B11" s="351" t="inlineStr">
        <is>
          <t xml:space="preserve">УНЦ комплекса систем безопасности ПС </t>
        </is>
      </c>
      <c r="C11" s="307">
        <f>D5</f>
        <v/>
      </c>
      <c r="D11" s="321">
        <f>'Прил.4 РМ'!C41/1000</f>
        <v/>
      </c>
    </row>
    <row r="13">
      <c r="A13" s="309" t="inlineStr">
        <is>
          <t>Составил ______________________      Д.Ю. Нефедова</t>
        </is>
      </c>
      <c r="B13" s="310" t="n"/>
      <c r="C13" s="310" t="n"/>
      <c r="D13" s="311" t="n"/>
    </row>
    <row r="14">
      <c r="A14" s="312" t="inlineStr">
        <is>
          <t xml:space="preserve">                         (подпись, инициалы, фамилия)</t>
        </is>
      </c>
      <c r="B14" s="310" t="n"/>
      <c r="C14" s="310" t="n"/>
      <c r="D14" s="311" t="n"/>
    </row>
    <row r="15">
      <c r="A15" s="309" t="n"/>
      <c r="B15" s="310" t="n"/>
      <c r="C15" s="310" t="n"/>
      <c r="D15" s="311" t="n"/>
    </row>
    <row r="16">
      <c r="A16" s="309" t="inlineStr">
        <is>
          <t>Проверил ______________________        А.В. Костянецкая</t>
        </is>
      </c>
      <c r="B16" s="310" t="n"/>
      <c r="C16" s="310" t="n"/>
      <c r="D16" s="311" t="n"/>
    </row>
    <row r="17">
      <c r="A17" s="312" t="inlineStr">
        <is>
          <t xml:space="preserve">                        (подпись, инициалы, фамилия)</t>
        </is>
      </c>
      <c r="B17" s="310" t="n"/>
      <c r="C17" s="310" t="n"/>
      <c r="D17" s="3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16" zoomScale="60" zoomScaleNormal="85" workbookViewId="0">
      <selection activeCell="B28" sqref="B28"/>
    </sheetView>
  </sheetViews>
  <sheetFormatPr baseColWidth="8" defaultRowHeight="15"/>
  <cols>
    <col width="9.140625" customWidth="1" style="313" min="1" max="1"/>
    <col width="40.7109375" customWidth="1" style="313" min="2" max="2"/>
    <col width="37" customWidth="1" style="313" min="3" max="3"/>
    <col width="32" customWidth="1" style="313" min="4" max="4"/>
    <col width="9.140625" customWidth="1" style="313" min="5" max="5"/>
  </cols>
  <sheetData>
    <row r="4" ht="15.75" customHeight="1" s="313">
      <c r="B4" s="342" t="inlineStr">
        <is>
          <t>Приложение № 10</t>
        </is>
      </c>
    </row>
    <row r="5" ht="18.75" customHeight="1" s="313">
      <c r="B5" s="259" t="n"/>
    </row>
    <row r="6" ht="15.75" customHeight="1" s="313">
      <c r="B6" s="34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13">
      <c r="B10" s="351" t="n">
        <v>1</v>
      </c>
      <c r="C10" s="351" t="n">
        <v>2</v>
      </c>
      <c r="D10" s="351" t="n">
        <v>3</v>
      </c>
    </row>
    <row r="11" ht="45" customHeight="1" s="31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прил.1</t>
        </is>
      </c>
      <c r="D11" s="351" t="n">
        <v>44.29</v>
      </c>
    </row>
    <row r="12" ht="29.25" customHeight="1" s="31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прил.1</t>
        </is>
      </c>
      <c r="D12" s="351" t="n">
        <v>13.47</v>
      </c>
    </row>
    <row r="13" ht="29.25" customHeight="1" s="31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прил.1</t>
        </is>
      </c>
      <c r="D13" s="351" t="n">
        <v>8.039999999999999</v>
      </c>
    </row>
    <row r="14" ht="30.75" customHeight="1" s="313">
      <c r="B14" s="351" t="inlineStr">
        <is>
          <t>Индекс изменения сметной стоимости на 1 квартал 2023 года. ОБ</t>
        </is>
      </c>
      <c r="C14" s="170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13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60" t="n">
        <v>0.039</v>
      </c>
    </row>
    <row r="16" ht="78.75" customHeight="1" s="31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60" t="n">
        <v>0.021</v>
      </c>
    </row>
    <row r="17" ht="34.5" customHeight="1" s="313">
      <c r="B17" s="351" t="inlineStr">
        <is>
          <t>Пусконаладочные работы*</t>
        </is>
      </c>
      <c r="C17" s="351" t="n"/>
      <c r="D17" s="351" t="inlineStr">
        <is>
          <t>Расчет</t>
        </is>
      </c>
    </row>
    <row r="18" ht="31.5" customHeight="1" s="313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260" t="n">
        <v>0.0214</v>
      </c>
    </row>
    <row r="19" ht="31.5" customHeight="1" s="313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260" t="n">
        <v>0.002</v>
      </c>
    </row>
    <row r="20" ht="24" customHeight="1" s="313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260" t="n">
        <v>0.03</v>
      </c>
    </row>
    <row r="21" ht="18.75" customHeight="1" s="313">
      <c r="B21" s="261" t="n"/>
    </row>
    <row r="22" ht="18.75" customHeight="1" s="313">
      <c r="B22" s="261" t="n"/>
    </row>
    <row r="23" ht="18.75" customHeight="1" s="313">
      <c r="B23" s="261" t="n"/>
    </row>
    <row r="24" ht="18.75" customHeight="1" s="313">
      <c r="B24" s="261" t="n"/>
    </row>
    <row r="27">
      <c r="B27" s="309" t="inlineStr">
        <is>
          <t>Составил ______________________        Д.Ю. Нефедова</t>
        </is>
      </c>
      <c r="C27" s="310" t="n"/>
    </row>
    <row r="28">
      <c r="B28" s="312" t="inlineStr">
        <is>
          <t xml:space="preserve">                         (подпись, инициалы, фамилия)</t>
        </is>
      </c>
      <c r="C28" s="310" t="n"/>
    </row>
    <row r="29">
      <c r="B29" s="309" t="n"/>
      <c r="C29" s="310" t="n"/>
    </row>
    <row r="30">
      <c r="B30" s="309" t="inlineStr">
        <is>
          <t>Проверил ______________________        А.В. Костянецкая</t>
        </is>
      </c>
      <c r="C30" s="310" t="n"/>
    </row>
    <row r="31">
      <c r="B31" s="312" t="inlineStr">
        <is>
          <t xml:space="preserve">                        (подпись, инициалы, фамилия)</t>
        </is>
      </c>
      <c r="C31" s="3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313" min="2" max="2"/>
    <col width="13" customWidth="1" style="313" min="3" max="3"/>
    <col width="22.85546875" customWidth="1" style="313" min="4" max="4"/>
    <col width="21.5703125" customWidth="1" style="313" min="5" max="5"/>
    <col width="43.85546875" customWidth="1" style="313" min="6" max="6"/>
  </cols>
  <sheetData>
    <row r="1" s="313"/>
    <row r="2" ht="17.25" customHeight="1" s="313">
      <c r="A2" s="343" t="inlineStr">
        <is>
          <t>Расчет размера средств на оплату труда рабочих-строителей в текущем уровне цен (ФОТр.тек.)</t>
        </is>
      </c>
    </row>
    <row r="3" s="313"/>
    <row r="4" ht="18" customHeight="1" s="313">
      <c r="A4" s="314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313">
      <c r="A5" s="316" t="inlineStr">
        <is>
          <t>№ пп.</t>
        </is>
      </c>
      <c r="B5" s="316" t="inlineStr">
        <is>
          <t>Наименование элемента</t>
        </is>
      </c>
      <c r="C5" s="316" t="inlineStr">
        <is>
          <t>Обозначение</t>
        </is>
      </c>
      <c r="D5" s="316" t="inlineStr">
        <is>
          <t>Формула</t>
        </is>
      </c>
      <c r="E5" s="316" t="inlineStr">
        <is>
          <t>Величина элемента</t>
        </is>
      </c>
      <c r="F5" s="316" t="inlineStr">
        <is>
          <t>Наименования обосновывающих документов</t>
        </is>
      </c>
      <c r="G5" s="315" t="n"/>
    </row>
    <row r="6" ht="15.75" customHeight="1" s="313">
      <c r="A6" s="316" t="n">
        <v>1</v>
      </c>
      <c r="B6" s="316" t="n">
        <v>2</v>
      </c>
      <c r="C6" s="316" t="n">
        <v>3</v>
      </c>
      <c r="D6" s="316" t="n">
        <v>4</v>
      </c>
      <c r="E6" s="316" t="n">
        <v>5</v>
      </c>
      <c r="F6" s="316" t="n">
        <v>6</v>
      </c>
      <c r="G6" s="315" t="n"/>
    </row>
    <row r="7" ht="110.25" customHeight="1" s="313">
      <c r="A7" s="317" t="inlineStr">
        <is>
          <t>1.1</t>
        </is>
      </c>
      <c r="B7" s="3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0" t="n">
        <v>47872.94</v>
      </c>
      <c r="F7" s="3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313">
      <c r="A8" s="317" t="inlineStr">
        <is>
          <t>1.2</t>
        </is>
      </c>
      <c r="B8" s="32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1">
        <f>1973/12</f>
        <v/>
      </c>
      <c r="F8" s="322" t="inlineStr">
        <is>
          <t>Производственный календарь 2023 год
(40-часов.неделя)</t>
        </is>
      </c>
      <c r="G8" s="324" t="n"/>
    </row>
    <row r="9" ht="15.75" customHeight="1" s="313">
      <c r="A9" s="317" t="inlineStr">
        <is>
          <t>1.3</t>
        </is>
      </c>
      <c r="B9" s="32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1" t="n">
        <v>1</v>
      </c>
      <c r="F9" s="322" t="n"/>
      <c r="G9" s="324" t="n"/>
    </row>
    <row r="10" ht="15.75" customHeight="1" s="313">
      <c r="A10" s="317" t="inlineStr">
        <is>
          <t>1.4</t>
        </is>
      </c>
      <c r="B10" s="322" t="inlineStr">
        <is>
          <t>Средний разряд работ</t>
        </is>
      </c>
      <c r="C10" s="351" t="n"/>
      <c r="D10" s="351" t="n"/>
      <c r="E10" s="448" t="n">
        <v>3.9</v>
      </c>
      <c r="F10" s="322" t="inlineStr">
        <is>
          <t>РТМ</t>
        </is>
      </c>
      <c r="G10" s="324" t="n"/>
    </row>
    <row r="11" ht="78.75" customHeight="1" s="313">
      <c r="A11" s="317" t="inlineStr">
        <is>
          <t>1.5</t>
        </is>
      </c>
      <c r="B11" s="32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49" t="n">
        <v>1.324</v>
      </c>
      <c r="F1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313">
      <c r="A12" s="317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50" t="n">
        <v>1.139</v>
      </c>
      <c r="F12" s="3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4" t="n"/>
    </row>
    <row r="13" ht="63" customHeight="1" s="313">
      <c r="A13" s="317" t="inlineStr">
        <is>
          <t>1.7</t>
        </is>
      </c>
      <c r="B13" s="331" t="inlineStr">
        <is>
          <t>Размер средств на оплату труда рабочих-строителей в текущем уровне цен (ФОТр.тек.), руб/чел.-ч</t>
        </is>
      </c>
      <c r="C13" s="351" t="inlineStr">
        <is>
          <t>ФОТр.тек.</t>
        </is>
      </c>
      <c r="D13" s="351" t="inlineStr">
        <is>
          <t>(С1ср/tср*КТ*Т*Кув)*Кинф</t>
        </is>
      </c>
      <c r="E13" s="332">
        <f>((E7*E9/E8)*E11)*E12</f>
        <v/>
      </c>
      <c r="F13" s="3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2025-01-24T12:01:53Z</dcterms:modified>
  <cp:lastModifiedBy>Nikolay Ivanov</cp:lastModifiedBy>
  <cp:lastPrinted>2023-11-30T13:27:00Z</cp:lastPrinted>
</cp:coreProperties>
</file>