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IF(Прил.7!n_3=1,Прил.7!n_2,Прил.7!n_3&amp;Прил.7!n_1)</definedName>
    <definedName name="n1x">IF(Прил.7!n_3=1,Прил.7!n_2,Прил.7!n_3&amp;Прил.7!n_5)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табл'!$A$1:$E$32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стоим'!$A$1:$J$32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ОБ'!$A$1:$J$43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FF99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16" fillId="0" borderId="2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8" fillId="0" borderId="0" pivotButton="0" quotePrefix="0" xfId="0"/>
    <xf numFmtId="49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21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10" fontId="1" fillId="0" borderId="1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6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left" vertical="center"/>
    </xf>
    <xf numFmtId="0" fontId="30" fillId="0" borderId="0" pivotButton="0" quotePrefix="0" xfId="0"/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2" applyAlignment="1" pivotButton="0" quotePrefix="0" xfId="0">
      <alignment horizontal="right" vertical="center" wrapText="1"/>
    </xf>
    <xf numFmtId="0" fontId="19" fillId="0" borderId="6" applyAlignment="1" pivotButton="0" quotePrefix="0" xfId="0">
      <alignment horizontal="right" vertical="center" wrapText="1"/>
    </xf>
    <xf numFmtId="0" fontId="19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3" zoomScale="70" zoomScaleNormal="55" workbookViewId="0">
      <selection activeCell="D25" sqref="D25"/>
    </sheetView>
  </sheetViews>
  <sheetFormatPr baseColWidth="8" defaultColWidth="9.140625" defaultRowHeight="15.75"/>
  <cols>
    <col width="9.140625" customWidth="1" style="300" min="1" max="2"/>
    <col width="36.85546875" customWidth="1" style="300" min="3" max="3"/>
    <col width="36.5703125" customWidth="1" style="300" min="4" max="5"/>
    <col width="17.5703125" customWidth="1" style="300" min="6" max="6"/>
    <col width="18.7109375" customWidth="1" style="300" min="7" max="7"/>
    <col width="9.140625" customWidth="1" style="300" min="8" max="8"/>
  </cols>
  <sheetData>
    <row r="3">
      <c r="B3" s="331" t="inlineStr">
        <is>
          <t>Приложение № 1</t>
        </is>
      </c>
    </row>
    <row r="4">
      <c r="B4" s="332" t="inlineStr">
        <is>
          <t>Сравнительная таблица отбора объекта-представителя</t>
        </is>
      </c>
    </row>
    <row r="5">
      <c r="B5" s="162" t="n"/>
      <c r="C5" s="162" t="n"/>
      <c r="D5" s="162" t="n"/>
      <c r="E5" s="162" t="n"/>
    </row>
    <row r="6">
      <c r="B6" s="162" t="n"/>
      <c r="C6" s="162" t="n"/>
      <c r="D6" s="162" t="n"/>
      <c r="E6" s="162" t="n"/>
    </row>
    <row r="7" ht="33.75" customHeight="1" s="298">
      <c r="B7" s="333" t="inlineStr">
        <is>
          <t>Наименование разрабатываемого показателя УНЦ — Комплекс систем безопасности ПС. Поворотная камера охранного (технологического) видеонаблюдения</t>
        </is>
      </c>
    </row>
    <row r="8" ht="31.5" customHeight="1" s="298">
      <c r="B8" s="334" t="inlineStr">
        <is>
          <t>Сопоставимый уровень цен: 4 кв 2018</t>
        </is>
      </c>
    </row>
    <row r="9">
      <c r="B9" s="334" t="inlineStr">
        <is>
          <t>Единица измерения  — 1 точка наблюдения</t>
        </is>
      </c>
    </row>
    <row r="10">
      <c r="B10" s="334" t="n"/>
    </row>
    <row r="11">
      <c r="B11" s="338" t="inlineStr">
        <is>
          <t>№ п/п</t>
        </is>
      </c>
      <c r="C11" s="338" t="inlineStr">
        <is>
          <t>Параметр</t>
        </is>
      </c>
      <c r="D11" s="312" t="inlineStr">
        <is>
          <t>Объект-представитель 1</t>
        </is>
      </c>
      <c r="E11" s="312" t="inlineStr">
        <is>
          <t>Объект-представитель 2</t>
        </is>
      </c>
    </row>
    <row r="12" ht="157.5" customHeight="1" s="298">
      <c r="B12" s="338" t="n">
        <v>1</v>
      </c>
      <c r="C12" s="312" t="inlineStr">
        <is>
          <t>Наименование объекта-представителя</t>
        </is>
      </c>
      <c r="D12" s="338" t="inlineStr">
        <is>
          <t>ПС 220 кВ Звезда с заходами ВЛ 220 кВ Береговая-2-Перевал. Корректировка</t>
        </is>
      </c>
      <c r="E12" s="338" t="inlineStr">
        <is>
          <t>Строительство ПС 220кВ Восточный НХК трансформаторной мощностью 500 МВА(2х250 МВА), строительство двух одноцепных ВЛ 220 кВ Лозовая - Восточный НХК № 1, 2 ориентировочной протяженностью 30 км каждая с расширением ПС 500 кВ Лозовая на две линейные ячейки 220 кВ.</t>
        </is>
      </c>
    </row>
    <row r="13" ht="31.5" customHeight="1" s="298">
      <c r="B13" s="338" t="n">
        <v>2</v>
      </c>
      <c r="C13" s="312" t="inlineStr">
        <is>
          <t>Наименование субъекта Российской Федерации</t>
        </is>
      </c>
      <c r="D13" s="338" t="inlineStr">
        <is>
          <t>Приморский край</t>
        </is>
      </c>
      <c r="E13" s="338" t="inlineStr">
        <is>
          <t>Приморский край</t>
        </is>
      </c>
    </row>
    <row r="14">
      <c r="B14" s="338" t="n">
        <v>3</v>
      </c>
      <c r="C14" s="312" t="inlineStr">
        <is>
          <t>Климатический район и подрайон</t>
        </is>
      </c>
      <c r="D14" s="338" t="inlineStr">
        <is>
          <t>IIг</t>
        </is>
      </c>
      <c r="E14" s="338" t="inlineStr">
        <is>
          <t>IIг</t>
        </is>
      </c>
    </row>
    <row r="15">
      <c r="B15" s="338" t="n">
        <v>4</v>
      </c>
      <c r="C15" s="312" t="inlineStr">
        <is>
          <t>Мощность объекта</t>
        </is>
      </c>
      <c r="D15" s="338" t="n">
        <v>11</v>
      </c>
      <c r="E15" s="338" t="n">
        <v>11</v>
      </c>
    </row>
    <row r="16" ht="94.5" customHeight="1" s="298">
      <c r="B16" s="33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Подвесная купольная IP поворотная видеокамера с термокожухом и кронштейном IP66 - 11 шт</t>
        </is>
      </c>
      <c r="E16" s="338" t="inlineStr">
        <is>
          <t>Подвесная купольная IP поворотная видеокамера В85-20  - 11 шт</t>
        </is>
      </c>
    </row>
    <row r="17" ht="78.75" customHeight="1" s="298">
      <c r="B17" s="33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6">
        <f>SUM(D18:D21)</f>
        <v/>
      </c>
      <c r="E17" s="166">
        <f>SUM(E18:E21)</f>
        <v/>
      </c>
    </row>
    <row r="18">
      <c r="B18" s="167" t="inlineStr">
        <is>
          <t>6.1</t>
        </is>
      </c>
      <c r="C18" s="312" t="inlineStr">
        <is>
          <t>строительно-монтажные работы</t>
        </is>
      </c>
      <c r="D18" s="166" t="n">
        <v>8.533899999999999</v>
      </c>
      <c r="E18" s="166" t="n">
        <v>81.5324</v>
      </c>
    </row>
    <row r="19" ht="15.75" customHeight="1" s="298">
      <c r="B19" s="167" t="inlineStr">
        <is>
          <t>6.2</t>
        </is>
      </c>
      <c r="C19" s="312" t="inlineStr">
        <is>
          <t>оборудование и инвентарь</t>
        </is>
      </c>
      <c r="D19" s="166" t="n">
        <v>766.5038</v>
      </c>
      <c r="E19" s="166" t="n">
        <v>788.99502</v>
      </c>
    </row>
    <row r="20" ht="16.5" customHeight="1" s="298">
      <c r="B20" s="167" t="inlineStr">
        <is>
          <t>6.3</t>
        </is>
      </c>
      <c r="C20" s="312" t="inlineStr">
        <is>
          <t>пусконаладочные работы</t>
        </is>
      </c>
      <c r="D20" s="166">
        <f>D19/(146205.12*4.28)*4057.67*11.1</f>
        <v/>
      </c>
      <c r="E20" s="166">
        <f>E19/(127854.09*4.37)*7159.83*11.66</f>
        <v/>
      </c>
      <c r="G20" s="168" t="n"/>
    </row>
    <row r="21" ht="35.25" customHeight="1" s="298">
      <c r="B21" s="167" t="inlineStr">
        <is>
          <t>6.4</t>
        </is>
      </c>
      <c r="C21" s="169" t="inlineStr">
        <is>
          <t>прочие и лимитированные затраты</t>
        </is>
      </c>
      <c r="D21" s="166">
        <f>D18*3.9%+(D18+D18*3.9%)*3.2%</f>
        <v/>
      </c>
      <c r="E21" s="166">
        <f>E18*3.9%+(E18+E18*3.9%)*3.2%*1*1.05</f>
        <v/>
      </c>
    </row>
    <row r="22">
      <c r="B22" s="338" t="n">
        <v>7</v>
      </c>
      <c r="C22" s="169" t="inlineStr">
        <is>
          <t>Сопоставимый уровень цен</t>
        </is>
      </c>
      <c r="D22" s="338" t="inlineStr">
        <is>
          <t>3 кв 2017</t>
        </is>
      </c>
      <c r="E22" s="338" t="inlineStr">
        <is>
          <t>3 кв 2017</t>
        </is>
      </c>
    </row>
    <row r="23" ht="123" customHeight="1" s="298">
      <c r="B23" s="338" t="n">
        <v>8</v>
      </c>
      <c r="C23" s="17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6">
        <f>D17</f>
        <v/>
      </c>
      <c r="E23" s="166">
        <f>E17</f>
        <v/>
      </c>
    </row>
    <row r="24" ht="60.75" customHeight="1" s="298">
      <c r="B24" s="33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166">
        <f>D23/D15</f>
        <v/>
      </c>
      <c r="E24" s="166">
        <f>E23/E15</f>
        <v/>
      </c>
    </row>
    <row r="25" ht="118.5" customHeight="1" s="298">
      <c r="B25" s="338" t="n">
        <v>10</v>
      </c>
      <c r="C25" s="312" t="inlineStr">
        <is>
          <t>Примечание</t>
        </is>
      </c>
      <c r="D25" s="338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 
Рекомендуемая расчетная единица  УНЦ - 1 точка наблюдения</t>
        </is>
      </c>
      <c r="E25" s="312" t="n"/>
    </row>
    <row r="26">
      <c r="B26" s="172" t="n"/>
      <c r="C26" s="173" t="n"/>
      <c r="D26" s="173" t="n"/>
      <c r="E26" s="173" t="n"/>
    </row>
    <row r="27">
      <c r="B27" s="174" t="n"/>
    </row>
    <row r="28">
      <c r="B28" s="300" t="inlineStr">
        <is>
          <t>Составил ______________________        Д.Ю. Нефедова</t>
        </is>
      </c>
    </row>
    <row r="29">
      <c r="B29" s="174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174" t="inlineStr">
        <is>
          <t xml:space="preserve">                        (подпись, инициалы, фамилия)</t>
        </is>
      </c>
    </row>
  </sheetData>
  <mergeCells count="5">
    <mergeCell ref="B9:E9"/>
    <mergeCell ref="B8:E8"/>
    <mergeCell ref="B4:E4"/>
    <mergeCell ref="B7:E7"/>
    <mergeCell ref="B3:E3"/>
  </mergeCells>
  <pageMargins left="0.7" right="0.7" top="0.75" bottom="0.75" header="0.3" footer="0.3"/>
  <pageSetup orientation="portrait" paperSize="9" scale="68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32"/>
  <sheetViews>
    <sheetView view="pageBreakPreview" zoomScale="70" zoomScaleNormal="70" workbookViewId="0">
      <selection activeCell="C29" sqref="C29"/>
    </sheetView>
  </sheetViews>
  <sheetFormatPr baseColWidth="8" defaultColWidth="9.140625" defaultRowHeight="15.75"/>
  <cols>
    <col width="5.5703125" customWidth="1" style="300" min="1" max="1"/>
    <col width="9.140625" customWidth="1" style="300" min="2" max="2"/>
    <col width="35.28515625" customWidth="1" style="300" min="3" max="3"/>
    <col width="13.85546875" customWidth="1" style="300" min="4" max="4"/>
    <col width="24.85546875" customWidth="1" style="300" min="5" max="5"/>
    <col width="15.5703125" customWidth="1" style="300" min="6" max="6"/>
    <col width="14.85546875" customWidth="1" style="300" min="7" max="7"/>
    <col width="16.7109375" customWidth="1" style="300" min="8" max="8"/>
    <col width="13" customWidth="1" style="300" min="9" max="10"/>
    <col width="18" customWidth="1" style="300" min="11" max="11"/>
    <col width="9.140625" customWidth="1" style="300" min="12" max="12"/>
  </cols>
  <sheetData>
    <row r="3">
      <c r="B3" s="331" t="inlineStr">
        <is>
          <t>Приложение № 2</t>
        </is>
      </c>
      <c r="K3" s="174" t="n"/>
    </row>
    <row r="4">
      <c r="B4" s="332" t="inlineStr">
        <is>
          <t>Расчет стоимости основных видов работ для выбора объекта-представителя</t>
        </is>
      </c>
    </row>
    <row r="5">
      <c r="B5" s="162" t="n"/>
      <c r="C5" s="162" t="n"/>
      <c r="D5" s="162" t="n"/>
      <c r="E5" s="162" t="n"/>
      <c r="F5" s="162" t="n"/>
      <c r="G5" s="162" t="n"/>
      <c r="H5" s="162" t="n"/>
      <c r="I5" s="162" t="n"/>
      <c r="J5" s="162" t="n"/>
      <c r="K5" s="162" t="n"/>
    </row>
    <row r="6" ht="33" customHeight="1" s="298">
      <c r="B6" s="340" t="inlineStr">
        <is>
          <t>Наименование разрабатываемого показателя УНЦ —  Комплекс систем безопасности ПС. Поворотная камера охранного (технологического) видеонаблюдения</t>
        </is>
      </c>
      <c r="K6" s="174" t="n"/>
      <c r="L6" s="175" t="n"/>
    </row>
    <row r="7">
      <c r="B7" s="334" t="inlineStr">
        <is>
          <t>Единица измерения  — 1 точка наблюдения</t>
        </is>
      </c>
      <c r="L7" s="175" t="n"/>
    </row>
    <row r="8">
      <c r="B8" s="334" t="n"/>
    </row>
    <row r="9" ht="15.75" customHeight="1" s="298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</t>
        </is>
      </c>
      <c r="E9" s="424" t="n"/>
      <c r="F9" s="424" t="n"/>
      <c r="G9" s="424" t="n"/>
      <c r="H9" s="424" t="n"/>
      <c r="I9" s="424" t="n"/>
      <c r="J9" s="425" t="n"/>
    </row>
    <row r="10" ht="15.75" customHeight="1" s="298">
      <c r="B10" s="426" t="n"/>
      <c r="C10" s="426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3 кв. 2016 г., тыс. руб.</t>
        </is>
      </c>
      <c r="G10" s="424" t="n"/>
      <c r="H10" s="424" t="n"/>
      <c r="I10" s="424" t="n"/>
      <c r="J10" s="425" t="n"/>
    </row>
    <row r="11" ht="31.5" customHeight="1" s="298">
      <c r="B11" s="427" t="n"/>
      <c r="C11" s="427" t="n"/>
      <c r="D11" s="427" t="n"/>
      <c r="E11" s="427" t="n"/>
      <c r="F11" s="338" t="inlineStr">
        <is>
          <t>Строительные работы</t>
        </is>
      </c>
      <c r="G11" s="338" t="inlineStr">
        <is>
          <t>Монтажные работы</t>
        </is>
      </c>
      <c r="H11" s="338" t="inlineStr">
        <is>
          <t>Оборудование</t>
        </is>
      </c>
      <c r="I11" s="338" t="inlineStr">
        <is>
          <t>Прочее</t>
        </is>
      </c>
      <c r="J11" s="338" t="inlineStr">
        <is>
          <t>Всего</t>
        </is>
      </c>
    </row>
    <row r="12" ht="63" customHeight="1" s="298">
      <c r="B12" s="249" t="n">
        <v>1</v>
      </c>
      <c r="C12" s="266" t="inlineStr">
        <is>
          <t>Подвесная купольная IP поворотная видеокамера с термокожухом и кронштейном IP66 - 11 шт</t>
        </is>
      </c>
      <c r="D12" s="176" t="inlineStr">
        <is>
          <t>05-01-05</t>
        </is>
      </c>
      <c r="E12" s="307" t="inlineStr">
        <is>
          <t>КСТСБ. Система охранного телевидения ПС 220 кВ Звезда</t>
        </is>
      </c>
      <c r="F12" s="177" t="n"/>
      <c r="G12" s="177" t="n">
        <v>8.533899999999999</v>
      </c>
      <c r="H12" s="177" t="n">
        <v>766.5038</v>
      </c>
      <c r="I12" s="178" t="n"/>
      <c r="J12" s="179">
        <f>SUM(F12:I12)</f>
        <v/>
      </c>
    </row>
    <row r="13" ht="15.75" customHeight="1" s="298">
      <c r="B13" s="339" t="inlineStr">
        <is>
          <t>Всего по объекту:</t>
        </is>
      </c>
      <c r="C13" s="424" t="n"/>
      <c r="D13" s="424" t="n"/>
      <c r="E13" s="425" t="n"/>
      <c r="F13" s="180">
        <f>SUM(F12:F12)</f>
        <v/>
      </c>
      <c r="G13" s="180">
        <f>SUM(G12:G12)</f>
        <v/>
      </c>
      <c r="H13" s="180">
        <f>SUM(H12:H12)</f>
        <v/>
      </c>
      <c r="I13" s="181" t="n"/>
      <c r="J13" s="182">
        <f>SUM(F13:I13)</f>
        <v/>
      </c>
    </row>
    <row r="14" ht="28.5" customHeight="1" s="298">
      <c r="B14" s="339" t="inlineStr">
        <is>
          <t>Всего по объекту в сопоставимом уровне цен 3 кв. 2016 г:</t>
        </is>
      </c>
      <c r="C14" s="424" t="n"/>
      <c r="D14" s="424" t="n"/>
      <c r="E14" s="425" t="n"/>
      <c r="F14" s="180">
        <f>F13</f>
        <v/>
      </c>
      <c r="G14" s="180">
        <f>G13</f>
        <v/>
      </c>
      <c r="H14" s="180">
        <f>H13</f>
        <v/>
      </c>
      <c r="I14" s="181" t="n"/>
      <c r="J14" s="182">
        <f>SUM(F14:I14)</f>
        <v/>
      </c>
    </row>
    <row r="15">
      <c r="B15" s="334" t="n"/>
    </row>
    <row r="16">
      <c r="B16" s="338" t="inlineStr">
        <is>
          <t>№ п/п</t>
        </is>
      </c>
      <c r="C16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6" s="338" t="inlineStr">
        <is>
          <t>Объект-представитель 2</t>
        </is>
      </c>
      <c r="E16" s="424" t="n"/>
      <c r="F16" s="424" t="n"/>
      <c r="G16" s="424" t="n"/>
      <c r="H16" s="424" t="n"/>
      <c r="I16" s="424" t="n"/>
      <c r="J16" s="425" t="n"/>
    </row>
    <row r="17" ht="15.75" customHeight="1" s="298">
      <c r="B17" s="426" t="n"/>
      <c r="C17" s="426" t="n"/>
      <c r="D17" s="338" t="inlineStr">
        <is>
          <t>Номер сметы</t>
        </is>
      </c>
      <c r="E17" s="338" t="inlineStr">
        <is>
          <t>Наименование сметы</t>
        </is>
      </c>
      <c r="F17" s="338" t="inlineStr">
        <is>
          <t>Сметная стоимость в уровне цен 3 кв. 2017 г., тыс. руб.</t>
        </is>
      </c>
      <c r="G17" s="424" t="n"/>
      <c r="H17" s="424" t="n"/>
      <c r="I17" s="424" t="n"/>
      <c r="J17" s="425" t="n"/>
    </row>
    <row r="18" ht="31.5" customHeight="1" s="298">
      <c r="B18" s="427" t="n"/>
      <c r="C18" s="427" t="n"/>
      <c r="D18" s="427" t="n"/>
      <c r="E18" s="427" t="n"/>
      <c r="F18" s="338" t="inlineStr">
        <is>
          <t>Строительные работы</t>
        </is>
      </c>
      <c r="G18" s="338" t="inlineStr">
        <is>
          <t>Монтажные работы</t>
        </is>
      </c>
      <c r="H18" s="338" t="inlineStr">
        <is>
          <t>Оборудование</t>
        </is>
      </c>
      <c r="I18" s="338" t="inlineStr">
        <is>
          <t>Прочее</t>
        </is>
      </c>
      <c r="J18" s="338" t="inlineStr">
        <is>
          <t>Всего</t>
        </is>
      </c>
    </row>
    <row r="19" ht="68.25" customHeight="1" s="298">
      <c r="B19" s="249" t="n">
        <v>1</v>
      </c>
      <c r="C19" s="267" t="inlineStr">
        <is>
          <t>Подвесная купольная IP поворотная видеокамера В85-20  - 11 шт</t>
        </is>
      </c>
      <c r="D19" s="183" t="inlineStr">
        <is>
          <t>02-15-02</t>
        </is>
      </c>
      <c r="E19" s="312" t="inlineStr">
        <is>
          <t>Система охранное телевидиния (СОТ, СТТ) ПС 220 кВ ВНХК</t>
        </is>
      </c>
      <c r="F19" s="177" t="n"/>
      <c r="G19" s="177" t="n">
        <v>81.5324</v>
      </c>
      <c r="H19" s="177" t="n">
        <v>788.99502</v>
      </c>
      <c r="I19" s="178" t="n"/>
      <c r="J19" s="179">
        <f>SUM(F19:I19)</f>
        <v/>
      </c>
    </row>
    <row r="20" ht="15.75" customHeight="1" s="298">
      <c r="B20" s="339" t="inlineStr">
        <is>
          <t>Всего по объекту:</t>
        </is>
      </c>
      <c r="C20" s="424" t="n"/>
      <c r="D20" s="424" t="n"/>
      <c r="E20" s="425" t="n"/>
      <c r="F20" s="180">
        <f>SUM(F19:F19)</f>
        <v/>
      </c>
      <c r="G20" s="180">
        <f>SUM(G19:G19)</f>
        <v/>
      </c>
      <c r="H20" s="180">
        <f>SUM(H19:H19)</f>
        <v/>
      </c>
      <c r="I20" s="181" t="n"/>
      <c r="J20" s="182">
        <f>SUM(F20:I20)</f>
        <v/>
      </c>
    </row>
    <row r="21" ht="28.5" customHeight="1" s="298">
      <c r="B21" s="339" t="inlineStr">
        <is>
          <t>Всего по объекту в сопоставимом уровне цен 3 кв. 2017 г:</t>
        </is>
      </c>
      <c r="C21" s="424" t="n"/>
      <c r="D21" s="424" t="n"/>
      <c r="E21" s="425" t="n"/>
      <c r="F21" s="180">
        <f>F20</f>
        <v/>
      </c>
      <c r="G21" s="180">
        <f>G20</f>
        <v/>
      </c>
      <c r="H21" s="180">
        <f>H20</f>
        <v/>
      </c>
      <c r="I21" s="181" t="n"/>
      <c r="J21" s="182">
        <f>SUM(F21:I21)</f>
        <v/>
      </c>
    </row>
    <row r="24">
      <c r="B24" s="347" t="inlineStr">
        <is>
          <t>*</t>
        </is>
      </c>
      <c r="C24" s="300" t="inlineStr">
        <is>
          <t xml:space="preserve"> - стоимость с учетом исключения затрат на корректровку по транспортировке  свыше 30 км.</t>
        </is>
      </c>
    </row>
    <row r="28">
      <c r="B28" s="300" t="inlineStr">
        <is>
          <t>Составил ______________________        Д.Ю. Нефедова</t>
        </is>
      </c>
    </row>
    <row r="29">
      <c r="B29" s="174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174" t="inlineStr">
        <is>
          <t xml:space="preserve">                        (подпись, инициалы, фамилия)</t>
        </is>
      </c>
    </row>
  </sheetData>
  <mergeCells count="20">
    <mergeCell ref="E17:E18"/>
    <mergeCell ref="D9:J9"/>
    <mergeCell ref="F10:J10"/>
    <mergeCell ref="D17:D18"/>
    <mergeCell ref="B20:E20"/>
    <mergeCell ref="E10:E11"/>
    <mergeCell ref="B4:K4"/>
    <mergeCell ref="B7:K7"/>
    <mergeCell ref="B16:B18"/>
    <mergeCell ref="B6:J6"/>
    <mergeCell ref="F17:J17"/>
    <mergeCell ref="B21:E21"/>
    <mergeCell ref="B14:E14"/>
    <mergeCell ref="B3:J3"/>
    <mergeCell ref="D10:D11"/>
    <mergeCell ref="B13:E13"/>
    <mergeCell ref="C16:C18"/>
    <mergeCell ref="D16:J16"/>
    <mergeCell ref="B9:B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26"/>
  <sheetViews>
    <sheetView view="pageBreakPreview" zoomScale="85" workbookViewId="0">
      <selection activeCell="B21" sqref="B21"/>
    </sheetView>
  </sheetViews>
  <sheetFormatPr baseColWidth="8" defaultColWidth="9.140625" defaultRowHeight="15.75"/>
  <cols>
    <col width="9.140625" customWidth="1" style="300" min="1" max="1"/>
    <col width="12.5703125" customWidth="1" style="300" min="2" max="2"/>
    <col width="22.42578125" customWidth="1" style="300" min="3" max="3"/>
    <col width="49.7109375" customWidth="1" style="300" min="4" max="4"/>
    <col width="10.140625" customWidth="1" style="185" min="5" max="5"/>
    <col width="20.7109375" customWidth="1" style="300" min="6" max="6"/>
    <col width="16.140625" customWidth="1" style="300" min="7" max="7"/>
    <col width="16.7109375" customWidth="1" style="300" min="8" max="8"/>
    <col width="9.140625" customWidth="1" style="300" min="9" max="9"/>
    <col width="10.28515625" customWidth="1" style="300" min="10" max="10"/>
    <col width="9.140625" customWidth="1" style="300" min="11" max="11"/>
  </cols>
  <sheetData>
    <row r="2">
      <c r="A2" s="331" t="inlineStr">
        <is>
          <t xml:space="preserve">Приложение № 3 </t>
        </is>
      </c>
    </row>
    <row r="3">
      <c r="A3" s="332" t="inlineStr">
        <is>
          <t>Объектная ресурсная ведомость</t>
        </is>
      </c>
    </row>
    <row r="4">
      <c r="A4" s="334" t="n"/>
    </row>
    <row r="5">
      <c r="A5" s="344" t="inlineStr">
        <is>
          <t>Наименование разрабатываемого показателя УНЦ - Комплекс систем безопасности ПС. Поворотная камера охранного (технологического) видеонаблюдения</t>
        </is>
      </c>
    </row>
    <row r="6" s="298">
      <c r="A6" s="344" t="n"/>
      <c r="B6" s="344" t="n"/>
      <c r="C6" s="344" t="n"/>
      <c r="D6" s="344" t="n"/>
      <c r="E6" s="344" t="n"/>
      <c r="F6" s="344" t="n"/>
      <c r="G6" s="344" t="n"/>
      <c r="H6" s="344" t="n"/>
      <c r="I6" s="300" t="n"/>
      <c r="J6" s="300" t="n"/>
      <c r="K6" s="300" t="n"/>
    </row>
    <row r="7" s="298">
      <c r="A7" s="344" t="n"/>
      <c r="B7" s="344" t="n"/>
      <c r="C7" s="344" t="n"/>
      <c r="D7" s="344" t="n"/>
      <c r="E7" s="344" t="n"/>
      <c r="F7" s="344" t="n"/>
      <c r="G7" s="344" t="n"/>
      <c r="H7" s="344" t="n"/>
      <c r="I7" s="300" t="n"/>
      <c r="J7" s="300" t="n"/>
      <c r="K7" s="300" t="n"/>
    </row>
    <row r="8">
      <c r="A8" s="344" t="n"/>
      <c r="B8" s="344" t="n"/>
      <c r="C8" s="344" t="n"/>
      <c r="D8" s="344" t="n"/>
      <c r="E8" s="162" t="n"/>
      <c r="F8" s="344" t="n"/>
      <c r="G8" s="344" t="n"/>
      <c r="H8" s="344" t="n"/>
    </row>
    <row r="9" ht="38.25" customHeight="1" s="298">
      <c r="A9" s="338" t="inlineStr">
        <is>
          <t>п/п</t>
        </is>
      </c>
      <c r="B9" s="338" t="inlineStr">
        <is>
          <t>№ЛСР</t>
        </is>
      </c>
      <c r="C9" s="338" t="inlineStr">
        <is>
          <t>Код ресурса</t>
        </is>
      </c>
      <c r="D9" s="338" t="inlineStr">
        <is>
          <t>Наименование ресурса</t>
        </is>
      </c>
      <c r="E9" s="338" t="inlineStr">
        <is>
          <t>Ед. изм.</t>
        </is>
      </c>
      <c r="F9" s="338" t="inlineStr">
        <is>
          <t>Кол-во единиц по данным объекта-представителя</t>
        </is>
      </c>
      <c r="G9" s="338" t="inlineStr">
        <is>
          <t>Сметная стоимость в ценах на 01.01.2000 (руб.)</t>
        </is>
      </c>
      <c r="H9" s="425" t="n"/>
    </row>
    <row r="10" ht="40.5" customHeight="1" s="298">
      <c r="A10" s="427" t="n"/>
      <c r="B10" s="427" t="n"/>
      <c r="C10" s="427" t="n"/>
      <c r="D10" s="427" t="n"/>
      <c r="E10" s="427" t="n"/>
      <c r="F10" s="427" t="n"/>
      <c r="G10" s="338" t="inlineStr">
        <is>
          <t>на ед.изм.</t>
        </is>
      </c>
      <c r="H10" s="338" t="inlineStr">
        <is>
          <t>общая</t>
        </is>
      </c>
    </row>
    <row r="11">
      <c r="A11" s="266" t="n">
        <v>1</v>
      </c>
      <c r="B11" s="266" t="n"/>
      <c r="C11" s="266" t="n">
        <v>2</v>
      </c>
      <c r="D11" s="266" t="inlineStr">
        <is>
          <t>З</t>
        </is>
      </c>
      <c r="E11" s="266" t="n">
        <v>4</v>
      </c>
      <c r="F11" s="266" t="n">
        <v>5</v>
      </c>
      <c r="G11" s="266" t="n">
        <v>6</v>
      </c>
      <c r="H11" s="266" t="n">
        <v>7</v>
      </c>
    </row>
    <row r="12" customFormat="1" s="289">
      <c r="A12" s="341" t="inlineStr">
        <is>
          <t>Затраты труда рабочих</t>
        </is>
      </c>
      <c r="B12" s="424" t="n"/>
      <c r="C12" s="424" t="n"/>
      <c r="D12" s="424" t="n"/>
      <c r="E12" s="425" t="n"/>
      <c r="F12" s="188" t="n">
        <v>34.21</v>
      </c>
      <c r="G12" s="188" t="n"/>
      <c r="H12" s="188">
        <f>SUM(H13:H13)</f>
        <v/>
      </c>
      <c r="I12" s="300" t="n"/>
      <c r="J12" s="300" t="n"/>
      <c r="K12" s="300" t="n"/>
      <c r="L12" s="300" t="n"/>
    </row>
    <row r="13">
      <c r="A13" s="342" t="n">
        <v>1</v>
      </c>
      <c r="B13" s="191" t="inlineStr">
        <is>
          <t> </t>
        </is>
      </c>
      <c r="C13" s="192" t="inlineStr">
        <is>
          <t>1-4-9</t>
        </is>
      </c>
      <c r="D13" s="343" t="inlineStr">
        <is>
          <t>Затраты труда рабочих (ср 4,9)</t>
        </is>
      </c>
      <c r="E13" s="194" t="inlineStr">
        <is>
          <t>чел.-ч</t>
        </is>
      </c>
      <c r="F13" s="342" t="n">
        <v>34.21</v>
      </c>
      <c r="G13" s="195" t="n">
        <v>10.94</v>
      </c>
      <c r="H13" s="195">
        <f>ROUND(F13*G13,2)</f>
        <v/>
      </c>
    </row>
    <row r="14">
      <c r="A14" s="341" t="inlineStr">
        <is>
          <t>Затраты труда машинистов</t>
        </is>
      </c>
      <c r="B14" s="424" t="n"/>
      <c r="C14" s="424" t="n"/>
      <c r="D14" s="424" t="n"/>
      <c r="E14" s="425" t="n"/>
      <c r="F14" s="341" t="n"/>
      <c r="G14" s="188" t="n"/>
      <c r="H14" s="188" t="n"/>
    </row>
    <row r="15" customFormat="1" s="289">
      <c r="A15" s="341" t="inlineStr">
        <is>
          <t>Машины и механизмы</t>
        </is>
      </c>
      <c r="B15" s="424" t="n"/>
      <c r="C15" s="424" t="n"/>
      <c r="D15" s="424" t="n"/>
      <c r="E15" s="425" t="n"/>
      <c r="F15" s="341" t="n"/>
      <c r="G15" s="188" t="n"/>
      <c r="H15" s="188" t="n">
        <v>0</v>
      </c>
      <c r="I15" s="300" t="n"/>
      <c r="J15" s="300" t="n"/>
      <c r="K15" s="300" t="n"/>
      <c r="L15" s="300" t="n"/>
    </row>
    <row r="16">
      <c r="A16" s="341" t="inlineStr">
        <is>
          <t>Оборудование</t>
        </is>
      </c>
      <c r="B16" s="424" t="n"/>
      <c r="C16" s="424" t="n"/>
      <c r="D16" s="424" t="n"/>
      <c r="E16" s="425" t="n"/>
      <c r="F16" s="341" t="n"/>
      <c r="G16" s="188" t="n"/>
      <c r="H16" s="188">
        <f>SUM(H17:H17)</f>
        <v/>
      </c>
    </row>
    <row r="17" ht="47.25" customFormat="1" customHeight="1" s="289">
      <c r="A17" s="342" t="n">
        <v>2</v>
      </c>
      <c r="B17" s="342" t="inlineStr">
        <is>
          <t> </t>
        </is>
      </c>
      <c r="C17" s="316" t="inlineStr">
        <is>
          <t>Прайс из СД ОП</t>
        </is>
      </c>
      <c r="D17" s="343" t="inlineStr">
        <is>
          <t>Подвесная купольная IP поворотная видеокамера с термокожухом и кронштейном IP66 от -40 до +50 градусов В85-20</t>
        </is>
      </c>
      <c r="E17" s="194" t="inlineStr">
        <is>
          <t>шт.</t>
        </is>
      </c>
      <c r="F17" s="342" t="n">
        <v>11</v>
      </c>
      <c r="G17" s="195" t="n">
        <v>137835.14</v>
      </c>
      <c r="H17" s="195">
        <f>ROUND(F17*G17,2)</f>
        <v/>
      </c>
      <c r="I17" s="300" t="n"/>
      <c r="J17" s="300" t="n"/>
      <c r="K17" s="300" t="n"/>
      <c r="L17" s="300" t="n"/>
    </row>
    <row r="18">
      <c r="A18" s="341" t="inlineStr">
        <is>
          <t>Материалы</t>
        </is>
      </c>
      <c r="B18" s="424" t="n"/>
      <c r="C18" s="424" t="n"/>
      <c r="D18" s="424" t="n"/>
      <c r="E18" s="425" t="n"/>
      <c r="F18" s="341" t="n"/>
      <c r="G18" s="188" t="n"/>
      <c r="H18" s="188">
        <f>SUM(H19:H19)</f>
        <v/>
      </c>
    </row>
    <row r="19" ht="31.5" customHeight="1" s="298">
      <c r="A19" s="342" t="n">
        <v>3</v>
      </c>
      <c r="B19" s="342" t="inlineStr">
        <is>
          <t> </t>
        </is>
      </c>
      <c r="C19" s="316" t="inlineStr">
        <is>
          <t>999-9950</t>
        </is>
      </c>
      <c r="D19" s="343" t="inlineStr">
        <is>
          <t>Вспомогательные ненормируемые ресурсы (2% от Оплаты труда рабочих)</t>
        </is>
      </c>
      <c r="E19" s="194" t="inlineStr">
        <is>
          <t>руб</t>
        </is>
      </c>
      <c r="F19" s="342" t="n">
        <v>7.48</v>
      </c>
      <c r="G19" s="195" t="n">
        <v>1</v>
      </c>
      <c r="H19" s="195">
        <f>ROUND(F19*G19,2)</f>
        <v/>
      </c>
    </row>
    <row r="22">
      <c r="B22" s="300" t="inlineStr">
        <is>
          <t>Составил ______________________        Д.Ю. Нефедова</t>
        </is>
      </c>
    </row>
    <row r="23">
      <c r="B23" s="174" t="inlineStr">
        <is>
          <t xml:space="preserve">                         (подпись, инициалы, фамилия)</t>
        </is>
      </c>
    </row>
    <row r="25">
      <c r="B25" s="300" t="inlineStr">
        <is>
          <t>Проверил ______________________        А.В. Костянецкая</t>
        </is>
      </c>
    </row>
    <row r="26">
      <c r="B26" s="174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15:E15"/>
    <mergeCell ref="A14:E14"/>
    <mergeCell ref="A2:H2"/>
    <mergeCell ref="A5:H5"/>
    <mergeCell ref="G9:H9"/>
    <mergeCell ref="A18:E18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31" workbookViewId="0">
      <selection activeCell="E59" sqref="E59"/>
    </sheetView>
  </sheetViews>
  <sheetFormatPr baseColWidth="8" defaultRowHeight="15"/>
  <cols>
    <col width="4.140625" customWidth="1" style="298" min="1" max="1"/>
    <col width="36.28515625" customWidth="1" style="298" min="2" max="2"/>
    <col width="18.85546875" customWidth="1" style="298" min="3" max="3"/>
    <col width="18.28515625" customWidth="1" style="298" min="4" max="4"/>
    <col width="18.85546875" customWidth="1" style="298" min="5" max="5"/>
    <col width="11.42578125" customWidth="1" style="298" min="6" max="6"/>
    <col width="9.140625" customWidth="1" style="298" min="7" max="10"/>
    <col width="13.5703125" customWidth="1" style="298" min="11" max="11"/>
    <col width="9.140625" customWidth="1" style="298" min="12" max="12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72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24" t="inlineStr">
        <is>
          <t>Ресурсная модель</t>
        </is>
      </c>
    </row>
    <row r="6">
      <c r="B6" s="197" t="n"/>
      <c r="C6" s="294" t="n"/>
      <c r="D6" s="294" t="n"/>
      <c r="E6" s="294" t="n"/>
    </row>
    <row r="7" ht="25.5" customHeight="1" s="298">
      <c r="B7" s="345" t="inlineStr">
        <is>
          <t>Наименование разрабатываемого показателя УНЦ — Комплекс систем безопасности ПС. Поворотная камера охранного (технологического) видеонаблюдения</t>
        </is>
      </c>
    </row>
    <row r="8">
      <c r="B8" s="346" t="inlineStr">
        <is>
          <t>Единица измерения  — 1 точка наблюдения</t>
        </is>
      </c>
    </row>
    <row r="9">
      <c r="B9" s="197" t="n"/>
      <c r="C9" s="294" t="n"/>
      <c r="D9" s="294" t="n"/>
      <c r="E9" s="294" t="n"/>
    </row>
    <row r="10" ht="51" customHeight="1" s="298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37" t="inlineStr">
        <is>
          <t>Оплата труда рабочих</t>
        </is>
      </c>
      <c r="C11" s="156">
        <f>'Прил.5 Расчет СМР и ОБ'!J14</f>
        <v/>
      </c>
      <c r="D11" s="157">
        <f>C11/$C$24</f>
        <v/>
      </c>
      <c r="E11" s="157">
        <f>C11/$C$40</f>
        <v/>
      </c>
    </row>
    <row r="12">
      <c r="B12" s="237" t="inlineStr">
        <is>
          <t>Эксплуатация машин основных</t>
        </is>
      </c>
      <c r="C12" s="156">
        <f>'Прил.5 Расчет СМР и ОБ'!J17</f>
        <v/>
      </c>
      <c r="D12" s="157">
        <f>C12/$C$24</f>
        <v/>
      </c>
      <c r="E12" s="157">
        <f>C12/$C$40</f>
        <v/>
      </c>
    </row>
    <row r="13">
      <c r="B13" s="237" t="inlineStr">
        <is>
          <t>Эксплуатация машин прочих</t>
        </is>
      </c>
      <c r="C13" s="156">
        <f>'Прил.5 Расчет СМР и ОБ'!J18</f>
        <v/>
      </c>
      <c r="D13" s="157">
        <f>C13/$C$24</f>
        <v/>
      </c>
      <c r="E13" s="157">
        <f>C13/$C$40</f>
        <v/>
      </c>
    </row>
    <row r="14">
      <c r="B14" s="237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237" t="inlineStr">
        <is>
          <t>в том числе зарплата машинистов</t>
        </is>
      </c>
      <c r="C15" s="156" t="n">
        <v>0</v>
      </c>
      <c r="D15" s="157">
        <f>C15/$C$24</f>
        <v/>
      </c>
      <c r="E15" s="157">
        <f>C15/$C$40</f>
        <v/>
      </c>
    </row>
    <row r="16">
      <c r="B16" s="237" t="inlineStr">
        <is>
          <t>Материалы основные</t>
        </is>
      </c>
      <c r="C16" s="156">
        <f>'Прил.5 Расчет СМР и ОБ'!J29</f>
        <v/>
      </c>
      <c r="D16" s="157">
        <f>C16/$C$24</f>
        <v/>
      </c>
      <c r="E16" s="157">
        <f>C16/$C$40</f>
        <v/>
      </c>
    </row>
    <row r="17">
      <c r="B17" s="237" t="inlineStr">
        <is>
          <t>Материалы прочие</t>
        </is>
      </c>
      <c r="C17" s="156">
        <f>'Прил.5 Расчет СМР и ОБ'!J30</f>
        <v/>
      </c>
      <c r="D17" s="157">
        <f>C17/$C$24</f>
        <v/>
      </c>
      <c r="E17" s="157">
        <f>C17/$C$40</f>
        <v/>
      </c>
    </row>
    <row r="18">
      <c r="B18" s="237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237" t="inlineStr">
        <is>
          <t>ИТОГО</t>
        </is>
      </c>
      <c r="C19" s="156">
        <f>C18+C14+C11</f>
        <v/>
      </c>
      <c r="D19" s="157" t="n"/>
      <c r="E19" s="237" t="n"/>
    </row>
    <row r="20">
      <c r="B20" s="237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237" t="inlineStr">
        <is>
          <t>Сметная прибыль, %</t>
        </is>
      </c>
      <c r="C21" s="265">
        <f>'Прил.5 Расчет СМР и ОБ'!D34</f>
        <v/>
      </c>
      <c r="D21" s="157" t="n"/>
      <c r="E21" s="237" t="n"/>
    </row>
    <row r="22">
      <c r="B22" s="237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237" t="inlineStr">
        <is>
          <t>Накладные расходы, %</t>
        </is>
      </c>
      <c r="C23" s="265">
        <f>'Прил.5 Расчет СМР и ОБ'!D33</f>
        <v/>
      </c>
      <c r="D23" s="157" t="n"/>
      <c r="E23" s="237" t="n"/>
    </row>
    <row r="24">
      <c r="B24" s="237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298">
      <c r="B25" s="237" t="inlineStr">
        <is>
          <t>ВСЕГО стоимость оборудования, в том числе</t>
        </is>
      </c>
      <c r="C25" s="156">
        <f>'Прил.5 Расчет СМР и ОБ'!J25</f>
        <v/>
      </c>
      <c r="D25" s="157" t="n"/>
      <c r="E25" s="157">
        <f>C25/$C$40</f>
        <v/>
      </c>
    </row>
    <row r="26" ht="25.5" customHeight="1" s="298">
      <c r="B26" s="237" t="inlineStr">
        <is>
          <t>стоимость оборудования технологического</t>
        </is>
      </c>
      <c r="C26" s="156">
        <f>'Прил.5 Расчет СМР и ОБ'!J26</f>
        <v/>
      </c>
      <c r="D26" s="157" t="n"/>
      <c r="E26" s="157">
        <f>C26/$C$40</f>
        <v/>
      </c>
    </row>
    <row r="27">
      <c r="B27" s="237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</row>
    <row r="28" ht="33" customHeight="1" s="298">
      <c r="B28" s="237" t="inlineStr">
        <is>
          <t>ПРОЧ. ЗАТР., УЧТЕННЫЕ ПОКАЗАТЕЛЕМ,  в том числе</t>
        </is>
      </c>
      <c r="C28" s="237" t="n"/>
      <c r="D28" s="237" t="n"/>
      <c r="E28" s="237" t="n"/>
      <c r="F28" s="158" t="n"/>
    </row>
    <row r="29" ht="25.5" customHeight="1" s="298">
      <c r="B29" s="237" t="inlineStr">
        <is>
          <t>Временные здания и сооружения - 3,9%</t>
        </is>
      </c>
      <c r="C29" s="159">
        <f>ROUND(C24*3.9%,2)</f>
        <v/>
      </c>
      <c r="D29" s="237" t="n"/>
      <c r="E29" s="157">
        <f>C29/$C$40</f>
        <v/>
      </c>
    </row>
    <row r="30" ht="38.25" customHeight="1" s="298">
      <c r="B30" s="237" t="inlineStr">
        <is>
          <t>Дополнительные затраты при производстве строительно-монтажных работ в зимнее время - 2,1%</t>
        </is>
      </c>
      <c r="C30" s="285">
        <f>ROUND((C24+C29)*2.1%,2)</f>
        <v/>
      </c>
      <c r="D30" s="286" t="n"/>
      <c r="E30" s="157">
        <f>C30/$C$40</f>
        <v/>
      </c>
      <c r="F30" s="158" t="n"/>
    </row>
    <row r="31">
      <c r="B31" s="237" t="inlineStr">
        <is>
          <t>Пусконаладочные работы</t>
        </is>
      </c>
      <c r="C31" s="285" t="n">
        <v>264820</v>
      </c>
      <c r="D31" s="286" t="n"/>
      <c r="E31" s="157">
        <f>C31/$C$40</f>
        <v/>
      </c>
    </row>
    <row r="32" ht="25.5" customHeight="1" s="298">
      <c r="B32" s="237" t="inlineStr">
        <is>
          <t>Затраты по перевозке работников к месту работы и обратно</t>
        </is>
      </c>
      <c r="C32" s="285" t="n">
        <v>0</v>
      </c>
      <c r="D32" s="286" t="n"/>
      <c r="E32" s="157">
        <f>C32/$C$40</f>
        <v/>
      </c>
    </row>
    <row r="33" ht="25.5" customHeight="1" s="298">
      <c r="B33" s="237" t="inlineStr">
        <is>
          <t>Затраты, связанные с осуществлением работ вахтовым методом</t>
        </is>
      </c>
      <c r="C33" s="159" t="n">
        <v>0</v>
      </c>
      <c r="D33" s="237" t="n"/>
      <c r="E33" s="157">
        <f>C33/$C$40</f>
        <v/>
      </c>
    </row>
    <row r="34" ht="51" customHeight="1" s="298">
      <c r="B34" s="23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 t="n">
        <v>0</v>
      </c>
      <c r="D34" s="237" t="n"/>
      <c r="E34" s="157">
        <f>C34/$C$40</f>
        <v/>
      </c>
      <c r="G34" s="196" t="n"/>
    </row>
    <row r="35" ht="76.5" customHeight="1" s="298">
      <c r="B35" s="23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 t="n">
        <v>0</v>
      </c>
      <c r="D35" s="237" t="n"/>
      <c r="E35" s="157">
        <f>C35/$C$40</f>
        <v/>
      </c>
    </row>
    <row r="36" ht="25.5" customHeight="1" s="298">
      <c r="B36" s="237" t="inlineStr">
        <is>
          <t>Строительный контроль и содержание службы заказчика - 1,72%</t>
        </is>
      </c>
      <c r="C36" s="159">
        <f>ROUND((C27+C32+C33+C34+C35+C29+C31+C30)*1.72%,2)</f>
        <v/>
      </c>
      <c r="D36" s="237" t="n"/>
      <c r="E36" s="157">
        <f>C36/$C$40</f>
        <v/>
      </c>
      <c r="K36" s="158" t="n"/>
    </row>
    <row r="37">
      <c r="B37" s="237" t="inlineStr">
        <is>
          <t>Авторский надзор - 0,2%</t>
        </is>
      </c>
      <c r="C37" s="159">
        <f>ROUND((C27+C32+C33+C34+C35+C29+C31+C30)*0.2%,2)</f>
        <v/>
      </c>
      <c r="D37" s="237" t="n"/>
      <c r="E37" s="157">
        <f>C37/$C$40</f>
        <v/>
      </c>
      <c r="K37" s="158" t="n"/>
    </row>
    <row r="38" ht="38.25" customHeight="1" s="298">
      <c r="B38" s="237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37" t="n"/>
      <c r="E38" s="157">
        <f>C38/$C$40</f>
        <v/>
      </c>
    </row>
    <row r="39" ht="13.5" customHeight="1" s="298">
      <c r="B39" s="237" t="inlineStr">
        <is>
          <t>Непредвиденные расходы</t>
        </is>
      </c>
      <c r="C39" s="156">
        <f>ROUND(C38*3%,2)</f>
        <v/>
      </c>
      <c r="D39" s="237" t="n"/>
      <c r="E39" s="157">
        <f>C39/$C$38</f>
        <v/>
      </c>
    </row>
    <row r="40">
      <c r="B40" s="237" t="inlineStr">
        <is>
          <t>ВСЕГО:</t>
        </is>
      </c>
      <c r="C40" s="156">
        <f>C39+C38</f>
        <v/>
      </c>
      <c r="D40" s="237" t="n"/>
      <c r="E40" s="157">
        <f>C40/$C$40</f>
        <v/>
      </c>
    </row>
    <row r="41">
      <c r="B41" s="237" t="inlineStr">
        <is>
          <t>ИТОГО ПОКАЗАТЕЛЬ НА ЕД. ИЗМ.</t>
        </is>
      </c>
      <c r="C41" s="156">
        <f>C40/'Прил.5 Расчет СМР и ОБ'!E37</f>
        <v/>
      </c>
      <c r="D41" s="237" t="n"/>
      <c r="E41" s="237" t="n"/>
    </row>
    <row r="42">
      <c r="B42" s="160" t="n"/>
      <c r="C42" s="294" t="n"/>
      <c r="D42" s="294" t="n"/>
      <c r="E42" s="294" t="n"/>
    </row>
    <row r="43">
      <c r="B43" s="160" t="inlineStr">
        <is>
          <t>Составил ____________________________ Д.Ю. Нефедова</t>
        </is>
      </c>
      <c r="C43" s="294" t="n"/>
      <c r="D43" s="294" t="n"/>
      <c r="E43" s="294" t="n"/>
    </row>
    <row r="44">
      <c r="B44" s="160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160" t="n"/>
      <c r="C45" s="294" t="n"/>
      <c r="D45" s="294" t="n"/>
      <c r="E45" s="294" t="n"/>
    </row>
    <row r="46">
      <c r="B46" s="160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46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6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3"/>
  <sheetViews>
    <sheetView view="pageBreakPreview" topLeftCell="A19" workbookViewId="0">
      <selection activeCell="B38" sqref="B38"/>
    </sheetView>
  </sheetViews>
  <sheetFormatPr baseColWidth="8" defaultColWidth="9.140625" defaultRowHeight="15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2.7109375" customWidth="1" style="295" min="5" max="5"/>
    <col width="15" customWidth="1" style="295" min="6" max="6"/>
    <col width="13.4257812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9.140625" customWidth="1" style="295" min="12" max="12"/>
    <col width="9.140625" customWidth="1" style="298" min="13" max="13"/>
  </cols>
  <sheetData>
    <row r="1" s="298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298">
      <c r="A2" s="295" t="n"/>
      <c r="B2" s="295" t="n"/>
      <c r="C2" s="295" t="n"/>
      <c r="D2" s="295" t="n"/>
      <c r="E2" s="295" t="n"/>
      <c r="F2" s="295" t="n"/>
      <c r="G2" s="295" t="n"/>
      <c r="H2" s="347" t="inlineStr">
        <is>
          <t>Приложение №5</t>
        </is>
      </c>
      <c r="K2" s="295" t="n"/>
      <c r="L2" s="295" t="n"/>
      <c r="M2" s="295" t="n"/>
      <c r="N2" s="295" t="n"/>
    </row>
    <row r="3" s="298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4">
      <c r="A4" s="324" t="inlineStr">
        <is>
          <t>Расчет стоимости СМР и оборудования</t>
        </is>
      </c>
    </row>
    <row r="5" ht="12.75" customFormat="1" customHeight="1" s="294">
      <c r="A5" s="324" t="n"/>
      <c r="B5" s="324" t="n"/>
      <c r="C5" s="380" t="n"/>
      <c r="D5" s="324" t="n"/>
      <c r="E5" s="324" t="n"/>
      <c r="F5" s="324" t="n"/>
      <c r="G5" s="324" t="n"/>
      <c r="H5" s="324" t="n"/>
      <c r="I5" s="324" t="n"/>
      <c r="J5" s="324" t="n"/>
    </row>
    <row r="6" ht="12.75" customFormat="1" customHeight="1" s="294">
      <c r="A6" s="203" t="inlineStr">
        <is>
          <t>Наименование разрабатываемого показателя УНЦ</t>
        </is>
      </c>
      <c r="B6" s="204" t="n"/>
      <c r="C6" s="204" t="n"/>
      <c r="D6" s="353" t="inlineStr">
        <is>
          <t>Комплекс систем безопасности ПС. Поворотная камера охранного (технологического) видеонаблюдения</t>
        </is>
      </c>
    </row>
    <row r="7" ht="12.75" customFormat="1" customHeight="1" s="294">
      <c r="A7" s="327" t="inlineStr">
        <is>
          <t>Единица измерения  — 1 точка наблюдения</t>
        </is>
      </c>
      <c r="I7" s="345" t="n"/>
      <c r="J7" s="345" t="n"/>
    </row>
    <row r="8" ht="13.5" customFormat="1" customHeight="1" s="294">
      <c r="A8" s="327" t="n"/>
    </row>
    <row r="9" ht="27" customHeight="1" s="298">
      <c r="A9" s="350" t="inlineStr">
        <is>
          <t>№ пп.</t>
        </is>
      </c>
      <c r="B9" s="350" t="inlineStr">
        <is>
          <t>Код ресурса</t>
        </is>
      </c>
      <c r="C9" s="350" t="inlineStr">
        <is>
          <t>Наименование</t>
        </is>
      </c>
      <c r="D9" s="350" t="inlineStr">
        <is>
          <t>Ед. изм.</t>
        </is>
      </c>
      <c r="E9" s="350" t="inlineStr">
        <is>
          <t>Кол-во единиц по проектным данным</t>
        </is>
      </c>
      <c r="F9" s="350" t="inlineStr">
        <is>
          <t>Сметная стоимость в ценах на 01.01.2000 (руб.)</t>
        </is>
      </c>
      <c r="G9" s="425" t="n"/>
      <c r="H9" s="350" t="inlineStr">
        <is>
          <t>Удельный вес, %</t>
        </is>
      </c>
      <c r="I9" s="350" t="inlineStr">
        <is>
          <t>Сметная стоимость в ценах на 01.01.2023 (руб.)</t>
        </is>
      </c>
      <c r="J9" s="425" t="n"/>
      <c r="K9" s="295" t="n"/>
      <c r="L9" s="295" t="n"/>
      <c r="M9" s="295" t="n"/>
      <c r="N9" s="295" t="n"/>
    </row>
    <row r="10" ht="28.5" customHeight="1" s="298">
      <c r="A10" s="427" t="n"/>
      <c r="B10" s="427" t="n"/>
      <c r="C10" s="427" t="n"/>
      <c r="D10" s="427" t="n"/>
      <c r="E10" s="427" t="n"/>
      <c r="F10" s="350" t="inlineStr">
        <is>
          <t>на ед. изм.</t>
        </is>
      </c>
      <c r="G10" s="350" t="inlineStr">
        <is>
          <t>общая</t>
        </is>
      </c>
      <c r="H10" s="427" t="n"/>
      <c r="I10" s="350" t="inlineStr">
        <is>
          <t>на ед. изм.</t>
        </is>
      </c>
      <c r="J10" s="350" t="inlineStr">
        <is>
          <t>общая</t>
        </is>
      </c>
      <c r="K10" s="295" t="n"/>
      <c r="L10" s="295" t="n"/>
      <c r="M10" s="295" t="n"/>
      <c r="N10" s="295" t="n"/>
    </row>
    <row r="11" s="298">
      <c r="A11" s="350" t="n">
        <v>1</v>
      </c>
      <c r="B11" s="350" t="n">
        <v>2</v>
      </c>
      <c r="C11" s="350" t="n">
        <v>3</v>
      </c>
      <c r="D11" s="350" t="n">
        <v>4</v>
      </c>
      <c r="E11" s="350" t="n">
        <v>5</v>
      </c>
      <c r="F11" s="350" t="n">
        <v>6</v>
      </c>
      <c r="G11" s="350" t="n">
        <v>7</v>
      </c>
      <c r="H11" s="350" t="n">
        <v>8</v>
      </c>
      <c r="I11" s="351" t="n">
        <v>9</v>
      </c>
      <c r="J11" s="351" t="n">
        <v>10</v>
      </c>
      <c r="K11" s="295" t="n"/>
      <c r="L11" s="295" t="n"/>
      <c r="M11" s="295" t="n"/>
      <c r="N11" s="295" t="n"/>
    </row>
    <row r="12">
      <c r="A12" s="350" t="n"/>
      <c r="B12" s="358" t="inlineStr">
        <is>
          <t>Затраты труда рабочих-строителей</t>
        </is>
      </c>
      <c r="C12" s="424" t="n"/>
      <c r="D12" s="424" t="n"/>
      <c r="E12" s="424" t="n"/>
      <c r="F12" s="424" t="n"/>
      <c r="G12" s="424" t="n"/>
      <c r="H12" s="425" t="n"/>
      <c r="I12" s="221" t="n"/>
      <c r="J12" s="221" t="n"/>
    </row>
    <row r="13" ht="25.5" customHeight="1" s="298">
      <c r="A13" s="350" t="n">
        <v>1</v>
      </c>
      <c r="B13" s="207" t="inlineStr">
        <is>
          <t>1-4-9</t>
        </is>
      </c>
      <c r="C13" s="359" t="inlineStr">
        <is>
          <t>Затраты труда рабочих-строителей среднего разряда (4,9)</t>
        </is>
      </c>
      <c r="D13" s="350" t="inlineStr">
        <is>
          <t>чел.-ч.</t>
        </is>
      </c>
      <c r="E13" s="428" t="n">
        <v>34.21</v>
      </c>
      <c r="F13" s="223" t="n">
        <v>10.94</v>
      </c>
      <c r="G13" s="223">
        <f>'Прил. 3'!H12</f>
        <v/>
      </c>
      <c r="H13" s="216">
        <f>G13/$G$14</f>
        <v/>
      </c>
      <c r="I13" s="223">
        <f>ФОТр.тек.!E13</f>
        <v/>
      </c>
      <c r="J13" s="223">
        <f>ROUND(I13*E13,2)</f>
        <v/>
      </c>
    </row>
    <row r="14" ht="25.5" customFormat="1" customHeight="1" s="295">
      <c r="A14" s="350" t="n"/>
      <c r="B14" s="350" t="n"/>
      <c r="C14" s="358" t="inlineStr">
        <is>
          <t>Итого по разделу "Затраты труда рабочих-строителей"</t>
        </is>
      </c>
      <c r="D14" s="350" t="inlineStr">
        <is>
          <t>чел.-ч.</t>
        </is>
      </c>
      <c r="E14" s="428">
        <f>SUM(E13:E13)</f>
        <v/>
      </c>
      <c r="F14" s="223" t="n"/>
      <c r="G14" s="223">
        <f>SUM(G13:G13)</f>
        <v/>
      </c>
      <c r="H14" s="362" t="n">
        <v>1</v>
      </c>
      <c r="I14" s="221" t="n"/>
      <c r="J14" s="223">
        <f>SUM(J13:J13)</f>
        <v/>
      </c>
    </row>
    <row r="15" ht="14.25" customFormat="1" customHeight="1" s="295">
      <c r="A15" s="350" t="n"/>
      <c r="B15" s="359" t="inlineStr">
        <is>
          <t>Затраты труда машинистов</t>
        </is>
      </c>
      <c r="C15" s="424" t="n"/>
      <c r="D15" s="424" t="n"/>
      <c r="E15" s="424" t="n"/>
      <c r="F15" s="424" t="n"/>
      <c r="G15" s="424" t="n"/>
      <c r="H15" s="425" t="n"/>
      <c r="I15" s="221" t="n"/>
      <c r="J15" s="221" t="n"/>
    </row>
    <row r="16" ht="14.25" customFormat="1" customHeight="1" s="295">
      <c r="A16" s="350" t="n"/>
      <c r="B16" s="358" t="inlineStr">
        <is>
          <t>Машины и механизмы</t>
        </is>
      </c>
      <c r="C16" s="424" t="n"/>
      <c r="D16" s="424" t="n"/>
      <c r="E16" s="424" t="n"/>
      <c r="F16" s="424" t="n"/>
      <c r="G16" s="424" t="n"/>
      <c r="H16" s="425" t="n"/>
      <c r="I16" s="221" t="n"/>
      <c r="J16" s="221" t="n"/>
    </row>
    <row r="17" ht="14.25" customFormat="1" customHeight="1" s="295">
      <c r="A17" s="350" t="n"/>
      <c r="B17" s="350" t="n"/>
      <c r="C17" s="359" t="inlineStr">
        <is>
          <t>Итого основные машины и механизмы</t>
        </is>
      </c>
      <c r="D17" s="350" t="n"/>
      <c r="E17" s="428" t="n"/>
      <c r="F17" s="223" t="n"/>
      <c r="G17" s="223" t="n">
        <v>0</v>
      </c>
      <c r="H17" s="362" t="n">
        <v>0</v>
      </c>
      <c r="I17" s="224" t="n"/>
      <c r="J17" s="223" t="n">
        <v>0</v>
      </c>
    </row>
    <row r="18" ht="14.25" customFormat="1" customHeight="1" s="295">
      <c r="A18" s="350" t="n"/>
      <c r="B18" s="350" t="n"/>
      <c r="C18" s="359" t="inlineStr">
        <is>
          <t>Итого прочие машины и механизмы</t>
        </is>
      </c>
      <c r="D18" s="350" t="n"/>
      <c r="E18" s="360" t="n"/>
      <c r="F18" s="223" t="n"/>
      <c r="G18" s="224" t="n">
        <v>0</v>
      </c>
      <c r="H18" s="216" t="n">
        <v>0</v>
      </c>
      <c r="I18" s="223" t="n"/>
      <c r="J18" s="223" t="n">
        <v>0</v>
      </c>
    </row>
    <row r="19" ht="25.5" customFormat="1" customHeight="1" s="295">
      <c r="A19" s="350" t="n"/>
      <c r="B19" s="350" t="n"/>
      <c r="C19" s="358" t="inlineStr">
        <is>
          <t>Итого по разделу «Машины и механизмы»</t>
        </is>
      </c>
      <c r="D19" s="350" t="n"/>
      <c r="E19" s="360" t="n"/>
      <c r="F19" s="223" t="n"/>
      <c r="G19" s="223">
        <f>G18+G17</f>
        <v/>
      </c>
      <c r="H19" s="218" t="n">
        <v>1</v>
      </c>
      <c r="I19" s="219" t="n"/>
      <c r="J19" s="233">
        <f>J18+J17</f>
        <v/>
      </c>
    </row>
    <row r="20" ht="14.25" customFormat="1" customHeight="1" s="295">
      <c r="A20" s="350" t="n"/>
      <c r="B20" s="358" t="inlineStr">
        <is>
          <t>Оборудование</t>
        </is>
      </c>
      <c r="C20" s="424" t="n"/>
      <c r="D20" s="424" t="n"/>
      <c r="E20" s="424" t="n"/>
      <c r="F20" s="424" t="n"/>
      <c r="G20" s="424" t="n"/>
      <c r="H20" s="425" t="n"/>
      <c r="I20" s="221" t="n"/>
      <c r="J20" s="221" t="n"/>
    </row>
    <row r="21">
      <c r="A21" s="350" t="n"/>
      <c r="B21" s="359" t="inlineStr">
        <is>
          <t>Основное оборудование</t>
        </is>
      </c>
      <c r="C21" s="424" t="n"/>
      <c r="D21" s="424" t="n"/>
      <c r="E21" s="424" t="n"/>
      <c r="F21" s="424" t="n"/>
      <c r="G21" s="424" t="n"/>
      <c r="H21" s="425" t="n"/>
      <c r="I21" s="221" t="n"/>
      <c r="J21" s="221" t="n"/>
      <c r="K21" s="295" t="n"/>
      <c r="L21" s="295" t="n"/>
    </row>
    <row r="22" ht="63.75" customFormat="1" customHeight="1" s="295">
      <c r="A22" s="350" t="n">
        <v>2</v>
      </c>
      <c r="B22" s="276" t="inlineStr">
        <is>
          <t>БЦ.54.13</t>
        </is>
      </c>
      <c r="C22" s="275" t="inlineStr">
        <is>
          <t>Подвесная купольная IP поворотная видеокамера с термокожухом и кронштейном IP66 от -40 до +50 градусов В85-20
Коммутационный шкаф</t>
        </is>
      </c>
      <c r="D22" s="276" t="inlineStr">
        <is>
          <t>шт.</t>
        </is>
      </c>
      <c r="E22" s="429" t="n">
        <v>11</v>
      </c>
      <c r="F22" s="278">
        <f>ROUND(I22/'Прил. 10'!$D$14,2)</f>
        <v/>
      </c>
      <c r="G22" s="279">
        <f>ROUND(E22*F22,2)</f>
        <v/>
      </c>
      <c r="H22" s="273">
        <f>G22/$G$25</f>
        <v/>
      </c>
      <c r="I22" s="223" t="n">
        <v>958720</v>
      </c>
      <c r="J22" s="223">
        <f>ROUND(I22*E22,2)</f>
        <v/>
      </c>
    </row>
    <row r="23">
      <c r="A23" s="350" t="n"/>
      <c r="B23" s="276" t="n"/>
      <c r="C23" s="275" t="inlineStr">
        <is>
          <t>Итого основное оборудование</t>
        </is>
      </c>
      <c r="D23" s="276" t="n"/>
      <c r="E23" s="430" t="n"/>
      <c r="F23" s="278" t="n"/>
      <c r="G23" s="279">
        <f>SUM(G22)</f>
        <v/>
      </c>
      <c r="H23" s="273">
        <f>G22/$G$25</f>
        <v/>
      </c>
      <c r="I23" s="224" t="n"/>
      <c r="J23" s="223">
        <f>SUM(J22)</f>
        <v/>
      </c>
      <c r="K23" s="295" t="n"/>
      <c r="L23" s="295" t="n"/>
    </row>
    <row r="24">
      <c r="A24" s="350" t="n"/>
      <c r="B24" s="276" t="n"/>
      <c r="C24" s="275" t="inlineStr">
        <is>
          <t>Итого прочее оборудование</t>
        </is>
      </c>
      <c r="D24" s="276" t="n"/>
      <c r="E24" s="430" t="n"/>
      <c r="F24" s="278" t="n"/>
      <c r="G24" s="279" t="n">
        <v>0</v>
      </c>
      <c r="H24" s="273">
        <f>G24/$G$25</f>
        <v/>
      </c>
      <c r="I24" s="224" t="n"/>
      <c r="J24" s="223" t="n">
        <v>0</v>
      </c>
      <c r="K24" s="295" t="n"/>
      <c r="L24" s="295" t="n"/>
    </row>
    <row r="25">
      <c r="A25" s="350" t="n"/>
      <c r="B25" s="276" t="n"/>
      <c r="C25" s="367" t="inlineStr">
        <is>
          <t>Итого по разделу «Оборудование»</t>
        </is>
      </c>
      <c r="D25" s="276" t="n"/>
      <c r="E25" s="281" t="n"/>
      <c r="F25" s="278" t="n"/>
      <c r="G25" s="279">
        <f>G23+G24</f>
        <v/>
      </c>
      <c r="H25" s="284" t="n">
        <v>1</v>
      </c>
      <c r="I25" s="224" t="n"/>
      <c r="J25" s="223">
        <f>J24+J23</f>
        <v/>
      </c>
      <c r="K25" s="295" t="n"/>
      <c r="L25" s="295" t="n"/>
    </row>
    <row r="26" ht="25.5" customHeight="1" s="298">
      <c r="A26" s="350" t="n"/>
      <c r="B26" s="276" t="n"/>
      <c r="C26" s="275" t="inlineStr">
        <is>
          <t>в том числе технологическое оборудование</t>
        </is>
      </c>
      <c r="D26" s="276" t="n"/>
      <c r="E26" s="429" t="n"/>
      <c r="F26" s="278" t="n"/>
      <c r="G26" s="279">
        <f>'Прил.6 Расчет ОБ'!G13</f>
        <v/>
      </c>
      <c r="H26" s="284" t="n"/>
      <c r="I26" s="224" t="n"/>
      <c r="J26" s="223">
        <f>ROUND(G26*'Прил. 10'!D14,2)</f>
        <v/>
      </c>
      <c r="K26" s="295" t="n"/>
      <c r="L26" s="295" t="n"/>
    </row>
    <row r="27" ht="14.25" customFormat="1" customHeight="1" s="295">
      <c r="A27" s="350" t="n"/>
      <c r="B27" s="367" t="inlineStr">
        <is>
          <t>Материалы</t>
        </is>
      </c>
      <c r="C27" s="424" t="n"/>
      <c r="D27" s="424" t="n"/>
      <c r="E27" s="424" t="n"/>
      <c r="F27" s="424" t="n"/>
      <c r="G27" s="424" t="n"/>
      <c r="H27" s="425" t="n"/>
      <c r="I27" s="221" t="n"/>
      <c r="J27" s="221" t="n"/>
    </row>
    <row r="28" ht="14.25" customFormat="1" customHeight="1" s="295">
      <c r="A28" s="351" t="n"/>
      <c r="B28" s="354" t="inlineStr">
        <is>
          <t>Основные материалы</t>
        </is>
      </c>
      <c r="C28" s="431" t="n"/>
      <c r="D28" s="431" t="n"/>
      <c r="E28" s="431" t="n"/>
      <c r="F28" s="431" t="n"/>
      <c r="G28" s="431" t="n"/>
      <c r="H28" s="432" t="n"/>
      <c r="I28" s="226" t="n"/>
      <c r="J28" s="226" t="n"/>
    </row>
    <row r="29" ht="14.25" customFormat="1" customHeight="1" s="295">
      <c r="A29" s="352" t="n"/>
      <c r="B29" s="228" t="n"/>
      <c r="C29" s="229" t="inlineStr">
        <is>
          <t>Итого основные материалы</t>
        </is>
      </c>
      <c r="D29" s="352" t="n"/>
      <c r="E29" s="433" t="n"/>
      <c r="F29" s="233" t="n"/>
      <c r="G29" s="233" t="n">
        <v>0</v>
      </c>
      <c r="H29" s="216" t="n">
        <v>0</v>
      </c>
      <c r="I29" s="223" t="n"/>
      <c r="J29" s="233" t="n">
        <v>0</v>
      </c>
      <c r="K29" s="26" t="n"/>
      <c r="L29" s="26" t="n"/>
    </row>
    <row r="30" ht="14.25" customFormat="1" customHeight="1" s="295">
      <c r="A30" s="350" t="n"/>
      <c r="B30" s="350" t="n"/>
      <c r="C30" s="359" t="inlineStr">
        <is>
          <t>Итого прочие материалы</t>
        </is>
      </c>
      <c r="D30" s="350" t="n"/>
      <c r="E30" s="360" t="n"/>
      <c r="F30" s="361" t="n"/>
      <c r="G30" s="223" t="n">
        <v>0</v>
      </c>
      <c r="H30" s="216" t="n">
        <v>0</v>
      </c>
      <c r="I30" s="223" t="n"/>
      <c r="J30" s="223" t="n">
        <v>0</v>
      </c>
    </row>
    <row r="31" ht="14.25" customFormat="1" customHeight="1" s="295">
      <c r="A31" s="350" t="n"/>
      <c r="B31" s="350" t="n"/>
      <c r="C31" s="358" t="inlineStr">
        <is>
          <t>Итого по разделу «Материалы»</t>
        </is>
      </c>
      <c r="D31" s="350" t="n"/>
      <c r="E31" s="360" t="n"/>
      <c r="F31" s="361" t="n"/>
      <c r="G31" s="223">
        <f>G29+G30</f>
        <v/>
      </c>
      <c r="H31" s="362" t="n">
        <v>0</v>
      </c>
      <c r="I31" s="223" t="n"/>
      <c r="J31" s="223">
        <f>J29+J30</f>
        <v/>
      </c>
    </row>
    <row r="32" ht="14.25" customFormat="1" customHeight="1" s="295">
      <c r="A32" s="350" t="n"/>
      <c r="B32" s="350" t="n"/>
      <c r="C32" s="359" t="inlineStr">
        <is>
          <t>ИТОГО ПО РМ</t>
        </is>
      </c>
      <c r="D32" s="350" t="n"/>
      <c r="E32" s="360" t="n"/>
      <c r="F32" s="361" t="n"/>
      <c r="G32" s="223">
        <f>G14+G19+G31</f>
        <v/>
      </c>
      <c r="H32" s="362" t="n"/>
      <c r="I32" s="223" t="n"/>
      <c r="J32" s="223">
        <f>J14+J19+J31</f>
        <v/>
      </c>
    </row>
    <row r="33" ht="14.25" customFormat="1" customHeight="1" s="295">
      <c r="A33" s="350" t="n"/>
      <c r="B33" s="350" t="n"/>
      <c r="C33" s="359" t="inlineStr">
        <is>
          <t>Накладные расходы</t>
        </is>
      </c>
      <c r="D33" s="234">
        <f>ROUND(G33/(0+$G$14),2)</f>
        <v/>
      </c>
      <c r="E33" s="360" t="n"/>
      <c r="F33" s="361" t="n"/>
      <c r="G33" s="223" t="n">
        <v>336.8</v>
      </c>
      <c r="H33" s="362" t="n"/>
      <c r="I33" s="223" t="n"/>
      <c r="J33" s="223">
        <f>ROUND(D33*(J14+0),2)</f>
        <v/>
      </c>
    </row>
    <row r="34" ht="14.25" customFormat="1" customHeight="1" s="295">
      <c r="A34" s="350" t="n"/>
      <c r="B34" s="350" t="n"/>
      <c r="C34" s="359" t="inlineStr">
        <is>
          <t>Сметная прибыль</t>
        </is>
      </c>
      <c r="D34" s="234">
        <f>ROUND(G34/(G$14+0),2)</f>
        <v/>
      </c>
      <c r="E34" s="360" t="n"/>
      <c r="F34" s="361" t="n"/>
      <c r="G34" s="223" t="n">
        <v>172.14</v>
      </c>
      <c r="H34" s="362" t="n"/>
      <c r="I34" s="223" t="n"/>
      <c r="J34" s="223">
        <f>ROUND(D34*(J14+0),2)</f>
        <v/>
      </c>
    </row>
    <row r="35" ht="14.25" customFormat="1" customHeight="1" s="295">
      <c r="A35" s="350" t="n"/>
      <c r="B35" s="350" t="n"/>
      <c r="C35" s="359" t="inlineStr">
        <is>
          <t>Итого СМР (с НР и СП)</t>
        </is>
      </c>
      <c r="D35" s="350" t="n"/>
      <c r="E35" s="360" t="n"/>
      <c r="F35" s="361" t="n"/>
      <c r="G35" s="223">
        <f>G14+G19+G31+G33+G34</f>
        <v/>
      </c>
      <c r="H35" s="362" t="n"/>
      <c r="I35" s="223" t="n"/>
      <c r="J35" s="223">
        <f>J14+J19+J31+J33+J34</f>
        <v/>
      </c>
    </row>
    <row r="36" ht="14.25" customFormat="1" customHeight="1" s="295">
      <c r="A36" s="350" t="n"/>
      <c r="B36" s="350" t="n"/>
      <c r="C36" s="359" t="inlineStr">
        <is>
          <t>ВСЕГО СМР + ОБОРУДОВАНИЕ</t>
        </is>
      </c>
      <c r="D36" s="350" t="n"/>
      <c r="E36" s="360" t="n"/>
      <c r="F36" s="361" t="n"/>
      <c r="G36" s="223">
        <f>G35+G25</f>
        <v/>
      </c>
      <c r="H36" s="362" t="n"/>
      <c r="I36" s="223" t="n"/>
      <c r="J36" s="223">
        <f>J35+J25</f>
        <v/>
      </c>
    </row>
    <row r="37" ht="34.5" customFormat="1" customHeight="1" s="295">
      <c r="A37" s="350" t="n"/>
      <c r="B37" s="350" t="n"/>
      <c r="C37" s="359" t="inlineStr">
        <is>
          <t>ИТОГО ПОКАЗАТЕЛЬ НА ЕД. ИЗМ.</t>
        </is>
      </c>
      <c r="D37" s="350" t="inlineStr">
        <is>
          <t>точка наблюдения</t>
        </is>
      </c>
      <c r="E37" s="434" t="n">
        <v>11</v>
      </c>
      <c r="F37" s="361" t="n"/>
      <c r="G37" s="223">
        <f>G36/E37</f>
        <v/>
      </c>
      <c r="H37" s="362" t="n"/>
      <c r="I37" s="223" t="n"/>
      <c r="J37" s="223">
        <f>J36/E37</f>
        <v/>
      </c>
    </row>
    <row r="39" ht="14.25" customFormat="1" customHeight="1" s="295">
      <c r="A39" s="294" t="inlineStr">
        <is>
          <t>Составил ______________________    Д.Ю. Нефедова</t>
        </is>
      </c>
    </row>
    <row r="40" ht="14.25" customFormat="1" customHeight="1" s="295">
      <c r="A40" s="297" t="inlineStr">
        <is>
          <t xml:space="preserve">                         (подпись, инициалы, фамилия)</t>
        </is>
      </c>
    </row>
    <row r="41" ht="14.25" customFormat="1" customHeight="1" s="295">
      <c r="A41" s="294" t="n"/>
    </row>
    <row r="42" ht="14.25" customFormat="1" customHeight="1" s="295">
      <c r="A42" s="294" t="inlineStr">
        <is>
          <t>Проверил ______________________        А.В. Костянецкая</t>
        </is>
      </c>
    </row>
    <row r="43" ht="14.25" customFormat="1" customHeight="1" s="295">
      <c r="A43" s="297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B15:H15"/>
    <mergeCell ref="H2:J2"/>
    <mergeCell ref="B20:H20"/>
    <mergeCell ref="C9:C10"/>
    <mergeCell ref="E9:E10"/>
    <mergeCell ref="A7:H7"/>
    <mergeCell ref="B16:H16"/>
    <mergeCell ref="B9:B10"/>
    <mergeCell ref="D9:D10"/>
    <mergeCell ref="B27:H27"/>
    <mergeCell ref="B21:H21"/>
    <mergeCell ref="B12:H12"/>
    <mergeCell ref="D6:J6"/>
    <mergeCell ref="A8:H8"/>
    <mergeCell ref="F9:G9"/>
    <mergeCell ref="A9:A10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98" min="1" max="1"/>
    <col width="17.5703125" customWidth="1" style="298" min="2" max="2"/>
    <col width="39.140625" customWidth="1" style="298" min="3" max="3"/>
    <col width="10.7109375" customWidth="1" style="298" min="4" max="4"/>
    <col width="13.85546875" customWidth="1" style="298" min="5" max="5"/>
    <col width="13.28515625" customWidth="1" style="298" min="6" max="6"/>
    <col width="14.140625" customWidth="1" style="298" min="7" max="7"/>
  </cols>
  <sheetData>
    <row r="1">
      <c r="A1" s="372" t="inlineStr">
        <is>
          <t>Приложение №6</t>
        </is>
      </c>
    </row>
    <row r="2" ht="21.75" customHeight="1" s="298">
      <c r="A2" s="372" t="n"/>
      <c r="B2" s="372" t="n"/>
      <c r="C2" s="372" t="n"/>
      <c r="D2" s="372" t="n"/>
      <c r="E2" s="372" t="n"/>
      <c r="F2" s="372" t="n"/>
      <c r="G2" s="372" t="n"/>
    </row>
    <row r="3">
      <c r="A3" s="324" t="inlineStr">
        <is>
          <t>Расчет стоимости оборудования</t>
        </is>
      </c>
    </row>
    <row r="4" ht="25.5" customHeight="1" s="298">
      <c r="A4" s="327" t="inlineStr">
        <is>
          <t>Наименование разрабатываемого показателя УНЦ — Комплекс систем безопасности ПС. Поворотная камера охранного (технологического) видеонаблюдения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298">
      <c r="A6" s="377" t="inlineStr">
        <is>
          <t>№ пп.</t>
        </is>
      </c>
      <c r="B6" s="377" t="inlineStr">
        <is>
          <t>Код ресурса</t>
        </is>
      </c>
      <c r="C6" s="377" t="inlineStr">
        <is>
          <t>Наименование</t>
        </is>
      </c>
      <c r="D6" s="377" t="inlineStr">
        <is>
          <t>Ед. изм.</t>
        </is>
      </c>
      <c r="E6" s="350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25" t="n"/>
    </row>
    <row r="7">
      <c r="A7" s="427" t="n"/>
      <c r="B7" s="427" t="n"/>
      <c r="C7" s="427" t="n"/>
      <c r="D7" s="427" t="n"/>
      <c r="E7" s="427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298">
      <c r="A9" s="237" t="n"/>
      <c r="B9" s="359" t="inlineStr">
        <is>
          <t>ИНЖЕНЕРНОЕ ОБОРУДОВАНИЕ</t>
        </is>
      </c>
      <c r="C9" s="424" t="n"/>
      <c r="D9" s="424" t="n"/>
      <c r="E9" s="424" t="n"/>
      <c r="F9" s="424" t="n"/>
      <c r="G9" s="425" t="n"/>
    </row>
    <row r="10" ht="27" customHeight="1" s="298">
      <c r="A10" s="350" t="n"/>
      <c r="B10" s="358" t="n"/>
      <c r="C10" s="359" t="inlineStr">
        <is>
          <t>ИТОГО ИНЖЕНЕРНОЕ ОБОРУДОВАНИЕ</t>
        </is>
      </c>
      <c r="D10" s="358" t="n"/>
      <c r="E10" s="238" t="n"/>
      <c r="F10" s="361" t="n"/>
      <c r="G10" s="223" t="n">
        <v>0</v>
      </c>
    </row>
    <row r="11">
      <c r="A11" s="350" t="n"/>
      <c r="B11" s="359" t="inlineStr">
        <is>
          <t>ТЕХНОЛОГИЧЕСКОЕ ОБОРУДОВАНИЕ</t>
        </is>
      </c>
      <c r="C11" s="424" t="n"/>
      <c r="D11" s="424" t="n"/>
      <c r="E11" s="424" t="n"/>
      <c r="F11" s="424" t="n"/>
      <c r="G11" s="425" t="n"/>
    </row>
    <row r="12" ht="51" customFormat="1" customHeight="1" s="300">
      <c r="A12" s="350" t="n">
        <v>1</v>
      </c>
      <c r="B12" s="359">
        <f>'Прил.5 Расчет СМР и ОБ'!B22</f>
        <v/>
      </c>
      <c r="C12" s="359">
        <f>'Прил.5 Расчет СМР и ОБ'!C22</f>
        <v/>
      </c>
      <c r="D12" s="350">
        <f>'Прил.5 Расчет СМР и ОБ'!D22</f>
        <v/>
      </c>
      <c r="E12" s="435">
        <f>'Прил.5 Расчет СМР и ОБ'!E22</f>
        <v/>
      </c>
      <c r="F12" s="361">
        <f>'Прил.5 Расчет СМР и ОБ'!F22</f>
        <v/>
      </c>
      <c r="G12" s="223">
        <f>ROUND(E12*F12,2)</f>
        <v/>
      </c>
    </row>
    <row r="13" ht="25.5" customHeight="1" s="298">
      <c r="A13" s="350" t="n"/>
      <c r="B13" s="359" t="n"/>
      <c r="C13" s="359" t="inlineStr">
        <is>
          <t>ИТОГО ТЕХНОЛОГИЧЕСКОЕ ОБОРУДОВАНИЕ</t>
        </is>
      </c>
      <c r="D13" s="359" t="n"/>
      <c r="E13" s="376" t="n"/>
      <c r="F13" s="361" t="n"/>
      <c r="G13" s="223">
        <f>SUM(G12:G12)</f>
        <v/>
      </c>
    </row>
    <row r="14" ht="19.5" customHeight="1" s="298">
      <c r="A14" s="350" t="n"/>
      <c r="B14" s="359" t="n"/>
      <c r="C14" s="359" t="inlineStr">
        <is>
          <t>Всего по разделу «Оборудование»</t>
        </is>
      </c>
      <c r="D14" s="359" t="n"/>
      <c r="E14" s="376" t="n"/>
      <c r="F14" s="361" t="n"/>
      <c r="G14" s="223">
        <f>G10+G13</f>
        <v/>
      </c>
    </row>
    <row r="15">
      <c r="A15" s="296" t="n"/>
      <c r="B15" s="243" t="n"/>
      <c r="C15" s="296" t="n"/>
      <c r="D15" s="296" t="n"/>
      <c r="E15" s="296" t="n"/>
      <c r="F15" s="296" t="n"/>
      <c r="G15" s="296" t="n"/>
    </row>
    <row r="16">
      <c r="A16" s="294" t="inlineStr">
        <is>
          <t>Составил ______________________    Д.Ю. Нефедова</t>
        </is>
      </c>
      <c r="B16" s="295" t="n"/>
      <c r="C16" s="295" t="n"/>
      <c r="D16" s="296" t="n"/>
      <c r="E16" s="296" t="n"/>
      <c r="F16" s="296" t="n"/>
      <c r="G16" s="296" t="n"/>
    </row>
    <row r="17">
      <c r="A17" s="297" t="inlineStr">
        <is>
          <t xml:space="preserve">                         (подпись, инициалы, фамилия)</t>
        </is>
      </c>
      <c r="B17" s="295" t="n"/>
      <c r="C17" s="295" t="n"/>
      <c r="D17" s="296" t="n"/>
      <c r="E17" s="296" t="n"/>
      <c r="F17" s="296" t="n"/>
      <c r="G17" s="296" t="n"/>
    </row>
    <row r="18">
      <c r="A18" s="294" t="n"/>
      <c r="B18" s="295" t="n"/>
      <c r="C18" s="295" t="n"/>
      <c r="D18" s="296" t="n"/>
      <c r="E18" s="296" t="n"/>
      <c r="F18" s="296" t="n"/>
      <c r="G18" s="296" t="n"/>
    </row>
    <row r="19">
      <c r="A19" s="294" t="inlineStr">
        <is>
          <t>Проверил ______________________        А.В. Костянецкая</t>
        </is>
      </c>
      <c r="B19" s="295" t="n"/>
      <c r="C19" s="295" t="n"/>
      <c r="D19" s="296" t="n"/>
      <c r="E19" s="296" t="n"/>
      <c r="F19" s="296" t="n"/>
      <c r="G19" s="296" t="n"/>
    </row>
    <row r="20">
      <c r="A20" s="297" t="inlineStr">
        <is>
          <t xml:space="preserve">                        (подпись, инициалы, фамилия)</t>
        </is>
      </c>
      <c r="B20" s="295" t="n"/>
      <c r="C20" s="295" t="n"/>
      <c r="D20" s="296" t="n"/>
      <c r="E20" s="296" t="n"/>
      <c r="F20" s="296" t="n"/>
      <c r="G20" s="2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98" min="1" max="1"/>
    <col width="16.42578125" customWidth="1" style="298" min="2" max="2"/>
    <col width="37.140625" customWidth="1" style="298" min="3" max="3"/>
    <col width="49" customWidth="1" style="298" min="4" max="4"/>
    <col width="9.14062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89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47.25" customHeight="1" s="298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>
      <c r="A9" s="427" t="n"/>
      <c r="B9" s="427" t="n"/>
      <c r="C9" s="427" t="n"/>
      <c r="D9" s="427" t="n"/>
    </row>
    <row r="10" ht="15.75" customHeight="1" s="298">
      <c r="A10" s="338" t="n">
        <v>1</v>
      </c>
      <c r="B10" s="338" t="n">
        <v>2</v>
      </c>
      <c r="C10" s="338" t="n">
        <v>3</v>
      </c>
      <c r="D10" s="338" t="n">
        <v>4</v>
      </c>
    </row>
    <row r="11" ht="63" customHeight="1" s="298">
      <c r="A11" s="338" t="inlineStr">
        <is>
          <t>И15-04</t>
        </is>
      </c>
      <c r="B11" s="338" t="inlineStr">
        <is>
          <t xml:space="preserve">УНЦ комплекса систем безопасности ПС </t>
        </is>
      </c>
      <c r="C11" s="292">
        <f>D5</f>
        <v/>
      </c>
      <c r="D11" s="306">
        <f>'Прил.4 РМ'!C41/1000</f>
        <v/>
      </c>
    </row>
    <row r="13">
      <c r="A13" s="318" t="inlineStr">
        <is>
          <t>Составил ______________________    Д.Ю. Нефедова</t>
        </is>
      </c>
      <c r="B13" s="295" t="n"/>
      <c r="C13" s="295" t="n"/>
      <c r="D13" s="296" t="n"/>
    </row>
    <row r="14">
      <c r="A14" s="297" t="inlineStr">
        <is>
          <t xml:space="preserve">                         (подпись, инициалы, фамилия)</t>
        </is>
      </c>
      <c r="B14" s="295" t="n"/>
      <c r="C14" s="295" t="n"/>
      <c r="D14" s="296" t="n"/>
    </row>
    <row r="15">
      <c r="A15" s="294" t="n"/>
      <c r="B15" s="295" t="n"/>
      <c r="C15" s="295" t="n"/>
      <c r="D15" s="296" t="n"/>
    </row>
    <row r="16">
      <c r="A16" s="294" t="inlineStr">
        <is>
          <t>Проверил ______________________        А.В. Костянецкая</t>
        </is>
      </c>
      <c r="B16" s="295" t="n"/>
      <c r="C16" s="295" t="n"/>
      <c r="D16" s="296" t="n"/>
    </row>
    <row r="17">
      <c r="A17" s="297" t="inlineStr">
        <is>
          <t xml:space="preserve">                        (подпись, инициалы, фамилия)</t>
        </is>
      </c>
      <c r="B17" s="295" t="n"/>
      <c r="C17" s="295" t="n"/>
      <c r="D17" s="2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RowHeight="15"/>
  <cols>
    <col width="9.140625" customWidth="1" style="298" min="1" max="1"/>
    <col width="40.7109375" customWidth="1" style="298" min="2" max="2"/>
    <col width="37" customWidth="1" style="298" min="3" max="3"/>
    <col width="32" customWidth="1" style="298" min="4" max="4"/>
    <col width="9.140625" customWidth="1" style="298" min="5" max="5"/>
  </cols>
  <sheetData>
    <row r="4" ht="15.75" customHeight="1" s="298">
      <c r="B4" s="331" t="inlineStr">
        <is>
          <t>Приложение № 10</t>
        </is>
      </c>
    </row>
    <row r="5" ht="18.75" customHeight="1" s="298">
      <c r="B5" s="244" t="n"/>
    </row>
    <row r="6" ht="15.75" customHeight="1" s="298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298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298">
      <c r="B10" s="338" t="n">
        <v>1</v>
      </c>
      <c r="C10" s="338" t="n">
        <v>2</v>
      </c>
      <c r="D10" s="338" t="n">
        <v>3</v>
      </c>
    </row>
    <row r="11" ht="45" customHeight="1" s="298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30.03.2023г. №17106-ИФ/09 прил.1</t>
        </is>
      </c>
      <c r="D11" s="338" t="n">
        <v>44.29</v>
      </c>
    </row>
    <row r="12" ht="29.25" customHeight="1" s="298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30.03.2023г. №17106-ИФ/09 прил.1</t>
        </is>
      </c>
      <c r="D12" s="338" t="n">
        <v>13.47</v>
      </c>
    </row>
    <row r="13" ht="29.25" customHeight="1" s="298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30.03.2023г. №17106-ИФ/09 прил.1</t>
        </is>
      </c>
      <c r="D13" s="338" t="n">
        <v>8.039999999999999</v>
      </c>
    </row>
    <row r="14" ht="30.75" customHeight="1" s="298">
      <c r="B14" s="33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38" t="n">
        <v>6.26</v>
      </c>
    </row>
    <row r="15" ht="89.25" customHeight="1" s="298">
      <c r="B15" s="338" t="inlineStr">
        <is>
          <t>Временные здания и сооружения</t>
        </is>
      </c>
      <c r="C15" s="33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45" t="n">
        <v>0.039</v>
      </c>
    </row>
    <row r="16" ht="78.75" customHeight="1" s="298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45" t="n">
        <v>0.021</v>
      </c>
    </row>
    <row r="17" ht="34.5" customHeight="1" s="298">
      <c r="B17" s="338" t="inlineStr">
        <is>
          <t>Пусконаладочные работы*</t>
        </is>
      </c>
      <c r="C17" s="338" t="n"/>
      <c r="D17" s="338" t="inlineStr">
        <is>
          <t>Расчет</t>
        </is>
      </c>
    </row>
    <row r="18" ht="31.5" customHeight="1" s="298">
      <c r="B18" s="338" t="inlineStr">
        <is>
          <t>Строительный контроль</t>
        </is>
      </c>
      <c r="C18" s="338" t="inlineStr">
        <is>
          <t>Постановление Правительства РФ от 21.06.10 г. № 468</t>
        </is>
      </c>
      <c r="D18" s="245" t="n">
        <v>0.0214</v>
      </c>
    </row>
    <row r="19" ht="31.5" customHeight="1" s="298">
      <c r="B19" s="338" t="inlineStr">
        <is>
          <t>Авторский надзор - 0,2%</t>
        </is>
      </c>
      <c r="C19" s="338" t="inlineStr">
        <is>
          <t>Приказ от 4.08.2020 № 421/пр п.173</t>
        </is>
      </c>
      <c r="D19" s="245" t="n">
        <v>0.002</v>
      </c>
    </row>
    <row r="20" ht="24" customHeight="1" s="298">
      <c r="B20" s="338" t="inlineStr">
        <is>
          <t>Непредвиденные расходы</t>
        </is>
      </c>
      <c r="C20" s="338" t="inlineStr">
        <is>
          <t>Приказ от 4.08.2020 № 421/пр п.179</t>
        </is>
      </c>
      <c r="D20" s="245" t="n">
        <v>0.03</v>
      </c>
    </row>
    <row r="21" ht="18.75" customHeight="1" s="298">
      <c r="B21" s="246" t="n"/>
    </row>
    <row r="22" ht="18.75" customHeight="1" s="298">
      <c r="B22" s="246" t="n"/>
    </row>
    <row r="23" ht="18.75" customHeight="1" s="298">
      <c r="B23" s="246" t="n"/>
    </row>
    <row r="24" ht="18.75" customHeight="1" s="298">
      <c r="B24" s="246" t="n"/>
    </row>
    <row r="27">
      <c r="B27" s="294" t="inlineStr">
        <is>
          <t>Составил ______________________        Д.Ю. Нефедова</t>
        </is>
      </c>
      <c r="C27" s="295" t="n"/>
    </row>
    <row r="28">
      <c r="B28" s="297" t="inlineStr">
        <is>
          <t xml:space="preserve">                         (подпись, инициалы, фамилия)</t>
        </is>
      </c>
      <c r="C28" s="295" t="n"/>
    </row>
    <row r="29">
      <c r="B29" s="294" t="n"/>
      <c r="C29" s="295" t="n"/>
    </row>
    <row r="30">
      <c r="B30" s="294" t="inlineStr">
        <is>
          <t>Проверил ______________________        А.В. Костянецкая</t>
        </is>
      </c>
      <c r="C30" s="295" t="n"/>
    </row>
    <row r="31">
      <c r="B31" s="297" t="inlineStr">
        <is>
          <t xml:space="preserve">                        (подпись, инициалы, фамилия)</t>
        </is>
      </c>
      <c r="C31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8" min="2" max="2"/>
    <col width="13" customWidth="1" style="298" min="3" max="3"/>
    <col width="22.85546875" customWidth="1" style="298" min="4" max="4"/>
    <col width="21.5703125" customWidth="1" style="298" min="5" max="5"/>
    <col width="43.85546875" customWidth="1" style="298" min="6" max="6"/>
  </cols>
  <sheetData>
    <row r="1" s="298"/>
    <row r="2" ht="17.25" customHeight="1" s="298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38" t="n"/>
      <c r="D10" s="338" t="n"/>
      <c r="E10" s="436" t="n">
        <v>4.9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437" t="n">
        <v>1.522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38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n"/>
    </row>
    <row r="13" ht="63" customHeight="1" s="298">
      <c r="A13" s="319" t="inlineStr">
        <is>
          <t>1.7</t>
        </is>
      </c>
      <c r="B13" s="320" t="inlineStr">
        <is>
          <t>Размер средств на оплату труда рабочих-строителей в текущем уровне цен (ФОТр.тек.), руб/чел.-ч</t>
        </is>
      </c>
      <c r="C13" s="321" t="inlineStr">
        <is>
          <t>ФОТр.тек.</t>
        </is>
      </c>
      <c r="D13" s="321" t="inlineStr">
        <is>
          <t>(С1ср/tср*КТ*Т*Кув)*Кинф</t>
        </is>
      </c>
      <c r="E13" s="322">
        <f>((E7*E9/E8)*E11)*E12</f>
        <v/>
      </c>
      <c r="F13" s="3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2025-01-24T12:01:54Z</dcterms:modified>
  <cp:lastModifiedBy>Nikolay Ivanov</cp:lastModifiedBy>
  <cp:lastPrinted>2023-11-30T13:30:26Z</cp:lastPrinted>
</cp:coreProperties>
</file>