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890" windowHeight="807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IF(Прил.7!n_3=1,Прил.7!n_2,Прил.7!n_3&amp;Прил.7!n_1)</definedName>
    <definedName name="n1x">IF(Прил.7!n_3=1,Прил.7!n_2,Прил.7!n_3&amp;Прил.7!n_5)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табл'!$A$1:$E$32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стоим'!$A$1:$J$32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ОБ'!$A$1:$J$47</definedName>
    <definedName name="_xlnm.Print_Area" localSheetId="5">'Прил.6 Расчет ОБ'!$A$1:$G$21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iii" localSheetId="6">#REF!</definedName>
    <definedName name="Itog" localSheetId="6">#REF!</definedName>
    <definedName name="jkjhggh" localSheetId="6">#REF!</definedName>
    <definedName name="KPlan" localSheetId="6">#REF!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5" localSheetId="6">{"","однаz","двеz","триz","четыреz","пятьz","шестьz","семьz","восемьz","девятьz"}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USA_1" localSheetId="6">#REF!</definedName>
    <definedName name="v" localSheetId="6">#REF!</definedName>
    <definedName name="w" localSheetId="6">#REF!</definedName>
    <definedName name="xh" localSheetId="6">#REF!</definedName>
    <definedName name="А10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нкурс" localSheetId="6">#REF!</definedName>
    <definedName name="Контроллер_1" localSheetId="6">#REF!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дия_проектирования" localSheetId="6">#REF!</definedName>
    <definedName name="Стоимость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ьбю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FF99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8" fillId="0" borderId="0" pivotButton="0" quotePrefix="0" xfId="0"/>
    <xf numFmtId="49" fontId="16" fillId="0" borderId="1" applyAlignment="1" pivotButton="0" quotePrefix="0" xfId="0">
      <alignment horizontal="left" vertical="center" wrapText="1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/>
    </xf>
    <xf numFmtId="0" fontId="16" fillId="0" borderId="0" applyAlignment="1" pivotButton="0" quotePrefix="0" xfId="0">
      <alignment horizontal="right"/>
    </xf>
    <xf numFmtId="0" fontId="16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" fontId="19" fillId="0" borderId="1" applyAlignment="1" pivotButton="0" quotePrefix="0" xfId="0">
      <alignment vertical="top"/>
    </xf>
    <xf numFmtId="0" fontId="19" fillId="0" borderId="0" pivotButton="0" quotePrefix="0" xfId="0"/>
    <xf numFmtId="0" fontId="16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4" fontId="16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21" fillId="0" borderId="0" applyAlignment="1" pivotButton="0" quotePrefix="0" xfId="0">
      <alignment horizontal="right" vertical="center"/>
    </xf>
    <xf numFmtId="10" fontId="16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67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top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right" vertical="center" wrapText="1"/>
    </xf>
    <xf numFmtId="0" fontId="19" fillId="0" borderId="6" applyAlignment="1" pivotButton="0" quotePrefix="0" xfId="0">
      <alignment horizontal="right" vertical="center" wrapText="1"/>
    </xf>
    <xf numFmtId="0" fontId="19" fillId="0" borderId="7" applyAlignment="1" pivotButton="0" quotePrefix="0" xfId="0">
      <alignment horizontal="righ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abSelected="1" view="pageBreakPreview" topLeftCell="A23" zoomScale="70" zoomScaleNormal="55" workbookViewId="0">
      <selection activeCell="A27" sqref="A27"/>
    </sheetView>
  </sheetViews>
  <sheetFormatPr baseColWidth="8" defaultColWidth="9.140625" defaultRowHeight="15.75"/>
  <cols>
    <col width="9.140625" customWidth="1" style="296" min="1" max="2"/>
    <col width="36.85546875" customWidth="1" style="296" min="3" max="3"/>
    <col width="36.5703125" customWidth="1" style="296" min="4" max="5"/>
    <col width="17.5703125" customWidth="1" style="296" min="6" max="6"/>
    <col width="18.7109375" customWidth="1" style="296" min="7" max="7"/>
    <col width="9.140625" customWidth="1" style="296" min="8" max="8"/>
  </cols>
  <sheetData>
    <row r="3">
      <c r="B3" s="319" t="inlineStr">
        <is>
          <t>Приложение № 1</t>
        </is>
      </c>
    </row>
    <row r="4">
      <c r="B4" s="320" t="inlineStr">
        <is>
          <t>Сравнительная таблица отбора объекта-представителя</t>
        </is>
      </c>
    </row>
    <row r="5">
      <c r="B5" s="161" t="n"/>
      <c r="C5" s="161" t="n"/>
      <c r="D5" s="161" t="n"/>
      <c r="E5" s="161" t="n"/>
    </row>
    <row r="6">
      <c r="B6" s="161" t="n"/>
      <c r="C6" s="161" t="n"/>
      <c r="D6" s="161" t="n"/>
      <c r="E6" s="161" t="n"/>
    </row>
    <row r="7" ht="33.75" customHeight="1" s="294">
      <c r="B7" s="321" t="inlineStr">
        <is>
          <t>Наименование разрабатываемого показателя УНЦ — Комплекс систем безопасности ПС. Стационарная камера охранного (технологического) видеонаблюдения</t>
        </is>
      </c>
    </row>
    <row r="8" ht="31.5" customHeight="1" s="294">
      <c r="B8" s="322" t="inlineStr">
        <is>
          <t>Сопоставимый уровень цен: 4 кв 2018</t>
        </is>
      </c>
    </row>
    <row r="9">
      <c r="B9" s="322" t="inlineStr">
        <is>
          <t>Единица измерения  — 1 точка наблюдения</t>
        </is>
      </c>
    </row>
    <row r="10">
      <c r="B10" s="322" t="n"/>
    </row>
    <row r="11">
      <c r="B11" s="325" t="inlineStr">
        <is>
          <t>№ п/п</t>
        </is>
      </c>
      <c r="C11" s="325" t="inlineStr">
        <is>
          <t>Параметр</t>
        </is>
      </c>
      <c r="D11" s="308" t="inlineStr">
        <is>
          <t>Объект-представитель 1</t>
        </is>
      </c>
      <c r="E11" s="308" t="inlineStr">
        <is>
          <t>Объект-представитель 2</t>
        </is>
      </c>
    </row>
    <row r="12" ht="157.5" customHeight="1" s="294">
      <c r="B12" s="325" t="n">
        <v>1</v>
      </c>
      <c r="C12" s="308" t="inlineStr">
        <is>
          <t>Наименование объекта-представителя</t>
        </is>
      </c>
      <c r="D12" s="308" t="inlineStr">
        <is>
          <t>ПС 220 кВ Звезда с заходами ВЛ 220 кВ Береговая-2-Перевал. Корректировка</t>
        </is>
      </c>
      <c r="E12" s="308" t="inlineStr">
        <is>
          <t>Строительство ПС 220кВ Восточный НХК трансформаторной мощностью 500 МВА(2х250 МВА), строительство двух одноцепных ВЛ 220 кВ Лозовая - Восточный НХК № 1, 2 ориентировочной протяженностью 30 км каждая с расширением ПС 500 кВ Лозовая на две линейные ячейки 220 кВ.</t>
        </is>
      </c>
    </row>
    <row r="13" ht="31.5" customHeight="1" s="294">
      <c r="B13" s="325" t="n">
        <v>2</v>
      </c>
      <c r="C13" s="308" t="inlineStr">
        <is>
          <t>Наименование субъекта Российской Федерации</t>
        </is>
      </c>
      <c r="D13" s="308" t="inlineStr">
        <is>
          <t>Приморский край</t>
        </is>
      </c>
      <c r="E13" s="308" t="inlineStr">
        <is>
          <t>Приморский край</t>
        </is>
      </c>
    </row>
    <row r="14">
      <c r="B14" s="325" t="n">
        <v>3</v>
      </c>
      <c r="C14" s="308" t="inlineStr">
        <is>
          <t>Климатический район и подрайон</t>
        </is>
      </c>
      <c r="D14" s="308" t="inlineStr">
        <is>
          <t>IIг</t>
        </is>
      </c>
      <c r="E14" s="308" t="inlineStr">
        <is>
          <t>IIг</t>
        </is>
      </c>
    </row>
    <row r="15">
      <c r="B15" s="325" t="n">
        <v>4</v>
      </c>
      <c r="C15" s="308" t="inlineStr">
        <is>
          <t>Мощность объекта</t>
        </is>
      </c>
      <c r="D15" s="303" t="n">
        <v>7</v>
      </c>
      <c r="E15" s="303" t="n">
        <v>10</v>
      </c>
    </row>
    <row r="16" ht="94.5" customHeight="1" s="294">
      <c r="B16" s="325" t="n">
        <v>5</v>
      </c>
      <c r="C16" s="16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08" t="inlineStr">
        <is>
          <t>Сетевая стационарная IP- камера В5650  - 7 шт</t>
        </is>
      </c>
      <c r="E16" s="308" t="inlineStr">
        <is>
          <t>Сетевая стационарная IP-камеры В5650 - 5 шт
Сетевая стационарная IP-камера внутренняя В1710DR - 5 шт</t>
        </is>
      </c>
    </row>
    <row r="17" ht="78.75" customHeight="1" s="294">
      <c r="B17" s="325" t="n">
        <v>6</v>
      </c>
      <c r="C17" s="16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5">
        <f>SUM(D18:D21)</f>
        <v/>
      </c>
      <c r="E17" s="165">
        <f>SUM(E18:E21)</f>
        <v/>
      </c>
    </row>
    <row r="18">
      <c r="B18" s="166" t="inlineStr">
        <is>
          <t>6.1</t>
        </is>
      </c>
      <c r="C18" s="308" t="inlineStr">
        <is>
          <t>строительно-монтажные работы</t>
        </is>
      </c>
      <c r="D18" s="165" t="n">
        <v>11.56692</v>
      </c>
      <c r="E18" s="165" t="n">
        <v>30.2404856</v>
      </c>
    </row>
    <row r="19" ht="15.75" customHeight="1" s="294">
      <c r="B19" s="166" t="inlineStr">
        <is>
          <t>6.2</t>
        </is>
      </c>
      <c r="C19" s="308" t="inlineStr">
        <is>
          <t>оборудование и инвентарь</t>
        </is>
      </c>
      <c r="D19" s="165" t="n">
        <v>271.224456</v>
      </c>
      <c r="E19" s="165" t="n">
        <v>202.6348461</v>
      </c>
    </row>
    <row r="20" ht="16.5" customHeight="1" s="294">
      <c r="B20" s="166" t="inlineStr">
        <is>
          <t>6.3</t>
        </is>
      </c>
      <c r="C20" s="308" t="inlineStr">
        <is>
          <t>пусконаладочные работы</t>
        </is>
      </c>
      <c r="D20" s="165">
        <f>D19/(146205.12*4.28)*4057.67*11.1</f>
        <v/>
      </c>
      <c r="E20" s="165">
        <f>E19/(127854.09*4.37)*7159.83*11.66</f>
        <v/>
      </c>
      <c r="G20" s="167" t="n"/>
    </row>
    <row r="21" ht="35.25" customHeight="1" s="294">
      <c r="B21" s="166" t="inlineStr">
        <is>
          <t>6.4</t>
        </is>
      </c>
      <c r="C21" s="168" t="inlineStr">
        <is>
          <t>прочие и лимитированные затраты</t>
        </is>
      </c>
      <c r="D21" s="165">
        <f>D18*3.9%+(D18+D18*3.9%)*3.2%</f>
        <v/>
      </c>
      <c r="E21" s="165">
        <f>E18*3.9%+(E18+E18*3.9%)*3.2%*1*1.05</f>
        <v/>
      </c>
    </row>
    <row r="22">
      <c r="B22" s="325" t="n">
        <v>7</v>
      </c>
      <c r="C22" s="168" t="inlineStr">
        <is>
          <t>Сопоставимый уровень цен</t>
        </is>
      </c>
      <c r="D22" s="325" t="inlineStr">
        <is>
          <t>3 кв 2017</t>
        </is>
      </c>
      <c r="E22" s="325" t="inlineStr">
        <is>
          <t>3 кв 2017</t>
        </is>
      </c>
    </row>
    <row r="23" ht="123" customHeight="1" s="294">
      <c r="B23" s="325" t="n">
        <v>8</v>
      </c>
      <c r="C23" s="16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5">
        <f>D17</f>
        <v/>
      </c>
      <c r="E23" s="165">
        <f>E17</f>
        <v/>
      </c>
    </row>
    <row r="24" ht="60.75" customHeight="1" s="294">
      <c r="B24" s="325" t="n">
        <v>9</v>
      </c>
      <c r="C24" s="164" t="inlineStr">
        <is>
          <t>Приведенная сметная стоимость на единицу мощности, тыс. руб. (строка 8/строку 4)</t>
        </is>
      </c>
      <c r="D24" s="165">
        <f>D23/D15</f>
        <v/>
      </c>
      <c r="E24" s="165">
        <f>E23/E15</f>
        <v/>
      </c>
    </row>
    <row r="25" ht="118.5" customHeight="1" s="294">
      <c r="B25" s="325" t="n">
        <v>10</v>
      </c>
      <c r="C25" s="308" t="inlineStr">
        <is>
          <t>Примечание</t>
        </is>
      </c>
      <c r="D25" s="308" t="n"/>
      <c r="E25" s="308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 
Рекомендуемая расчетная единица  УНЦ - 1 точка наблюдения</t>
        </is>
      </c>
    </row>
    <row r="26">
      <c r="B26" s="170" t="n"/>
      <c r="C26" s="171" t="n"/>
      <c r="D26" s="171" t="n"/>
      <c r="E26" s="171" t="n"/>
    </row>
    <row r="27">
      <c r="B27" s="172" t="n"/>
    </row>
    <row r="28">
      <c r="B28" s="296" t="inlineStr">
        <is>
          <t>Составил ______________________        Д.Ю. Нефедова</t>
        </is>
      </c>
    </row>
    <row r="29">
      <c r="B29" s="172" t="inlineStr">
        <is>
          <t xml:space="preserve">                         (подпись, инициалы, фамилия)</t>
        </is>
      </c>
    </row>
    <row r="31">
      <c r="B31" s="296" t="inlineStr">
        <is>
          <t>Проверил ______________________        А.В. Костянецкая</t>
        </is>
      </c>
    </row>
    <row r="32">
      <c r="B32" s="172" t="inlineStr">
        <is>
          <t xml:space="preserve">                        (подпись, инициалы, фамилия)</t>
        </is>
      </c>
    </row>
  </sheetData>
  <mergeCells count="5">
    <mergeCell ref="B9:E9"/>
    <mergeCell ref="B8:E8"/>
    <mergeCell ref="B4:E4"/>
    <mergeCell ref="B7:E7"/>
    <mergeCell ref="B3:E3"/>
  </mergeCells>
  <pageMargins left="0.7" right="0.7" top="0.75" bottom="0.75" header="0.3" footer="0.3"/>
  <pageSetup orientation="portrait" paperSize="9" scale="68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32"/>
  <sheetViews>
    <sheetView view="pageBreakPreview" zoomScale="70" zoomScaleNormal="70" workbookViewId="0">
      <selection activeCell="H20" sqref="H20"/>
    </sheetView>
  </sheetViews>
  <sheetFormatPr baseColWidth="8" defaultColWidth="9.140625" defaultRowHeight="15.75"/>
  <cols>
    <col width="5.5703125" customWidth="1" style="296" min="1" max="1"/>
    <col width="9.140625" customWidth="1" style="296" min="2" max="2"/>
    <col width="35.28515625" customWidth="1" style="296" min="3" max="3"/>
    <col width="13.85546875" customWidth="1" style="296" min="4" max="4"/>
    <col width="24.85546875" customWidth="1" style="296" min="5" max="5"/>
    <col width="15.5703125" customWidth="1" style="296" min="6" max="6"/>
    <col width="14.85546875" customWidth="1" style="296" min="7" max="7"/>
    <col width="16.7109375" customWidth="1" style="296" min="8" max="8"/>
    <col width="13" customWidth="1" style="296" min="9" max="10"/>
    <col width="18" customWidth="1" style="296" min="11" max="11"/>
    <col width="9.140625" customWidth="1" style="296" min="12" max="12"/>
  </cols>
  <sheetData>
    <row r="3">
      <c r="B3" s="319" t="inlineStr">
        <is>
          <t>Приложение № 2</t>
        </is>
      </c>
      <c r="K3" s="172" t="n"/>
    </row>
    <row r="4">
      <c r="B4" s="320" t="inlineStr">
        <is>
          <t>Расчет стоимости основных видов работ для выбора объекта-представителя</t>
        </is>
      </c>
    </row>
    <row r="5">
      <c r="B5" s="161" t="n"/>
      <c r="C5" s="161" t="n"/>
      <c r="D5" s="161" t="n"/>
      <c r="E5" s="161" t="n"/>
      <c r="F5" s="161" t="n"/>
      <c r="G5" s="161" t="n"/>
      <c r="H5" s="161" t="n"/>
      <c r="I5" s="161" t="n"/>
      <c r="J5" s="161" t="n"/>
      <c r="K5" s="161" t="n"/>
    </row>
    <row r="6" ht="33" customHeight="1" s="294">
      <c r="B6" s="324" t="inlineStr">
        <is>
          <t>Наименование разрабатываемого показателя УНЦ —  Комплекс систем безопасности ПС. Стационарная камера охранного (технологического) видеонаблюдения</t>
        </is>
      </c>
      <c r="K6" s="172" t="n"/>
      <c r="L6" s="173" t="n"/>
    </row>
    <row r="7">
      <c r="B7" s="322" t="inlineStr">
        <is>
          <t>Единица измерения  — 1 точка наблюдения</t>
        </is>
      </c>
      <c r="L7" s="173" t="n"/>
    </row>
    <row r="8">
      <c r="B8" s="322" t="n"/>
    </row>
    <row r="9" ht="15.75" customHeight="1" s="294">
      <c r="B9" s="325" t="inlineStr">
        <is>
          <t>№ п/п</t>
        </is>
      </c>
      <c r="C9" s="32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5" t="inlineStr">
        <is>
          <t>Объект-представитель 1</t>
        </is>
      </c>
      <c r="E9" s="411" t="n"/>
      <c r="F9" s="411" t="n"/>
      <c r="G9" s="411" t="n"/>
      <c r="H9" s="411" t="n"/>
      <c r="I9" s="411" t="n"/>
      <c r="J9" s="412" t="n"/>
    </row>
    <row r="10" ht="15.75" customHeight="1" s="294">
      <c r="B10" s="413" t="n"/>
      <c r="C10" s="413" t="n"/>
      <c r="D10" s="325" t="inlineStr">
        <is>
          <t>Номер сметы</t>
        </is>
      </c>
      <c r="E10" s="325" t="inlineStr">
        <is>
          <t>Наименование сметы</t>
        </is>
      </c>
      <c r="F10" s="325" t="inlineStr">
        <is>
          <t>Сметная стоимость в уровне цен 3 кв. 2016 г., тыс. руб.</t>
        </is>
      </c>
      <c r="G10" s="411" t="n"/>
      <c r="H10" s="411" t="n"/>
      <c r="I10" s="411" t="n"/>
      <c r="J10" s="412" t="n"/>
    </row>
    <row r="11" ht="31.5" customHeight="1" s="294">
      <c r="B11" s="414" t="n"/>
      <c r="C11" s="414" t="n"/>
      <c r="D11" s="414" t="n"/>
      <c r="E11" s="414" t="n"/>
      <c r="F11" s="325" t="inlineStr">
        <is>
          <t>Строительные работы</t>
        </is>
      </c>
      <c r="G11" s="325" t="inlineStr">
        <is>
          <t>Монтажные работы</t>
        </is>
      </c>
      <c r="H11" s="325" t="inlineStr">
        <is>
          <t>Оборудование</t>
        </is>
      </c>
      <c r="I11" s="325" t="inlineStr">
        <is>
          <t>Прочее</t>
        </is>
      </c>
      <c r="J11" s="325" t="inlineStr">
        <is>
          <t>Всего</t>
        </is>
      </c>
    </row>
    <row r="12" ht="47.25" customHeight="1" s="294">
      <c r="B12" s="255" t="n">
        <v>1</v>
      </c>
      <c r="C12" s="272" t="inlineStr">
        <is>
          <t>Сетевая стационарная IP- камера В5650  - 7 шт</t>
        </is>
      </c>
      <c r="D12" s="174" t="inlineStr">
        <is>
          <t>05-01-05</t>
        </is>
      </c>
      <c r="E12" s="303" t="inlineStr">
        <is>
          <t>КСТСБ. Система охранного телевидения ПС 220 кВ Звезда</t>
        </is>
      </c>
      <c r="F12" s="175" t="n"/>
      <c r="G12" s="175" t="n">
        <v>11.56692</v>
      </c>
      <c r="H12" s="175" t="n">
        <v>271.224456</v>
      </c>
      <c r="I12" s="176" t="n"/>
      <c r="J12" s="177">
        <f>SUM(F12:I12)</f>
        <v/>
      </c>
    </row>
    <row r="13" ht="15.75" customHeight="1" s="294">
      <c r="B13" s="323" t="inlineStr">
        <is>
          <t>Всего по объекту:</t>
        </is>
      </c>
      <c r="C13" s="411" t="n"/>
      <c r="D13" s="411" t="n"/>
      <c r="E13" s="412" t="n"/>
      <c r="F13" s="178">
        <f>SUM(F12:F12)</f>
        <v/>
      </c>
      <c r="G13" s="178">
        <f>SUM(G12:G12)</f>
        <v/>
      </c>
      <c r="H13" s="178">
        <f>SUM(H12:H12)</f>
        <v/>
      </c>
      <c r="I13" s="179" t="n"/>
      <c r="J13" s="180">
        <f>SUM(F13:I13)</f>
        <v/>
      </c>
    </row>
    <row r="14" ht="28.5" customHeight="1" s="294">
      <c r="B14" s="323" t="inlineStr">
        <is>
          <t>Всего по объекту в сопоставимом уровне цен 3 кв. 2016 г:</t>
        </is>
      </c>
      <c r="C14" s="411" t="n"/>
      <c r="D14" s="411" t="n"/>
      <c r="E14" s="412" t="n"/>
      <c r="F14" s="178">
        <f>F13</f>
        <v/>
      </c>
      <c r="G14" s="178">
        <f>G13</f>
        <v/>
      </c>
      <c r="H14" s="178">
        <f>H13</f>
        <v/>
      </c>
      <c r="I14" s="179" t="n"/>
      <c r="J14" s="180">
        <f>SUM(F14:I14)</f>
        <v/>
      </c>
    </row>
    <row r="15">
      <c r="B15" s="322" t="n"/>
    </row>
    <row r="16">
      <c r="B16" s="325" t="inlineStr">
        <is>
          <t>№ п/п</t>
        </is>
      </c>
      <c r="C16" s="32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6" s="325" t="inlineStr">
        <is>
          <t>Объект-представитель 2</t>
        </is>
      </c>
      <c r="E16" s="411" t="n"/>
      <c r="F16" s="411" t="n"/>
      <c r="G16" s="411" t="n"/>
      <c r="H16" s="411" t="n"/>
      <c r="I16" s="411" t="n"/>
      <c r="J16" s="412" t="n"/>
    </row>
    <row r="17" ht="15.75" customHeight="1" s="294">
      <c r="B17" s="413" t="n"/>
      <c r="C17" s="413" t="n"/>
      <c r="D17" s="325" t="inlineStr">
        <is>
          <t>Номер сметы</t>
        </is>
      </c>
      <c r="E17" s="325" t="inlineStr">
        <is>
          <t>Наименование сметы</t>
        </is>
      </c>
      <c r="F17" s="325" t="inlineStr">
        <is>
          <t>Сметная стоимость в уровне цен 3 кв. 2017 г., тыс. руб.</t>
        </is>
      </c>
      <c r="G17" s="411" t="n"/>
      <c r="H17" s="411" t="n"/>
      <c r="I17" s="411" t="n"/>
      <c r="J17" s="412" t="n"/>
    </row>
    <row r="18" ht="31.5" customHeight="1" s="294">
      <c r="B18" s="414" t="n"/>
      <c r="C18" s="414" t="n"/>
      <c r="D18" s="414" t="n"/>
      <c r="E18" s="414" t="n"/>
      <c r="F18" s="325" t="inlineStr">
        <is>
          <t>Строительные работы</t>
        </is>
      </c>
      <c r="G18" s="325" t="inlineStr">
        <is>
          <t>Монтажные работы</t>
        </is>
      </c>
      <c r="H18" s="325" t="inlineStr">
        <is>
          <t>Оборудование</t>
        </is>
      </c>
      <c r="I18" s="325" t="inlineStr">
        <is>
          <t>Прочее</t>
        </is>
      </c>
      <c r="J18" s="325" t="inlineStr">
        <is>
          <t>Всего</t>
        </is>
      </c>
    </row>
    <row r="19" ht="68.25" customHeight="1" s="294">
      <c r="B19" s="255" t="n">
        <v>1</v>
      </c>
      <c r="C19" s="273" t="inlineStr">
        <is>
          <t>Сетевая стационарная IP-камеры В5650 - 5 шт
Сетевая стационарная IP-камера внутренняя В1710DR - 5 шт</t>
        </is>
      </c>
      <c r="D19" s="181" t="inlineStr">
        <is>
          <t>02-15-02</t>
        </is>
      </c>
      <c r="E19" s="308" t="inlineStr">
        <is>
          <t>Система охранное телевидиния (СОТ, СТТ) ПС 220 кВ ВНХК</t>
        </is>
      </c>
      <c r="F19" s="175" t="n"/>
      <c r="G19" s="175" t="n">
        <v>30.2404856</v>
      </c>
      <c r="H19" s="175" t="n">
        <v>202.6348461</v>
      </c>
      <c r="I19" s="176" t="n"/>
      <c r="J19" s="177">
        <f>SUM(F19:I19)</f>
        <v/>
      </c>
    </row>
    <row r="20" ht="15.75" customHeight="1" s="294">
      <c r="B20" s="323" t="inlineStr">
        <is>
          <t>Всего по объекту:</t>
        </is>
      </c>
      <c r="C20" s="411" t="n"/>
      <c r="D20" s="411" t="n"/>
      <c r="E20" s="412" t="n"/>
      <c r="F20" s="178">
        <f>SUM(F19:F19)</f>
        <v/>
      </c>
      <c r="G20" s="178">
        <f>SUM(G19:G19)</f>
        <v/>
      </c>
      <c r="H20" s="178">
        <f>SUM(H19:H19)</f>
        <v/>
      </c>
      <c r="I20" s="179" t="n"/>
      <c r="J20" s="180">
        <f>SUM(F20:I20)</f>
        <v/>
      </c>
    </row>
    <row r="21" ht="28.5" customHeight="1" s="294">
      <c r="B21" s="323" t="inlineStr">
        <is>
          <t>Всего по объекту в сопоставимом уровне цен 3 кв. 2017 г:</t>
        </is>
      </c>
      <c r="C21" s="411" t="n"/>
      <c r="D21" s="411" t="n"/>
      <c r="E21" s="412" t="n"/>
      <c r="F21" s="178">
        <f>F20</f>
        <v/>
      </c>
      <c r="G21" s="178">
        <f>G20</f>
        <v/>
      </c>
      <c r="H21" s="178">
        <f>H20</f>
        <v/>
      </c>
      <c r="I21" s="179" t="n"/>
      <c r="J21" s="180">
        <f>SUM(F21:I21)</f>
        <v/>
      </c>
    </row>
    <row r="24">
      <c r="B24" s="349" t="inlineStr">
        <is>
          <t>*</t>
        </is>
      </c>
      <c r="C24" s="296" t="inlineStr">
        <is>
          <t xml:space="preserve"> - стоимость с учетом исключения затрат на корректровку по транспортировке  свыше 30 км.</t>
        </is>
      </c>
    </row>
    <row r="28">
      <c r="B28" s="296" t="inlineStr">
        <is>
          <t>Составил ______________________        Д.Ю. Нефедова</t>
        </is>
      </c>
    </row>
    <row r="29">
      <c r="B29" s="172" t="inlineStr">
        <is>
          <t xml:space="preserve">                         (подпись, инициалы, фамилия)</t>
        </is>
      </c>
    </row>
    <row r="31">
      <c r="B31" s="296" t="inlineStr">
        <is>
          <t>Проверил ______________________        А.В. Костянецкая</t>
        </is>
      </c>
    </row>
    <row r="32">
      <c r="B32" s="172" t="inlineStr">
        <is>
          <t xml:space="preserve">                        (подпись, инициалы, фамилия)</t>
        </is>
      </c>
    </row>
  </sheetData>
  <mergeCells count="20">
    <mergeCell ref="E17:E18"/>
    <mergeCell ref="D9:J9"/>
    <mergeCell ref="F10:J10"/>
    <mergeCell ref="D17:D18"/>
    <mergeCell ref="B20:E20"/>
    <mergeCell ref="E10:E11"/>
    <mergeCell ref="B4:K4"/>
    <mergeCell ref="B7:K7"/>
    <mergeCell ref="B16:B18"/>
    <mergeCell ref="B6:J6"/>
    <mergeCell ref="F17:J17"/>
    <mergeCell ref="B21:E21"/>
    <mergeCell ref="B14:E14"/>
    <mergeCell ref="B3:J3"/>
    <mergeCell ref="D10:D11"/>
    <mergeCell ref="B13:E13"/>
    <mergeCell ref="C16:C18"/>
    <mergeCell ref="D16:J16"/>
    <mergeCell ref="B9:B11"/>
    <mergeCell ref="C9:C11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30"/>
  <sheetViews>
    <sheetView view="pageBreakPreview" topLeftCell="A4" workbookViewId="0">
      <selection activeCell="A7" sqref="A7:XFD8"/>
    </sheetView>
  </sheetViews>
  <sheetFormatPr baseColWidth="8" defaultColWidth="9.140625" defaultRowHeight="15.75"/>
  <cols>
    <col width="9.140625" customWidth="1" style="296" min="1" max="1"/>
    <col width="12.5703125" customWidth="1" style="296" min="2" max="2"/>
    <col width="22.42578125" customWidth="1" style="296" min="3" max="3"/>
    <col width="49.7109375" customWidth="1" style="296" min="4" max="4"/>
    <col width="10.140625" customWidth="1" style="183" min="5" max="5"/>
    <col width="20.7109375" customWidth="1" style="296" min="6" max="6"/>
    <col width="16.140625" customWidth="1" style="296" min="7" max="7"/>
    <col width="16.7109375" customWidth="1" style="296" min="8" max="8"/>
    <col width="9.140625" customWidth="1" style="296" min="9" max="9"/>
    <col width="10.28515625" customWidth="1" style="296" min="10" max="10"/>
    <col width="9.140625" customWidth="1" style="296" min="11" max="11"/>
  </cols>
  <sheetData>
    <row r="2">
      <c r="A2" s="319" t="inlineStr">
        <is>
          <t xml:space="preserve">Приложение № 3 </t>
        </is>
      </c>
    </row>
    <row r="3">
      <c r="A3" s="320" t="inlineStr">
        <is>
          <t>Объектная ресурсная ведомость</t>
        </is>
      </c>
    </row>
    <row r="4">
      <c r="A4" s="322" t="n"/>
    </row>
    <row r="5" ht="30.75" customHeight="1" s="294">
      <c r="A5" s="324" t="inlineStr">
        <is>
          <t>Наименование разрабатываемого показателя УНЦ - Комплекс систем безопасности ПС. Стационарная камера охранного (технологического) видеонаблюдения</t>
        </is>
      </c>
    </row>
    <row r="6">
      <c r="A6" s="184" t="n"/>
      <c r="B6" s="184" t="n"/>
      <c r="C6" s="184" t="n"/>
      <c r="D6" s="184" t="n"/>
      <c r="E6" s="161" t="n"/>
      <c r="F6" s="184" t="n"/>
      <c r="G6" s="184" t="n"/>
      <c r="H6" s="184" t="n"/>
    </row>
    <row r="7" s="294">
      <c r="A7" s="184" t="n"/>
      <c r="B7" s="184" t="n"/>
      <c r="C7" s="184" t="n"/>
      <c r="D7" s="184" t="n"/>
      <c r="E7" s="161" t="n"/>
      <c r="F7" s="184" t="n"/>
      <c r="G7" s="184" t="n"/>
      <c r="H7" s="184" t="n"/>
      <c r="I7" s="296" t="n"/>
      <c r="J7" s="296" t="n"/>
      <c r="K7" s="296" t="n"/>
    </row>
    <row r="8" s="294">
      <c r="A8" s="184" t="n"/>
      <c r="B8" s="184" t="n"/>
      <c r="C8" s="184" t="n"/>
      <c r="D8" s="184" t="n"/>
      <c r="E8" s="161" t="n"/>
      <c r="F8" s="184" t="n"/>
      <c r="G8" s="184" t="n"/>
      <c r="H8" s="184" t="n"/>
      <c r="I8" s="296" t="n"/>
      <c r="J8" s="296" t="n"/>
      <c r="K8" s="296" t="n"/>
    </row>
    <row r="9" s="294">
      <c r="A9" s="184" t="n"/>
      <c r="B9" s="184" t="n"/>
      <c r="C9" s="184" t="n"/>
      <c r="D9" s="184" t="n"/>
      <c r="E9" s="161" t="n"/>
      <c r="F9" s="184" t="n"/>
      <c r="G9" s="184" t="n"/>
      <c r="H9" s="184" t="n"/>
      <c r="I9" s="296" t="n"/>
      <c r="J9" s="296" t="n"/>
      <c r="K9" s="296" t="n"/>
    </row>
    <row r="10" s="294">
      <c r="A10" s="184" t="n"/>
      <c r="B10" s="184" t="n"/>
      <c r="C10" s="184" t="n"/>
      <c r="D10" s="184" t="n"/>
      <c r="E10" s="161" t="n"/>
      <c r="F10" s="184" t="n"/>
      <c r="G10" s="184" t="n"/>
      <c r="H10" s="184" t="n"/>
      <c r="I10" s="296" t="n"/>
      <c r="J10" s="296" t="n"/>
      <c r="K10" s="296" t="n"/>
    </row>
    <row r="11" ht="38.25" customHeight="1" s="294">
      <c r="A11" s="325" t="inlineStr">
        <is>
          <t>п/п</t>
        </is>
      </c>
      <c r="B11" s="325" t="inlineStr">
        <is>
          <t>№ЛСР</t>
        </is>
      </c>
      <c r="C11" s="325" t="inlineStr">
        <is>
          <t>Код ресурса</t>
        </is>
      </c>
      <c r="D11" s="325" t="inlineStr">
        <is>
          <t>Наименование ресурса</t>
        </is>
      </c>
      <c r="E11" s="325" t="inlineStr">
        <is>
          <t>Ед. изм.</t>
        </is>
      </c>
      <c r="F11" s="325" t="inlineStr">
        <is>
          <t>Кол-во единиц по данным объекта-представителя</t>
        </is>
      </c>
      <c r="G11" s="325" t="inlineStr">
        <is>
          <t>Сметная стоимость в ценах на 01.01.2000 (руб.)</t>
        </is>
      </c>
      <c r="H11" s="412" t="n"/>
    </row>
    <row r="12" ht="40.5" customHeight="1" s="294">
      <c r="A12" s="414" t="n"/>
      <c r="B12" s="414" t="n"/>
      <c r="C12" s="414" t="n"/>
      <c r="D12" s="414" t="n"/>
      <c r="E12" s="414" t="n"/>
      <c r="F12" s="414" t="n"/>
      <c r="G12" s="325" t="inlineStr">
        <is>
          <t>на ед.изм.</t>
        </is>
      </c>
      <c r="H12" s="325" t="inlineStr">
        <is>
          <t>общая</t>
        </is>
      </c>
    </row>
    <row r="13">
      <c r="A13" s="272" t="n">
        <v>1</v>
      </c>
      <c r="B13" s="272" t="n"/>
      <c r="C13" s="272" t="n">
        <v>2</v>
      </c>
      <c r="D13" s="272" t="inlineStr">
        <is>
          <t>З</t>
        </is>
      </c>
      <c r="E13" s="272" t="n">
        <v>4</v>
      </c>
      <c r="F13" s="272" t="n">
        <v>5</v>
      </c>
      <c r="G13" s="272" t="n">
        <v>6</v>
      </c>
      <c r="H13" s="272" t="n">
        <v>7</v>
      </c>
    </row>
    <row r="14" customFormat="1" s="285">
      <c r="A14" s="329" t="inlineStr">
        <is>
          <t>Затраты труда рабочих</t>
        </is>
      </c>
      <c r="B14" s="411" t="n"/>
      <c r="C14" s="411" t="n"/>
      <c r="D14" s="411" t="n"/>
      <c r="E14" s="412" t="n"/>
      <c r="F14" s="186" t="n">
        <v>18.69</v>
      </c>
      <c r="G14" s="186" t="n"/>
      <c r="H14" s="186">
        <f>SUM(H15:H15)</f>
        <v/>
      </c>
      <c r="I14" s="296" t="n"/>
      <c r="J14" s="296" t="n"/>
      <c r="K14" s="296" t="n"/>
      <c r="L14" s="296" t="n"/>
      <c r="M14" s="296" t="n"/>
    </row>
    <row r="15">
      <c r="A15" s="330" t="n">
        <v>1</v>
      </c>
      <c r="B15" s="189" t="inlineStr">
        <is>
          <t> </t>
        </is>
      </c>
      <c r="C15" s="190" t="inlineStr">
        <is>
          <t>1-4-9</t>
        </is>
      </c>
      <c r="D15" s="331" t="inlineStr">
        <is>
          <t>Затраты труда рабочих (ср 4,9)</t>
        </is>
      </c>
      <c r="E15" s="192" t="inlineStr">
        <is>
          <t>чел.-ч</t>
        </is>
      </c>
      <c r="F15" s="330" t="n">
        <v>18.69</v>
      </c>
      <c r="G15" s="193" t="n">
        <v>10.94</v>
      </c>
      <c r="H15" s="193">
        <f>ROUND(F15*G15,2)</f>
        <v/>
      </c>
    </row>
    <row r="16">
      <c r="A16" s="329" t="inlineStr">
        <is>
          <t>Затраты труда машинистов</t>
        </is>
      </c>
      <c r="B16" s="411" t="n"/>
      <c r="C16" s="411" t="n"/>
      <c r="D16" s="411" t="n"/>
      <c r="E16" s="412" t="n"/>
      <c r="F16" s="329" t="n"/>
      <c r="G16" s="186" t="n"/>
      <c r="H16" s="186" t="n">
        <v>0</v>
      </c>
    </row>
    <row r="17" customFormat="1" s="285">
      <c r="A17" s="329" t="inlineStr">
        <is>
          <t>Машины и механизмы</t>
        </is>
      </c>
      <c r="B17" s="411" t="n"/>
      <c r="C17" s="411" t="n"/>
      <c r="D17" s="411" t="n"/>
      <c r="E17" s="412" t="n"/>
      <c r="F17" s="329" t="n"/>
      <c r="G17" s="186" t="n"/>
      <c r="H17" s="186" t="n">
        <v>0</v>
      </c>
      <c r="I17" s="296" t="n"/>
      <c r="J17" s="296" t="n"/>
      <c r="K17" s="296" t="n"/>
      <c r="L17" s="296" t="n"/>
      <c r="M17" s="296" t="n"/>
    </row>
    <row r="18">
      <c r="A18" s="329" t="inlineStr">
        <is>
          <t>Оборудование</t>
        </is>
      </c>
      <c r="B18" s="411" t="n"/>
      <c r="C18" s="411" t="n"/>
      <c r="D18" s="411" t="n"/>
      <c r="E18" s="412" t="n"/>
      <c r="F18" s="329" t="n"/>
      <c r="G18" s="186" t="n"/>
      <c r="H18" s="186">
        <f>SUM(H19:H20)</f>
        <v/>
      </c>
    </row>
    <row r="19" ht="47.25" customFormat="1" customHeight="1" s="285">
      <c r="A19" s="330" t="n">
        <v>2</v>
      </c>
      <c r="B19" s="330" t="inlineStr">
        <is>
          <t> </t>
        </is>
      </c>
      <c r="C19" s="311" t="inlineStr">
        <is>
          <t>Прайс из СД ОП</t>
        </is>
      </c>
      <c r="D19" s="331" t="inlineStr">
        <is>
          <t>Сетевая стационарная IP- камера В5650 и кронштейн крепления для подвесных купольных и стационарных видеокамер</t>
        </is>
      </c>
      <c r="E19" s="192" t="inlineStr">
        <is>
          <t>шт</t>
        </is>
      </c>
      <c r="F19" s="330" t="n">
        <v>7</v>
      </c>
      <c r="G19" s="193" t="n">
        <v>30686.27</v>
      </c>
      <c r="H19" s="193">
        <f>ROUND(F19*G19,2)</f>
        <v/>
      </c>
      <c r="I19" s="296" t="n"/>
      <c r="J19" s="296" t="n"/>
      <c r="K19" s="296" t="n"/>
      <c r="L19" s="296" t="n"/>
      <c r="M19" s="296" t="n"/>
    </row>
    <row r="20" customFormat="1" s="285">
      <c r="A20" s="330" t="n">
        <v>3</v>
      </c>
      <c r="B20" s="330" t="inlineStr">
        <is>
          <t> </t>
        </is>
      </c>
      <c r="C20" s="311" t="inlineStr">
        <is>
          <t>61.3.01.02-0071</t>
        </is>
      </c>
      <c r="D20" s="331" t="inlineStr">
        <is>
          <t>Объектив вариофокальный LTC3364/50</t>
        </is>
      </c>
      <c r="E20" s="192" t="inlineStr">
        <is>
          <t>10 шт</t>
        </is>
      </c>
      <c r="F20" s="330" t="n">
        <v>0.2</v>
      </c>
      <c r="G20" s="193" t="n">
        <v>10133.5</v>
      </c>
      <c r="H20" s="193">
        <f>ROUND(F20*G20,2)</f>
        <v/>
      </c>
      <c r="I20" s="296" t="n"/>
      <c r="J20" s="296" t="n"/>
      <c r="K20" s="296" t="n"/>
      <c r="L20" s="296" t="n"/>
      <c r="M20" s="296" t="n"/>
    </row>
    <row r="21">
      <c r="A21" s="329" t="inlineStr">
        <is>
          <t>Материалы</t>
        </is>
      </c>
      <c r="B21" s="411" t="n"/>
      <c r="C21" s="411" t="n"/>
      <c r="D21" s="411" t="n"/>
      <c r="E21" s="412" t="n"/>
      <c r="F21" s="329" t="n"/>
      <c r="G21" s="186" t="n"/>
      <c r="H21" s="186">
        <f>SUM(H22:H23)</f>
        <v/>
      </c>
    </row>
    <row r="22" ht="31.5" customHeight="1" s="294">
      <c r="A22" s="330" t="n">
        <v>4</v>
      </c>
      <c r="B22" s="330" t="inlineStr">
        <is>
          <t> </t>
        </is>
      </c>
      <c r="C22" s="311" t="inlineStr">
        <is>
          <t>61.3.06.01-0001</t>
        </is>
      </c>
      <c r="D22" s="331" t="inlineStr">
        <is>
          <t xml:space="preserve">Микрофон внешний ВМ-01 для комплекса ОКТАВА, размер 100х60х42 мм </t>
        </is>
      </c>
      <c r="E22" s="192" t="inlineStr">
        <is>
          <t>шт</t>
        </is>
      </c>
      <c r="F22" s="330" t="n">
        <v>5</v>
      </c>
      <c r="G22" s="193" t="n">
        <v>394.94</v>
      </c>
      <c r="H22" s="193">
        <f>ROUND(F22*G22,2)</f>
        <v/>
      </c>
    </row>
    <row r="23" ht="31.5" customHeight="1" s="294">
      <c r="A23" s="330" t="n">
        <v>5</v>
      </c>
      <c r="B23" s="330" t="inlineStr">
        <is>
          <t> </t>
        </is>
      </c>
      <c r="C23" s="311" t="inlineStr">
        <is>
          <t>999-9950</t>
        </is>
      </c>
      <c r="D23" s="331" t="inlineStr">
        <is>
          <t>Вспомогательные ненормируемые ресурсы (2% от Оплаты труда рабочих)</t>
        </is>
      </c>
      <c r="E23" s="192" t="inlineStr">
        <is>
          <t>руб</t>
        </is>
      </c>
      <c r="F23" s="330" t="n">
        <v>4.06</v>
      </c>
      <c r="G23" s="193" t="n">
        <v>1</v>
      </c>
      <c r="H23" s="193">
        <f>ROUND(F23*G23,2)</f>
        <v/>
      </c>
    </row>
    <row r="26">
      <c r="B26" s="296" t="inlineStr">
        <is>
          <t>Составил ______________________        Д.Ю. Нефедова</t>
        </is>
      </c>
    </row>
    <row r="27">
      <c r="B27" s="172" t="inlineStr">
        <is>
          <t xml:space="preserve">                         (подпись, инициалы, фамилия)</t>
        </is>
      </c>
    </row>
    <row r="29">
      <c r="B29" s="296" t="inlineStr">
        <is>
          <t>Проверил ______________________        А.В. Костянецкая</t>
        </is>
      </c>
    </row>
    <row r="30">
      <c r="B30" s="172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16:E16"/>
    <mergeCell ref="A14:E14"/>
    <mergeCell ref="A2:H2"/>
    <mergeCell ref="G11:H11"/>
    <mergeCell ref="B11:B12"/>
    <mergeCell ref="C11:C12"/>
    <mergeCell ref="D11:D12"/>
    <mergeCell ref="A5:H5"/>
    <mergeCell ref="E11:E12"/>
    <mergeCell ref="A17:E17"/>
    <mergeCell ref="A18:E18"/>
    <mergeCell ref="A11:A12"/>
    <mergeCell ref="F11:F12"/>
  </mergeCells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K50"/>
  <sheetViews>
    <sheetView view="pageBreakPreview" topLeftCell="A27" workbookViewId="0">
      <selection activeCell="B42" sqref="B42"/>
    </sheetView>
  </sheetViews>
  <sheetFormatPr baseColWidth="8" defaultRowHeight="15"/>
  <cols>
    <col width="4.140625" customWidth="1" style="294" min="1" max="1"/>
    <col width="36.28515625" customWidth="1" style="294" min="2" max="2"/>
    <col width="18.85546875" customWidth="1" style="294" min="3" max="3"/>
    <col width="18.28515625" customWidth="1" style="294" min="4" max="4"/>
    <col width="18.85546875" customWidth="1" style="294" min="5" max="5"/>
    <col width="11.42578125" customWidth="1" style="294" min="6" max="6"/>
    <col width="9.140625" customWidth="1" style="294" min="7" max="10"/>
    <col width="13.5703125" customWidth="1" style="294" min="11" max="11"/>
    <col width="9.140625" customWidth="1" style="294" min="12" max="12"/>
  </cols>
  <sheetData>
    <row r="1">
      <c r="B1" s="290" t="n"/>
      <c r="C1" s="290" t="n"/>
      <c r="D1" s="290" t="n"/>
      <c r="E1" s="290" t="n"/>
    </row>
    <row r="2">
      <c r="B2" s="290" t="n"/>
      <c r="C2" s="290" t="n"/>
      <c r="D2" s="290" t="n"/>
      <c r="E2" s="354" t="inlineStr">
        <is>
          <t>Приложение № 4</t>
        </is>
      </c>
    </row>
    <row r="3">
      <c r="B3" s="290" t="n"/>
      <c r="C3" s="290" t="n"/>
      <c r="D3" s="290" t="n"/>
      <c r="E3" s="290" t="n"/>
    </row>
    <row r="4">
      <c r="B4" s="290" t="n"/>
      <c r="C4" s="290" t="n"/>
      <c r="D4" s="290" t="n"/>
      <c r="E4" s="290" t="n"/>
    </row>
    <row r="5">
      <c r="B5" s="312" t="inlineStr">
        <is>
          <t>Ресурсная модель</t>
        </is>
      </c>
    </row>
    <row r="6">
      <c r="B6" s="197" t="n"/>
      <c r="C6" s="290" t="n"/>
      <c r="D6" s="290" t="n"/>
      <c r="E6" s="290" t="n"/>
    </row>
    <row r="7" ht="25.5" customHeight="1" s="294">
      <c r="B7" s="332" t="inlineStr">
        <is>
          <t>Наименование разрабатываемого показателя УНЦ — Комплекс систем безопасности ПС. Стационарная камера охранного (технологического) видеонаблюдения</t>
        </is>
      </c>
    </row>
    <row r="8">
      <c r="B8" s="333" t="inlineStr">
        <is>
          <t>Единица измерения  — 1 точка наблюдения</t>
        </is>
      </c>
    </row>
    <row r="9">
      <c r="B9" s="197" t="n"/>
      <c r="C9" s="290" t="n"/>
      <c r="D9" s="290" t="n"/>
      <c r="E9" s="290" t="n"/>
    </row>
    <row r="10" ht="51" customHeight="1" s="294">
      <c r="B10" s="341" t="inlineStr">
        <is>
          <t>Наименование</t>
        </is>
      </c>
      <c r="C10" s="341" t="inlineStr">
        <is>
          <t>Сметная стоимость в ценах на 01.01.2023
 (руб.)</t>
        </is>
      </c>
      <c r="D10" s="341" t="inlineStr">
        <is>
          <t>Удельный вес, 
(в СМР)</t>
        </is>
      </c>
      <c r="E10" s="341" t="inlineStr">
        <is>
          <t>Удельный вес, % 
(от всего по РМ)</t>
        </is>
      </c>
    </row>
    <row r="11">
      <c r="B11" s="243" t="inlineStr">
        <is>
          <t>Оплата труда рабочих</t>
        </is>
      </c>
      <c r="C11" s="156">
        <f>'Прил.5 Расчет СМР и ОБ'!J15</f>
        <v/>
      </c>
      <c r="D11" s="157">
        <f>C11/$C$24</f>
        <v/>
      </c>
      <c r="E11" s="157">
        <f>C11/$C$40</f>
        <v/>
      </c>
    </row>
    <row r="12">
      <c r="B12" s="243" t="inlineStr">
        <is>
          <t>Эксплуатация машин основных</t>
        </is>
      </c>
      <c r="C12" s="156">
        <f>'Прил.5 Расчет СМР и ОБ'!J18</f>
        <v/>
      </c>
      <c r="D12" s="157">
        <f>C12/$C$24</f>
        <v/>
      </c>
      <c r="E12" s="157">
        <f>C12/$C$40</f>
        <v/>
      </c>
    </row>
    <row r="13">
      <c r="B13" s="243" t="inlineStr">
        <is>
          <t>Эксплуатация машин прочих</t>
        </is>
      </c>
      <c r="C13" s="156">
        <f>'Прил.5 Расчет СМР и ОБ'!J19</f>
        <v/>
      </c>
      <c r="D13" s="157">
        <f>C13/$C$24</f>
        <v/>
      </c>
      <c r="E13" s="157">
        <f>C13/$C$40</f>
        <v/>
      </c>
    </row>
    <row r="14">
      <c r="B14" s="243" t="inlineStr">
        <is>
          <t>ЭКСПЛУАТАЦИЯ МАШИН, ВСЕГО:</t>
        </is>
      </c>
      <c r="C14" s="156">
        <f>C13+C12</f>
        <v/>
      </c>
      <c r="D14" s="157">
        <f>C14/$C$24</f>
        <v/>
      </c>
      <c r="E14" s="157">
        <f>C14/$C$40</f>
        <v/>
      </c>
    </row>
    <row r="15">
      <c r="B15" s="243" t="inlineStr">
        <is>
          <t>в том числе зарплата машинистов</t>
        </is>
      </c>
      <c r="C15" s="156" t="n">
        <v>0</v>
      </c>
      <c r="D15" s="157">
        <f>C15/$C$24</f>
        <v/>
      </c>
      <c r="E15" s="157">
        <f>C15/$C$40</f>
        <v/>
      </c>
    </row>
    <row r="16">
      <c r="B16" s="243" t="inlineStr">
        <is>
          <t>Материалы основные</t>
        </is>
      </c>
      <c r="C16" s="156">
        <f>'Прил.5 Расчет СМР и ОБ'!J32</f>
        <v/>
      </c>
      <c r="D16" s="157">
        <f>C16/$C$24</f>
        <v/>
      </c>
      <c r="E16" s="157">
        <f>C16/$C$40</f>
        <v/>
      </c>
    </row>
    <row r="17">
      <c r="B17" s="243" t="inlineStr">
        <is>
          <t>Материалы прочие</t>
        </is>
      </c>
      <c r="C17" s="156">
        <f>'Прил.5 Расчет СМР и ОБ'!J34</f>
        <v/>
      </c>
      <c r="D17" s="157">
        <f>C17/$C$24</f>
        <v/>
      </c>
      <c r="E17" s="157">
        <f>C17/$C$40</f>
        <v/>
      </c>
    </row>
    <row r="18">
      <c r="B18" s="243" t="inlineStr">
        <is>
          <t>МАТЕРИАЛЫ, ВСЕГО:</t>
        </is>
      </c>
      <c r="C18" s="156">
        <f>C17+C16</f>
        <v/>
      </c>
      <c r="D18" s="157">
        <f>C18/$C$24</f>
        <v/>
      </c>
      <c r="E18" s="157">
        <f>C18/$C$40</f>
        <v/>
      </c>
    </row>
    <row r="19">
      <c r="B19" s="243" t="inlineStr">
        <is>
          <t>ИТОГО</t>
        </is>
      </c>
      <c r="C19" s="156">
        <f>C18+C14+C11</f>
        <v/>
      </c>
      <c r="D19" s="157" t="n"/>
      <c r="E19" s="243" t="n"/>
    </row>
    <row r="20">
      <c r="B20" s="243" t="inlineStr">
        <is>
          <t>Сметная прибыль, руб.</t>
        </is>
      </c>
      <c r="C20" s="156">
        <f>ROUND(C21*(C11+C15),2)</f>
        <v/>
      </c>
      <c r="D20" s="157">
        <f>C20/$C$24</f>
        <v/>
      </c>
      <c r="E20" s="157">
        <f>C20/$C$40</f>
        <v/>
      </c>
    </row>
    <row r="21">
      <c r="B21" s="243" t="inlineStr">
        <is>
          <t>Сметная прибыль, %</t>
        </is>
      </c>
      <c r="C21" s="271">
        <f>'Прил.5 Расчет СМР и ОБ'!D38</f>
        <v/>
      </c>
      <c r="D21" s="157" t="n"/>
      <c r="E21" s="243" t="n"/>
    </row>
    <row r="22">
      <c r="B22" s="243" t="inlineStr">
        <is>
          <t>Накладные расходы, руб.</t>
        </is>
      </c>
      <c r="C22" s="156">
        <f>ROUND(C23*(C11+C15),2)</f>
        <v/>
      </c>
      <c r="D22" s="157">
        <f>C22/$C$24</f>
        <v/>
      </c>
      <c r="E22" s="157">
        <f>C22/$C$40</f>
        <v/>
      </c>
    </row>
    <row r="23">
      <c r="B23" s="243" t="inlineStr">
        <is>
          <t>Накладные расходы, %</t>
        </is>
      </c>
      <c r="C23" s="271">
        <f>'Прил.5 Расчет СМР и ОБ'!D37</f>
        <v/>
      </c>
      <c r="D23" s="157" t="n"/>
      <c r="E23" s="243" t="n"/>
    </row>
    <row r="24">
      <c r="B24" s="243" t="inlineStr">
        <is>
          <t>ВСЕГО СМР с НР и СП</t>
        </is>
      </c>
      <c r="C24" s="156">
        <f>C19+C20+C22</f>
        <v/>
      </c>
      <c r="D24" s="157">
        <f>C24/$C$24</f>
        <v/>
      </c>
      <c r="E24" s="157">
        <f>C24/$C$40</f>
        <v/>
      </c>
    </row>
    <row r="25" ht="25.5" customHeight="1" s="294">
      <c r="B25" s="243" t="inlineStr">
        <is>
          <t>ВСЕГО стоимость оборудования, в том числе</t>
        </is>
      </c>
      <c r="C25" s="156">
        <f>'Прил.5 Расчет СМР и ОБ'!J27</f>
        <v/>
      </c>
      <c r="D25" s="157" t="n"/>
      <c r="E25" s="157">
        <f>C25/$C$40</f>
        <v/>
      </c>
    </row>
    <row r="26" ht="25.5" customHeight="1" s="294">
      <c r="B26" s="243" t="inlineStr">
        <is>
          <t>стоимость оборудования технологического</t>
        </is>
      </c>
      <c r="C26" s="156">
        <f>'Прил.5 Расчет СМР и ОБ'!J28</f>
        <v/>
      </c>
      <c r="D26" s="157" t="n"/>
      <c r="E26" s="157">
        <f>C26/$C$40</f>
        <v/>
      </c>
    </row>
    <row r="27">
      <c r="B27" s="243" t="inlineStr">
        <is>
          <t>ИТОГО (СМР + ОБОРУДОВАНИЕ)</t>
        </is>
      </c>
      <c r="C27" s="194">
        <f>C24+C25</f>
        <v/>
      </c>
      <c r="D27" s="157" t="n"/>
      <c r="E27" s="157">
        <f>C27/$C$40</f>
        <v/>
      </c>
    </row>
    <row r="28" ht="33" customHeight="1" s="294">
      <c r="B28" s="243" t="inlineStr">
        <is>
          <t>ПРОЧ. ЗАТР., УЧТЕННЫЕ ПОКАЗАТЕЛЕМ,  в том числе</t>
        </is>
      </c>
      <c r="C28" s="243" t="n"/>
      <c r="D28" s="243" t="n"/>
      <c r="E28" s="243" t="n"/>
      <c r="F28" s="195" t="n"/>
    </row>
    <row r="29" ht="25.5" customHeight="1" s="294">
      <c r="B29" s="243" t="inlineStr">
        <is>
          <t>Временные здания и сооружения - 3,9%</t>
        </is>
      </c>
      <c r="C29" s="194">
        <f>ROUND(C24*3.9%,2)</f>
        <v/>
      </c>
      <c r="D29" s="243" t="n"/>
      <c r="E29" s="157">
        <f>C29/$C$40</f>
        <v/>
      </c>
    </row>
    <row r="30" ht="38.25" customHeight="1" s="294">
      <c r="B30" s="281" t="inlineStr">
        <is>
          <t>Дополнительные затраты при производстве строительно-монтажных работ в зимнее время - 2,1%</t>
        </is>
      </c>
      <c r="C30" s="282">
        <f>ROUND((C24+C29)*2.1%,2)</f>
        <v/>
      </c>
      <c r="D30" s="281" t="n"/>
      <c r="E30" s="157">
        <f>C30/$C$40</f>
        <v/>
      </c>
      <c r="F30" s="195" t="n"/>
    </row>
    <row r="31">
      <c r="B31" s="281" t="inlineStr">
        <is>
          <t>Пусконаладочные работы</t>
        </is>
      </c>
      <c r="C31" s="282" t="n">
        <v>15005.19944</v>
      </c>
      <c r="D31" s="281" t="n"/>
      <c r="E31" s="157">
        <f>C31/$C$40</f>
        <v/>
      </c>
    </row>
    <row r="32" ht="25.5" customHeight="1" s="294">
      <c r="B32" s="281" t="inlineStr">
        <is>
          <t>Затраты по перевозке работников к месту работы и обратно</t>
        </is>
      </c>
      <c r="C32" s="282" t="n">
        <v>0</v>
      </c>
      <c r="D32" s="281" t="n"/>
      <c r="E32" s="157">
        <f>C32/$C$40</f>
        <v/>
      </c>
    </row>
    <row r="33" ht="25.5" customHeight="1" s="294">
      <c r="B33" s="243" t="inlineStr">
        <is>
          <t>Затраты, связанные с осуществлением работ вахтовым методом</t>
        </is>
      </c>
      <c r="C33" s="194" t="n">
        <v>0</v>
      </c>
      <c r="D33" s="243" t="n"/>
      <c r="E33" s="157">
        <f>C33/$C$40</f>
        <v/>
      </c>
    </row>
    <row r="34" ht="51" customHeight="1" s="294">
      <c r="B34" s="24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94" t="n">
        <v>0</v>
      </c>
      <c r="D34" s="243" t="n"/>
      <c r="E34" s="157">
        <f>C34/$C$40</f>
        <v/>
      </c>
      <c r="G34" s="196" t="n"/>
    </row>
    <row r="35" ht="76.5" customHeight="1" s="294">
      <c r="B35" s="24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94" t="n">
        <v>0</v>
      </c>
      <c r="D35" s="243" t="n"/>
      <c r="E35" s="157">
        <f>C35/$C$40</f>
        <v/>
      </c>
    </row>
    <row r="36" ht="25.5" customHeight="1" s="294">
      <c r="B36" s="243" t="inlineStr">
        <is>
          <t>Строительный контроль и содержание службы заказчика - 1,72%</t>
        </is>
      </c>
      <c r="C36" s="194">
        <f>ROUND((C27+C32+C33+C34+C35+C29+C31+C30)*1.72%,2)</f>
        <v/>
      </c>
      <c r="D36" s="243" t="n"/>
      <c r="E36" s="157">
        <f>C36/$C$40</f>
        <v/>
      </c>
      <c r="K36" s="195" t="n"/>
    </row>
    <row r="37">
      <c r="B37" s="243" t="inlineStr">
        <is>
          <t>Авторский надзор - 0,2%</t>
        </is>
      </c>
      <c r="C37" s="194">
        <f>ROUND((C27+C32+C33+C34+C35+C29+C31+C30)*0.2%,2)</f>
        <v/>
      </c>
      <c r="D37" s="243" t="n"/>
      <c r="E37" s="157">
        <f>C37/$C$40</f>
        <v/>
      </c>
      <c r="K37" s="195" t="n"/>
    </row>
    <row r="38" ht="38.25" customHeight="1" s="294">
      <c r="B38" s="243" t="inlineStr">
        <is>
          <t>ИТОГО (СМР+ОБОРУДОВАНИЕ+ПРОЧ. ЗАТР., УЧТЕННЫЕ ПОКАЗАТЕЛЕМ)</t>
        </is>
      </c>
      <c r="C38" s="156">
        <f>C27+C32+C33+C34+C35+C29+C31+C30+C36+C37</f>
        <v/>
      </c>
      <c r="D38" s="243" t="n"/>
      <c r="E38" s="157">
        <f>C38/$C$40</f>
        <v/>
      </c>
    </row>
    <row r="39" ht="13.5" customHeight="1" s="294">
      <c r="B39" s="243" t="inlineStr">
        <is>
          <t>Непредвиденные расходы</t>
        </is>
      </c>
      <c r="C39" s="156">
        <f>ROUND(C38*3%,2)</f>
        <v/>
      </c>
      <c r="D39" s="243" t="n"/>
      <c r="E39" s="157">
        <f>C39/$C$38</f>
        <v/>
      </c>
    </row>
    <row r="40">
      <c r="B40" s="243" t="inlineStr">
        <is>
          <t>ВСЕГО:</t>
        </is>
      </c>
      <c r="C40" s="156">
        <f>C39+C38</f>
        <v/>
      </c>
      <c r="D40" s="243" t="n"/>
      <c r="E40" s="157">
        <f>C40/$C$40</f>
        <v/>
      </c>
    </row>
    <row r="41">
      <c r="B41" s="243" t="inlineStr">
        <is>
          <t>ИТОГО ПОКАЗАТЕЛЬ НА ЕД. ИЗМ.</t>
        </is>
      </c>
      <c r="C41" s="156">
        <f>C40/'Прил.5 Расчет СМР и ОБ'!E41</f>
        <v/>
      </c>
      <c r="D41" s="243" t="n"/>
      <c r="E41" s="243" t="n"/>
    </row>
    <row r="42">
      <c r="B42" s="159" t="n"/>
      <c r="C42" s="290" t="n"/>
      <c r="D42" s="290" t="n"/>
      <c r="E42" s="290" t="n"/>
    </row>
    <row r="43">
      <c r="B43" s="159" t="inlineStr">
        <is>
          <t>Составил ____________________________ Д.Ю. Нефедова</t>
        </is>
      </c>
      <c r="C43" s="290" t="n"/>
      <c r="D43" s="290" t="n"/>
      <c r="E43" s="290" t="n"/>
    </row>
    <row r="44">
      <c r="B44" s="159" t="inlineStr">
        <is>
          <t xml:space="preserve">(должность, подпись, инициалы, фамилия) </t>
        </is>
      </c>
      <c r="C44" s="290" t="n"/>
      <c r="D44" s="290" t="n"/>
      <c r="E44" s="290" t="n"/>
    </row>
    <row r="45">
      <c r="B45" s="159" t="n"/>
      <c r="C45" s="290" t="n"/>
      <c r="D45" s="290" t="n"/>
      <c r="E45" s="290" t="n"/>
    </row>
    <row r="46">
      <c r="B46" s="159" t="inlineStr">
        <is>
          <t>Проверил ____________________________ А.В. Костянецкая</t>
        </is>
      </c>
      <c r="C46" s="290" t="n"/>
      <c r="D46" s="290" t="n"/>
      <c r="E46" s="290" t="n"/>
    </row>
    <row r="47">
      <c r="B47" s="333" t="inlineStr">
        <is>
          <t>(должность, подпись, инициалы, фамилия)</t>
        </is>
      </c>
      <c r="D47" s="290" t="n"/>
      <c r="E47" s="290" t="n"/>
    </row>
    <row r="49">
      <c r="B49" s="290" t="n"/>
      <c r="C49" s="290" t="n"/>
      <c r="D49" s="290" t="n"/>
      <c r="E49" s="290" t="n"/>
    </row>
    <row r="50">
      <c r="B50" s="290" t="n"/>
      <c r="C50" s="290" t="n"/>
      <c r="D50" s="290" t="n"/>
      <c r="E50" s="2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47"/>
  <sheetViews>
    <sheetView view="pageBreakPreview" topLeftCell="A25" workbookViewId="0">
      <selection activeCell="B42" sqref="B42"/>
    </sheetView>
  </sheetViews>
  <sheetFormatPr baseColWidth="8" defaultColWidth="9.140625" defaultRowHeight="15" outlineLevelRow="1"/>
  <cols>
    <col width="5.7109375" customWidth="1" style="291" min="1" max="1"/>
    <col width="22.5703125" customWidth="1" style="291" min="2" max="2"/>
    <col width="39.140625" customWidth="1" style="291" min="3" max="3"/>
    <col width="10.7109375" customWidth="1" style="291" min="4" max="4"/>
    <col width="12.7109375" customWidth="1" style="291" min="5" max="5"/>
    <col width="15" customWidth="1" style="291" min="6" max="6"/>
    <col width="13.42578125" customWidth="1" style="291" min="7" max="7"/>
    <col width="12.7109375" customWidth="1" style="291" min="8" max="8"/>
    <col width="13.85546875" customWidth="1" style="291" min="9" max="9"/>
    <col width="17.5703125" customWidth="1" style="291" min="10" max="10"/>
    <col width="10.85546875" customWidth="1" style="291" min="11" max="11"/>
    <col width="9.140625" customWidth="1" style="291" min="12" max="12"/>
    <col width="9.140625" customWidth="1" style="294" min="13" max="13"/>
  </cols>
  <sheetData>
    <row r="1" s="294">
      <c r="A1" s="291" t="n"/>
      <c r="B1" s="291" t="n"/>
      <c r="C1" s="291" t="n"/>
      <c r="D1" s="291" t="n"/>
      <c r="E1" s="291" t="n"/>
      <c r="F1" s="291" t="n"/>
      <c r="G1" s="291" t="n"/>
      <c r="H1" s="291" t="n"/>
      <c r="I1" s="291" t="n"/>
      <c r="J1" s="291" t="n"/>
      <c r="K1" s="291" t="n"/>
      <c r="L1" s="291" t="n"/>
      <c r="M1" s="291" t="n"/>
      <c r="N1" s="291" t="n"/>
    </row>
    <row r="2" ht="15.75" customHeight="1" s="294">
      <c r="A2" s="291" t="n"/>
      <c r="B2" s="291" t="n"/>
      <c r="C2" s="291" t="n"/>
      <c r="D2" s="291" t="n"/>
      <c r="E2" s="291" t="n"/>
      <c r="F2" s="291" t="n"/>
      <c r="G2" s="291" t="n"/>
      <c r="H2" s="349" t="inlineStr">
        <is>
          <t>Приложение №5</t>
        </is>
      </c>
      <c r="K2" s="291" t="n"/>
      <c r="L2" s="291" t="n"/>
      <c r="M2" s="291" t="n"/>
      <c r="N2" s="291" t="n"/>
    </row>
    <row r="3" s="294">
      <c r="A3" s="291" t="n"/>
      <c r="B3" s="291" t="n"/>
      <c r="C3" s="291" t="n"/>
      <c r="D3" s="291" t="n"/>
      <c r="E3" s="291" t="n"/>
      <c r="F3" s="291" t="n"/>
      <c r="G3" s="291" t="n"/>
      <c r="H3" s="291" t="n"/>
      <c r="I3" s="291" t="n"/>
      <c r="J3" s="291" t="n"/>
      <c r="K3" s="291" t="n"/>
      <c r="L3" s="291" t="n"/>
      <c r="M3" s="291" t="n"/>
      <c r="N3" s="291" t="n"/>
    </row>
    <row r="4" ht="12.75" customFormat="1" customHeight="1" s="290">
      <c r="A4" s="312" t="inlineStr">
        <is>
          <t>Расчет стоимости СМР и оборудования</t>
        </is>
      </c>
    </row>
    <row r="5" ht="12.75" customFormat="1" customHeight="1" s="290">
      <c r="A5" s="312" t="n"/>
      <c r="B5" s="312" t="n"/>
      <c r="C5" s="362" t="n"/>
      <c r="D5" s="312" t="n"/>
      <c r="E5" s="312" t="n"/>
      <c r="F5" s="312" t="n"/>
      <c r="G5" s="312" t="n"/>
      <c r="H5" s="312" t="n"/>
      <c r="I5" s="312" t="n"/>
      <c r="J5" s="312" t="n"/>
    </row>
    <row r="6" ht="12.75" customFormat="1" customHeight="1" s="290">
      <c r="A6" s="203" t="inlineStr">
        <is>
          <t>Наименование разрабатываемого показателя УНЦ</t>
        </is>
      </c>
      <c r="B6" s="204" t="n"/>
      <c r="C6" s="204" t="n"/>
      <c r="D6" s="353" t="inlineStr">
        <is>
          <t>Комплекс систем безопасности ПС. Стационарная камера охранного (технологического) видеонаблюдения</t>
        </is>
      </c>
    </row>
    <row r="7" ht="12.75" customFormat="1" customHeight="1" s="290">
      <c r="A7" s="315" t="inlineStr">
        <is>
          <t>Единица измерения  — 1 точка наблюдения</t>
        </is>
      </c>
      <c r="I7" s="332" t="n"/>
      <c r="J7" s="332" t="n"/>
    </row>
    <row r="8" ht="13.5" customFormat="1" customHeight="1" s="290">
      <c r="A8" s="315" t="n"/>
    </row>
    <row r="9" ht="13.15" customFormat="1" customHeight="1" s="290"/>
    <row r="10" ht="27" customHeight="1" s="294">
      <c r="A10" s="341" t="inlineStr">
        <is>
          <t>№ пп.</t>
        </is>
      </c>
      <c r="B10" s="341" t="inlineStr">
        <is>
          <t>Код ресурса</t>
        </is>
      </c>
      <c r="C10" s="341" t="inlineStr">
        <is>
          <t>Наименование</t>
        </is>
      </c>
      <c r="D10" s="341" t="inlineStr">
        <is>
          <t>Ед. изм.</t>
        </is>
      </c>
      <c r="E10" s="341" t="inlineStr">
        <is>
          <t>Кол-во единиц по проектным данным</t>
        </is>
      </c>
      <c r="F10" s="341" t="inlineStr">
        <is>
          <t>Сметная стоимость в ценах на 01.01.2000 (руб.)</t>
        </is>
      </c>
      <c r="G10" s="412" t="n"/>
      <c r="H10" s="341" t="inlineStr">
        <is>
          <t>Удельный вес, %</t>
        </is>
      </c>
      <c r="I10" s="341" t="inlineStr">
        <is>
          <t>Сметная стоимость в ценах на 01.01.2023 (руб.)</t>
        </is>
      </c>
      <c r="J10" s="412" t="n"/>
      <c r="K10" s="291" t="n"/>
      <c r="L10" s="291" t="n"/>
      <c r="M10" s="291" t="n"/>
      <c r="N10" s="291" t="n"/>
    </row>
    <row r="11" ht="28.5" customHeight="1" s="294">
      <c r="A11" s="414" t="n"/>
      <c r="B11" s="414" t="n"/>
      <c r="C11" s="414" t="n"/>
      <c r="D11" s="414" t="n"/>
      <c r="E11" s="414" t="n"/>
      <c r="F11" s="341" t="inlineStr">
        <is>
          <t>на ед. изм.</t>
        </is>
      </c>
      <c r="G11" s="341" t="inlineStr">
        <is>
          <t>общая</t>
        </is>
      </c>
      <c r="H11" s="414" t="n"/>
      <c r="I11" s="341" t="inlineStr">
        <is>
          <t>на ед. изм.</t>
        </is>
      </c>
      <c r="J11" s="341" t="inlineStr">
        <is>
          <t>общая</t>
        </is>
      </c>
      <c r="K11" s="291" t="n"/>
      <c r="L11" s="291" t="n"/>
      <c r="M11" s="291" t="n"/>
      <c r="N11" s="291" t="n"/>
    </row>
    <row r="12" s="294">
      <c r="A12" s="341" t="n">
        <v>1</v>
      </c>
      <c r="B12" s="341" t="n">
        <v>2</v>
      </c>
      <c r="C12" s="341" t="n">
        <v>3</v>
      </c>
      <c r="D12" s="341" t="n">
        <v>4</v>
      </c>
      <c r="E12" s="341" t="n">
        <v>5</v>
      </c>
      <c r="F12" s="341" t="n">
        <v>6</v>
      </c>
      <c r="G12" s="341" t="n">
        <v>7</v>
      </c>
      <c r="H12" s="341" t="n">
        <v>8</v>
      </c>
      <c r="I12" s="335" t="n">
        <v>9</v>
      </c>
      <c r="J12" s="335" t="n">
        <v>10</v>
      </c>
      <c r="K12" s="291" t="n"/>
      <c r="L12" s="291" t="n"/>
      <c r="M12" s="291" t="n"/>
      <c r="N12" s="291" t="n"/>
    </row>
    <row r="13">
      <c r="A13" s="341" t="n"/>
      <c r="B13" s="339" t="inlineStr">
        <is>
          <t>Затраты труда рабочих-строителей</t>
        </is>
      </c>
      <c r="C13" s="411" t="n"/>
      <c r="D13" s="411" t="n"/>
      <c r="E13" s="411" t="n"/>
      <c r="F13" s="411" t="n"/>
      <c r="G13" s="411" t="n"/>
      <c r="H13" s="412" t="n"/>
      <c r="I13" s="223" t="n"/>
      <c r="J13" s="223" t="n"/>
    </row>
    <row r="14" ht="25.5" customHeight="1" s="294">
      <c r="A14" s="341" t="n">
        <v>1</v>
      </c>
      <c r="B14" s="207" t="inlineStr">
        <is>
          <t>1-4-9</t>
        </is>
      </c>
      <c r="C14" s="340" t="inlineStr">
        <is>
          <t>Затраты труда рабочих-строителей среднего разряда (4,9)</t>
        </is>
      </c>
      <c r="D14" s="341" t="inlineStr">
        <is>
          <t>чел.-ч.</t>
        </is>
      </c>
      <c r="E14" s="415" t="n">
        <v>18.69</v>
      </c>
      <c r="F14" s="228" t="n">
        <v>10.94</v>
      </c>
      <c r="G14" s="228">
        <f>'Прил. 3'!H14</f>
        <v/>
      </c>
      <c r="H14" s="218">
        <f>G14/$G$15</f>
        <v/>
      </c>
      <c r="I14" s="228">
        <f>ФОТр.тек.!E13</f>
        <v/>
      </c>
      <c r="J14" s="228">
        <f>ROUND(I14*E14,2)</f>
        <v/>
      </c>
    </row>
    <row r="15" ht="25.5" customFormat="1" customHeight="1" s="291">
      <c r="A15" s="341" t="n"/>
      <c r="B15" s="341" t="n"/>
      <c r="C15" s="339" t="inlineStr">
        <is>
          <t>Итого по разделу "Затраты труда рабочих-строителей"</t>
        </is>
      </c>
      <c r="D15" s="341" t="inlineStr">
        <is>
          <t>чел.-ч.</t>
        </is>
      </c>
      <c r="E15" s="415">
        <f>SUM(E14:E14)</f>
        <v/>
      </c>
      <c r="F15" s="228" t="n"/>
      <c r="G15" s="228">
        <f>SUM(G14:G14)</f>
        <v/>
      </c>
      <c r="H15" s="344" t="n">
        <v>1</v>
      </c>
      <c r="I15" s="223" t="n"/>
      <c r="J15" s="228">
        <f>SUM(J14:J14)</f>
        <v/>
      </c>
    </row>
    <row r="16" ht="14.25" customFormat="1" customHeight="1" s="291">
      <c r="A16" s="341" t="n"/>
      <c r="B16" s="340" t="inlineStr">
        <is>
          <t>Затраты труда машинистов</t>
        </is>
      </c>
      <c r="C16" s="411" t="n"/>
      <c r="D16" s="411" t="n"/>
      <c r="E16" s="411" t="n"/>
      <c r="F16" s="411" t="n"/>
      <c r="G16" s="411" t="n"/>
      <c r="H16" s="412" t="n"/>
      <c r="I16" s="223" t="n"/>
      <c r="J16" s="223" t="n"/>
    </row>
    <row r="17" ht="14.25" customFormat="1" customHeight="1" s="291">
      <c r="A17" s="341" t="n"/>
      <c r="B17" s="339" t="inlineStr">
        <is>
          <t>Машины и механизмы</t>
        </is>
      </c>
      <c r="C17" s="411" t="n"/>
      <c r="D17" s="411" t="n"/>
      <c r="E17" s="411" t="n"/>
      <c r="F17" s="411" t="n"/>
      <c r="G17" s="411" t="n"/>
      <c r="H17" s="412" t="n"/>
      <c r="I17" s="223" t="n"/>
      <c r="J17" s="223" t="n"/>
    </row>
    <row r="18" ht="14.25" customFormat="1" customHeight="1" s="291">
      <c r="A18" s="341" t="n"/>
      <c r="B18" s="341" t="n"/>
      <c r="C18" s="340" t="inlineStr">
        <is>
          <t>Итого основные машины и механизмы</t>
        </is>
      </c>
      <c r="D18" s="341" t="n"/>
      <c r="E18" s="415" t="n"/>
      <c r="F18" s="228" t="n"/>
      <c r="G18" s="228" t="n">
        <v>0</v>
      </c>
      <c r="H18" s="344" t="n">
        <v>0</v>
      </c>
      <c r="I18" s="229" t="n"/>
      <c r="J18" s="228" t="n">
        <v>0</v>
      </c>
    </row>
    <row r="19" ht="14.25" customFormat="1" customHeight="1" s="291">
      <c r="A19" s="341" t="n"/>
      <c r="B19" s="341" t="n"/>
      <c r="C19" s="340" t="inlineStr">
        <is>
          <t>Итого прочие машины и механизмы</t>
        </is>
      </c>
      <c r="D19" s="341" t="n"/>
      <c r="E19" s="342" t="n"/>
      <c r="F19" s="228" t="n"/>
      <c r="G19" s="229" t="n">
        <v>0</v>
      </c>
      <c r="H19" s="218" t="n">
        <v>0</v>
      </c>
      <c r="I19" s="228" t="n"/>
      <c r="J19" s="228" t="n">
        <v>0</v>
      </c>
    </row>
    <row r="20" ht="25.5" customFormat="1" customHeight="1" s="291">
      <c r="A20" s="341" t="n"/>
      <c r="B20" s="341" t="n"/>
      <c r="C20" s="339" t="inlineStr">
        <is>
          <t>Итого по разделу «Машины и механизмы»</t>
        </is>
      </c>
      <c r="D20" s="341" t="n"/>
      <c r="E20" s="342" t="n"/>
      <c r="F20" s="228" t="n"/>
      <c r="G20" s="228">
        <f>G19+G18</f>
        <v/>
      </c>
      <c r="H20" s="220" t="n">
        <v>1</v>
      </c>
      <c r="I20" s="221" t="n"/>
      <c r="J20" s="239">
        <f>J19+J18</f>
        <v/>
      </c>
    </row>
    <row r="21" ht="14.25" customFormat="1" customHeight="1" s="291">
      <c r="A21" s="341" t="n"/>
      <c r="B21" s="339" t="inlineStr">
        <is>
          <t>Оборудование</t>
        </is>
      </c>
      <c r="C21" s="411" t="n"/>
      <c r="D21" s="411" t="n"/>
      <c r="E21" s="411" t="n"/>
      <c r="F21" s="411" t="n"/>
      <c r="G21" s="411" t="n"/>
      <c r="H21" s="412" t="n"/>
      <c r="I21" s="223" t="n"/>
      <c r="J21" s="223" t="n"/>
    </row>
    <row r="22">
      <c r="A22" s="341" t="n"/>
      <c r="B22" s="340" t="inlineStr">
        <is>
          <t>Основное оборудование</t>
        </is>
      </c>
      <c r="C22" s="411" t="n"/>
      <c r="D22" s="411" t="n"/>
      <c r="E22" s="411" t="n"/>
      <c r="F22" s="411" t="n"/>
      <c r="G22" s="411" t="n"/>
      <c r="H22" s="412" t="n"/>
      <c r="I22" s="223" t="n"/>
      <c r="J22" s="223" t="n"/>
      <c r="K22" s="291" t="n"/>
      <c r="L22" s="291" t="n"/>
    </row>
    <row r="23" ht="38.25" customFormat="1" customHeight="1" s="291">
      <c r="A23" s="341" t="n">
        <v>2</v>
      </c>
      <c r="B23" s="278" t="inlineStr">
        <is>
          <t>БЦ.54.14</t>
        </is>
      </c>
      <c r="C23" s="279" t="inlineStr">
        <is>
          <t>Сетевая стационарная IP- камера В5650 и кронштейн крепления для подвесных купольных и стационарных видеокамер</t>
        </is>
      </c>
      <c r="D23" s="341" t="inlineStr">
        <is>
          <t>шт</t>
        </is>
      </c>
      <c r="E23" s="416" t="n">
        <v>7</v>
      </c>
      <c r="F23" s="343">
        <f>ROUND(I23/'Прил. 10'!$D$14,2)</f>
        <v/>
      </c>
      <c r="G23" s="228">
        <f>ROUND(E23*F23,2)</f>
        <v/>
      </c>
      <c r="H23" s="218">
        <f>G23/$G$27</f>
        <v/>
      </c>
      <c r="I23" s="228" t="n">
        <v>213440</v>
      </c>
      <c r="J23" s="228">
        <f>ROUND(I23*E23,2)</f>
        <v/>
      </c>
    </row>
    <row r="24">
      <c r="A24" s="341" t="n"/>
      <c r="B24" s="278" t="n"/>
      <c r="C24" s="279" t="inlineStr">
        <is>
          <t>Итого основное оборудование</t>
        </is>
      </c>
      <c r="D24" s="341" t="n"/>
      <c r="E24" s="415" t="n"/>
      <c r="F24" s="343" t="n"/>
      <c r="G24" s="228">
        <f>SUM(G23)</f>
        <v/>
      </c>
      <c r="H24" s="218">
        <f>G23/$G$27</f>
        <v/>
      </c>
      <c r="I24" s="229" t="n"/>
      <c r="J24" s="228">
        <f>SUM(J23)</f>
        <v/>
      </c>
      <c r="K24" s="291" t="n"/>
      <c r="L24" s="291" t="n"/>
    </row>
    <row r="25" outlineLevel="1" ht="14.25" customFormat="1" customHeight="1" s="291">
      <c r="A25" s="341" t="n">
        <v>3</v>
      </c>
      <c r="B25" s="278" t="inlineStr">
        <is>
          <t>61.3.01.02-0071</t>
        </is>
      </c>
      <c r="C25" s="279" t="inlineStr">
        <is>
          <t>Объектив вариофокальный LTC3364/50</t>
        </is>
      </c>
      <c r="D25" s="341" t="inlineStr">
        <is>
          <t>10 шт</t>
        </is>
      </c>
      <c r="E25" s="416">
        <f>2/10</f>
        <v/>
      </c>
      <c r="F25" s="343" t="n">
        <v>10133.5</v>
      </c>
      <c r="G25" s="228">
        <f>ROUND(E25*F25,2)</f>
        <v/>
      </c>
      <c r="H25" s="218">
        <f>G25/$G$27</f>
        <v/>
      </c>
      <c r="I25" s="228">
        <f>ROUND(F25*'Прил. 10'!$D$14,2)</f>
        <v/>
      </c>
      <c r="J25" s="228">
        <f>ROUND(I25*E25,2)</f>
        <v/>
      </c>
    </row>
    <row r="26">
      <c r="A26" s="341" t="n"/>
      <c r="B26" s="278" t="n"/>
      <c r="C26" s="279" t="inlineStr">
        <is>
          <t>Итого прочее оборудование</t>
        </is>
      </c>
      <c r="D26" s="341" t="n"/>
      <c r="E26" s="415" t="n"/>
      <c r="F26" s="343" t="n"/>
      <c r="G26" s="228">
        <f>SUM(G25)</f>
        <v/>
      </c>
      <c r="H26" s="218">
        <f>G26/$G$27</f>
        <v/>
      </c>
      <c r="I26" s="229" t="n"/>
      <c r="J26" s="228">
        <f>SUM(J25)</f>
        <v/>
      </c>
      <c r="K26" s="291" t="n"/>
      <c r="L26" s="291" t="n"/>
    </row>
    <row r="27">
      <c r="A27" s="341" t="n"/>
      <c r="B27" s="278" t="n"/>
      <c r="C27" s="280" t="inlineStr">
        <is>
          <t>Итого по разделу «Оборудование»</t>
        </is>
      </c>
      <c r="D27" s="341" t="n"/>
      <c r="E27" s="342" t="n"/>
      <c r="F27" s="343" t="n"/>
      <c r="G27" s="228">
        <f>G24+G26</f>
        <v/>
      </c>
      <c r="H27" s="344" t="n">
        <v>1</v>
      </c>
      <c r="I27" s="229" t="n"/>
      <c r="J27" s="228">
        <f>J26+J24</f>
        <v/>
      </c>
      <c r="K27" s="291" t="n"/>
      <c r="L27" s="291" t="n"/>
    </row>
    <row r="28" ht="25.5" customHeight="1" s="294">
      <c r="A28" s="341" t="n"/>
      <c r="B28" s="278" t="n"/>
      <c r="C28" s="279" t="inlineStr">
        <is>
          <t>в том числе технологическое оборудование</t>
        </is>
      </c>
      <c r="D28" s="341" t="n"/>
      <c r="E28" s="416" t="n"/>
      <c r="F28" s="343" t="n"/>
      <c r="G28" s="228">
        <f>'Прил.6 Расчет ОБ'!G14</f>
        <v/>
      </c>
      <c r="H28" s="344" t="n"/>
      <c r="I28" s="229" t="n"/>
      <c r="J28" s="228">
        <f>ROUND(G28*'Прил. 10'!D14,2)</f>
        <v/>
      </c>
      <c r="K28" s="291" t="n"/>
      <c r="L28" s="291" t="n"/>
    </row>
    <row r="29" ht="14.25" customFormat="1" customHeight="1" s="291">
      <c r="A29" s="341" t="n"/>
      <c r="B29" s="339" t="inlineStr">
        <is>
          <t>Материалы</t>
        </is>
      </c>
      <c r="C29" s="411" t="n"/>
      <c r="D29" s="411" t="n"/>
      <c r="E29" s="411" t="n"/>
      <c r="F29" s="411" t="n"/>
      <c r="G29" s="411" t="n"/>
      <c r="H29" s="412" t="n"/>
      <c r="I29" s="223" t="n"/>
      <c r="J29" s="223" t="n"/>
    </row>
    <row r="30" ht="14.25" customFormat="1" customHeight="1" s="291">
      <c r="A30" s="335" t="n"/>
      <c r="B30" s="334" t="inlineStr">
        <is>
          <t>Основные материалы</t>
        </is>
      </c>
      <c r="C30" s="417" t="n"/>
      <c r="D30" s="417" t="n"/>
      <c r="E30" s="417" t="n"/>
      <c r="F30" s="417" t="n"/>
      <c r="G30" s="417" t="n"/>
      <c r="H30" s="418" t="n"/>
      <c r="I30" s="232" t="n"/>
      <c r="J30" s="232" t="n"/>
    </row>
    <row r="31" ht="25.5" customFormat="1" customHeight="1" s="291">
      <c r="A31" s="341" t="n">
        <v>4</v>
      </c>
      <c r="B31" s="341" t="inlineStr">
        <is>
          <t>61.3.06.01-0001</t>
        </is>
      </c>
      <c r="C31" s="340" t="inlineStr">
        <is>
          <t xml:space="preserve">Микрофон внешний ВМ-01 для комплекса ОКТАВА, размер 100х60х42 мм </t>
        </is>
      </c>
      <c r="D31" s="341" t="inlineStr">
        <is>
          <t>шт</t>
        </is>
      </c>
      <c r="E31" s="416" t="n">
        <v>5</v>
      </c>
      <c r="F31" s="343" t="n">
        <v>394.94</v>
      </c>
      <c r="G31" s="228">
        <f>ROUND(E31*F31,2)</f>
        <v/>
      </c>
      <c r="H31" s="218">
        <f>G31/$G$35</f>
        <v/>
      </c>
      <c r="I31" s="228">
        <f>ROUND(F31*'Прил. 10'!$D$13,2)</f>
        <v/>
      </c>
      <c r="J31" s="228">
        <f>ROUND(I31*E31,2)</f>
        <v/>
      </c>
    </row>
    <row r="32" ht="14.25" customFormat="1" customHeight="1" s="291">
      <c r="A32" s="352" t="n"/>
      <c r="B32" s="234" t="n"/>
      <c r="C32" s="235" t="inlineStr">
        <is>
          <t>Итого основные материалы</t>
        </is>
      </c>
      <c r="D32" s="352" t="n"/>
      <c r="E32" s="419" t="n"/>
      <c r="F32" s="239" t="n"/>
      <c r="G32" s="239">
        <f>SUM(G31)</f>
        <v/>
      </c>
      <c r="H32" s="218">
        <f>G32/$G$35</f>
        <v/>
      </c>
      <c r="I32" s="228" t="n"/>
      <c r="J32" s="239">
        <f>SUM(J31)</f>
        <v/>
      </c>
      <c r="K32" s="26" t="n"/>
      <c r="L32" s="26" t="n"/>
    </row>
    <row r="33" outlineLevel="1" ht="25.5" customFormat="1" customHeight="1" s="291">
      <c r="A33" s="341" t="n">
        <v>5</v>
      </c>
      <c r="B33" s="341" t="inlineStr">
        <is>
          <t>999-9950</t>
        </is>
      </c>
      <c r="C33" s="340" t="inlineStr">
        <is>
          <t>Вспомогательные ненормируемые ресурсы (2% от Оплаты труда рабочих)</t>
        </is>
      </c>
      <c r="D33" s="341" t="inlineStr">
        <is>
          <t>руб</t>
        </is>
      </c>
      <c r="E33" s="416" t="n">
        <v>4.06</v>
      </c>
      <c r="F33" s="343" t="n">
        <v>1</v>
      </c>
      <c r="G33" s="228">
        <f>ROUND(E33*F33,2)</f>
        <v/>
      </c>
      <c r="H33" s="218">
        <f>G33/$G$35</f>
        <v/>
      </c>
      <c r="I33" s="228">
        <f>ROUND(F33*'Прил. 10'!$D$13,2)</f>
        <v/>
      </c>
      <c r="J33" s="228">
        <f>ROUND(I33*E33,2)</f>
        <v/>
      </c>
    </row>
    <row r="34" ht="14.25" customFormat="1" customHeight="1" s="291">
      <c r="A34" s="341" t="n"/>
      <c r="B34" s="341" t="n"/>
      <c r="C34" s="340" t="inlineStr">
        <is>
          <t>Итого прочие материалы</t>
        </is>
      </c>
      <c r="D34" s="341" t="n"/>
      <c r="E34" s="342" t="n"/>
      <c r="F34" s="343" t="n"/>
      <c r="G34" s="228">
        <f>SUM(G33:G33)</f>
        <v/>
      </c>
      <c r="H34" s="218">
        <f>G34/$G$35</f>
        <v/>
      </c>
      <c r="I34" s="228" t="n"/>
      <c r="J34" s="228">
        <f>SUM(J33:J33)</f>
        <v/>
      </c>
    </row>
    <row r="35" ht="14.25" customFormat="1" customHeight="1" s="291">
      <c r="A35" s="341" t="n"/>
      <c r="B35" s="341" t="n"/>
      <c r="C35" s="339" t="inlineStr">
        <is>
          <t>Итого по разделу «Материалы»</t>
        </is>
      </c>
      <c r="D35" s="341" t="n"/>
      <c r="E35" s="342" t="n"/>
      <c r="F35" s="343" t="n"/>
      <c r="G35" s="228">
        <f>G32+G34</f>
        <v/>
      </c>
      <c r="H35" s="344">
        <f>G35/$G$35</f>
        <v/>
      </c>
      <c r="I35" s="228" t="n"/>
      <c r="J35" s="228">
        <f>J32+J34</f>
        <v/>
      </c>
    </row>
    <row r="36" ht="14.25" customFormat="1" customHeight="1" s="291">
      <c r="A36" s="341" t="n"/>
      <c r="B36" s="341" t="n"/>
      <c r="C36" s="340" t="inlineStr">
        <is>
          <t>ИТОГО ПО РМ</t>
        </is>
      </c>
      <c r="D36" s="341" t="n"/>
      <c r="E36" s="342" t="n"/>
      <c r="F36" s="343" t="n"/>
      <c r="G36" s="228">
        <f>G15+G20+G35</f>
        <v/>
      </c>
      <c r="H36" s="344" t="n"/>
      <c r="I36" s="228" t="n"/>
      <c r="J36" s="228">
        <f>J15+J20+J35</f>
        <v/>
      </c>
    </row>
    <row r="37" ht="14.25" customFormat="1" customHeight="1" s="291">
      <c r="A37" s="341" t="n"/>
      <c r="B37" s="341" t="n"/>
      <c r="C37" s="340" t="inlineStr">
        <is>
          <t>Накладные расходы</t>
        </is>
      </c>
      <c r="D37" s="240">
        <f>ROUND(G37/(0+$G$15),2)</f>
        <v/>
      </c>
      <c r="E37" s="342" t="n"/>
      <c r="F37" s="343" t="n"/>
      <c r="G37" s="228" t="n">
        <v>184.03</v>
      </c>
      <c r="H37" s="344" t="n"/>
      <c r="I37" s="228" t="n"/>
      <c r="J37" s="228">
        <f>ROUND(D37*(J15+0),2)</f>
        <v/>
      </c>
    </row>
    <row r="38" ht="14.25" customFormat="1" customHeight="1" s="291">
      <c r="A38" s="341" t="n"/>
      <c r="B38" s="341" t="n"/>
      <c r="C38" s="340" t="inlineStr">
        <is>
          <t>Сметная прибыль</t>
        </is>
      </c>
      <c r="D38" s="240">
        <f>ROUND(G38/(G$15+0),2)</f>
        <v/>
      </c>
      <c r="E38" s="342" t="n"/>
      <c r="F38" s="343" t="n"/>
      <c r="G38" s="228" t="n">
        <v>94.05</v>
      </c>
      <c r="H38" s="344" t="n"/>
      <c r="I38" s="228" t="n"/>
      <c r="J38" s="228">
        <f>ROUND(D38*(J15+0),2)</f>
        <v/>
      </c>
    </row>
    <row r="39" ht="14.25" customFormat="1" customHeight="1" s="291">
      <c r="A39" s="341" t="n"/>
      <c r="B39" s="341" t="n"/>
      <c r="C39" s="340" t="inlineStr">
        <is>
          <t>Итого СМР (с НР и СП)</t>
        </is>
      </c>
      <c r="D39" s="341" t="n"/>
      <c r="E39" s="342" t="n"/>
      <c r="F39" s="343" t="n"/>
      <c r="G39" s="228">
        <f>G15+G20+G35+G37+G38</f>
        <v/>
      </c>
      <c r="H39" s="344" t="n"/>
      <c r="I39" s="228" t="n"/>
      <c r="J39" s="228">
        <f>J15+J20+J35+J37+J38</f>
        <v/>
      </c>
    </row>
    <row r="40" ht="14.25" customFormat="1" customHeight="1" s="291">
      <c r="A40" s="341" t="n"/>
      <c r="B40" s="341" t="n"/>
      <c r="C40" s="340" t="inlineStr">
        <is>
          <t>ВСЕГО СМР + ОБОРУДОВАНИЕ</t>
        </is>
      </c>
      <c r="D40" s="341" t="n"/>
      <c r="E40" s="342" t="n"/>
      <c r="F40" s="343" t="n"/>
      <c r="G40" s="228">
        <f>G39+G27</f>
        <v/>
      </c>
      <c r="H40" s="344" t="n"/>
      <c r="I40" s="228" t="n"/>
      <c r="J40" s="228">
        <f>J39+J27</f>
        <v/>
      </c>
    </row>
    <row r="41" ht="34.5" customFormat="1" customHeight="1" s="291">
      <c r="A41" s="341" t="n"/>
      <c r="B41" s="341" t="n"/>
      <c r="C41" s="340" t="inlineStr">
        <is>
          <t>ИТОГО ПОКАЗАТЕЛЬ НА ЕД. ИЗМ.</t>
        </is>
      </c>
      <c r="D41" s="341" t="inlineStr">
        <is>
          <t>точка наблюдения</t>
        </is>
      </c>
      <c r="E41" s="420" t="n">
        <v>7</v>
      </c>
      <c r="F41" s="343" t="n"/>
      <c r="G41" s="228">
        <f>G40/E41</f>
        <v/>
      </c>
      <c r="H41" s="344" t="n"/>
      <c r="I41" s="228" t="n"/>
      <c r="J41" s="228">
        <f>J40/E41</f>
        <v/>
      </c>
    </row>
    <row r="43" ht="14.25" customFormat="1" customHeight="1" s="291">
      <c r="A43" s="290" t="inlineStr">
        <is>
          <t>Составил ______________________    Д.Ю. Нефедова</t>
        </is>
      </c>
    </row>
    <row r="44" ht="14.25" customFormat="1" customHeight="1" s="291">
      <c r="A44" s="293" t="inlineStr">
        <is>
          <t xml:space="preserve">                         (подпись, инициалы, фамилия)</t>
        </is>
      </c>
    </row>
    <row r="45" ht="14.25" customFormat="1" customHeight="1" s="291">
      <c r="A45" s="290" t="n"/>
    </row>
    <row r="46" ht="14.25" customFormat="1" customHeight="1" s="291">
      <c r="A46" s="290" t="inlineStr">
        <is>
          <t>Проверил ______________________        А.В. Костянецкая</t>
        </is>
      </c>
    </row>
    <row r="47" ht="14.25" customFormat="1" customHeight="1" s="291">
      <c r="A47" s="293" t="inlineStr">
        <is>
          <t xml:space="preserve">                        (подпись, инициалы, фамилия)</t>
        </is>
      </c>
    </row>
  </sheetData>
  <mergeCells count="20">
    <mergeCell ref="F10:G10"/>
    <mergeCell ref="B30:H30"/>
    <mergeCell ref="A4:J4"/>
    <mergeCell ref="C10:C11"/>
    <mergeCell ref="H2:J2"/>
    <mergeCell ref="E10:E11"/>
    <mergeCell ref="A7:H7"/>
    <mergeCell ref="B16:H16"/>
    <mergeCell ref="B10:B11"/>
    <mergeCell ref="B22:H22"/>
    <mergeCell ref="B21:H21"/>
    <mergeCell ref="D6:J6"/>
    <mergeCell ref="A10:A11"/>
    <mergeCell ref="A8:H8"/>
    <mergeCell ref="D10:D11"/>
    <mergeCell ref="B17:H17"/>
    <mergeCell ref="B13:H13"/>
    <mergeCell ref="I10:J10"/>
    <mergeCell ref="B29:H29"/>
    <mergeCell ref="H10:H11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view="pageBreakPreview" workbookViewId="0">
      <selection activeCell="C17" sqref="C17"/>
    </sheetView>
  </sheetViews>
  <sheetFormatPr baseColWidth="8" defaultRowHeight="15"/>
  <cols>
    <col width="5.7109375" customWidth="1" style="294" min="1" max="1"/>
    <col width="17.5703125" customWidth="1" style="294" min="2" max="2"/>
    <col width="39.140625" customWidth="1" style="294" min="3" max="3"/>
    <col width="10.7109375" customWidth="1" style="294" min="4" max="4"/>
    <col width="13.85546875" customWidth="1" style="294" min="5" max="5"/>
    <col width="13.28515625" customWidth="1" style="294" min="6" max="6"/>
    <col width="14.140625" customWidth="1" style="294" min="7" max="7"/>
  </cols>
  <sheetData>
    <row r="1">
      <c r="A1" s="354" t="inlineStr">
        <is>
          <t>Приложение №6</t>
        </is>
      </c>
    </row>
    <row r="2" ht="21.75" customHeight="1" s="294">
      <c r="A2" s="354" t="n"/>
      <c r="B2" s="354" t="n"/>
      <c r="C2" s="354" t="n"/>
      <c r="D2" s="354" t="n"/>
      <c r="E2" s="354" t="n"/>
      <c r="F2" s="354" t="n"/>
      <c r="G2" s="354" t="n"/>
    </row>
    <row r="3">
      <c r="A3" s="312" t="inlineStr">
        <is>
          <t>Расчет стоимости оборудования</t>
        </is>
      </c>
    </row>
    <row r="4" ht="25.5" customHeight="1" s="294">
      <c r="A4" s="315" t="inlineStr">
        <is>
          <t>Наименование разрабатываемого показателя УНЦ — Комплекс систем безопасности ПС. Стационарная камера охранного (технологического) видеонаблюдения</t>
        </is>
      </c>
    </row>
    <row r="5">
      <c r="A5" s="290" t="n"/>
      <c r="B5" s="290" t="n"/>
      <c r="C5" s="290" t="n"/>
      <c r="D5" s="290" t="n"/>
      <c r="E5" s="290" t="n"/>
      <c r="F5" s="290" t="n"/>
      <c r="G5" s="290" t="n"/>
    </row>
    <row r="6" ht="30" customHeight="1" s="294">
      <c r="A6" s="359" t="inlineStr">
        <is>
          <t>№ пп.</t>
        </is>
      </c>
      <c r="B6" s="359" t="inlineStr">
        <is>
          <t>Код ресурса</t>
        </is>
      </c>
      <c r="C6" s="359" t="inlineStr">
        <is>
          <t>Наименование</t>
        </is>
      </c>
      <c r="D6" s="359" t="inlineStr">
        <is>
          <t>Ед. изм.</t>
        </is>
      </c>
      <c r="E6" s="341" t="inlineStr">
        <is>
          <t>Кол-во единиц по проектным данным</t>
        </is>
      </c>
      <c r="F6" s="359" t="inlineStr">
        <is>
          <t>Сметная стоимость в ценах на 01.01.2000 (руб.)</t>
        </is>
      </c>
      <c r="G6" s="412" t="n"/>
    </row>
    <row r="7">
      <c r="A7" s="414" t="n"/>
      <c r="B7" s="414" t="n"/>
      <c r="C7" s="414" t="n"/>
      <c r="D7" s="414" t="n"/>
      <c r="E7" s="414" t="n"/>
      <c r="F7" s="341" t="inlineStr">
        <is>
          <t>на ед. изм.</t>
        </is>
      </c>
      <c r="G7" s="341" t="inlineStr">
        <is>
          <t>общая</t>
        </is>
      </c>
    </row>
    <row r="8">
      <c r="A8" s="341" t="n">
        <v>1</v>
      </c>
      <c r="B8" s="341" t="n">
        <v>2</v>
      </c>
      <c r="C8" s="341" t="n">
        <v>3</v>
      </c>
      <c r="D8" s="341" t="n">
        <v>4</v>
      </c>
      <c r="E8" s="341" t="n">
        <v>5</v>
      </c>
      <c r="F8" s="341" t="n">
        <v>6</v>
      </c>
      <c r="G8" s="341" t="n">
        <v>7</v>
      </c>
    </row>
    <row r="9" ht="15" customHeight="1" s="294">
      <c r="A9" s="243" t="n"/>
      <c r="B9" s="340" t="inlineStr">
        <is>
          <t>ИНЖЕНЕРНОЕ ОБОРУДОВАНИЕ</t>
        </is>
      </c>
      <c r="C9" s="411" t="n"/>
      <c r="D9" s="411" t="n"/>
      <c r="E9" s="411" t="n"/>
      <c r="F9" s="411" t="n"/>
      <c r="G9" s="412" t="n"/>
    </row>
    <row r="10" ht="27" customHeight="1" s="294">
      <c r="A10" s="341" t="n"/>
      <c r="B10" s="339" t="n"/>
      <c r="C10" s="340" t="inlineStr">
        <is>
          <t>ИТОГО ИНЖЕНЕРНОЕ ОБОРУДОВАНИЕ</t>
        </is>
      </c>
      <c r="D10" s="339" t="n"/>
      <c r="E10" s="244" t="n"/>
      <c r="F10" s="343" t="n"/>
      <c r="G10" s="228" t="n">
        <v>0</v>
      </c>
    </row>
    <row r="11">
      <c r="A11" s="341" t="n"/>
      <c r="B11" s="340" t="inlineStr">
        <is>
          <t>ТЕХНОЛОГИЧЕСКОЕ ОБОРУДОВАНИЕ</t>
        </is>
      </c>
      <c r="C11" s="411" t="n"/>
      <c r="D11" s="411" t="n"/>
      <c r="E11" s="411" t="n"/>
      <c r="F11" s="411" t="n"/>
      <c r="G11" s="412" t="n"/>
    </row>
    <row r="12" ht="38.25" customFormat="1" customHeight="1" s="296">
      <c r="A12" s="341" t="n">
        <v>1</v>
      </c>
      <c r="B12" s="340">
        <f>'Прил.5 Расчет СМР и ОБ'!B23</f>
        <v/>
      </c>
      <c r="C12" s="340">
        <f>'Прил.5 Расчет СМР и ОБ'!C23</f>
        <v/>
      </c>
      <c r="D12" s="341">
        <f>'Прил.5 Расчет СМР и ОБ'!D23</f>
        <v/>
      </c>
      <c r="E12" s="416">
        <f>'Прил.5 Расчет СМР и ОБ'!E23</f>
        <v/>
      </c>
      <c r="F12" s="343">
        <f>'Прил.5 Расчет СМР и ОБ'!F23</f>
        <v/>
      </c>
      <c r="G12" s="228">
        <f>ROUND(E12*F12,2)</f>
        <v/>
      </c>
    </row>
    <row r="13" ht="15.75" customFormat="1" customHeight="1" s="296">
      <c r="A13" s="341" t="n">
        <v>2</v>
      </c>
      <c r="B13" s="340">
        <f>'Прил.5 Расчет СМР и ОБ'!B25</f>
        <v/>
      </c>
      <c r="C13" s="340">
        <f>'Прил.5 Расчет СМР и ОБ'!C25</f>
        <v/>
      </c>
      <c r="D13" s="341">
        <f>'Прил.5 Расчет СМР и ОБ'!D25</f>
        <v/>
      </c>
      <c r="E13" s="416">
        <f>'Прил.5 Расчет СМР и ОБ'!E25</f>
        <v/>
      </c>
      <c r="F13" s="343">
        <f>'Прил.5 Расчет СМР и ОБ'!F25</f>
        <v/>
      </c>
      <c r="G13" s="228">
        <f>ROUND(E13*F13,2)</f>
        <v/>
      </c>
    </row>
    <row r="14" ht="25.5" customHeight="1" s="294">
      <c r="A14" s="341" t="n"/>
      <c r="B14" s="340" t="n"/>
      <c r="C14" s="340" t="inlineStr">
        <is>
          <t>ИТОГО ТЕХНОЛОГИЧЕСКОЕ ОБОРУДОВАНИЕ</t>
        </is>
      </c>
      <c r="D14" s="340" t="n"/>
      <c r="E14" s="358" t="n"/>
      <c r="F14" s="343" t="n"/>
      <c r="G14" s="228">
        <f>SUM(G12:G13)</f>
        <v/>
      </c>
    </row>
    <row r="15" ht="19.5" customHeight="1" s="294">
      <c r="A15" s="341" t="n"/>
      <c r="B15" s="340" t="n"/>
      <c r="C15" s="340" t="inlineStr">
        <is>
          <t>Всего по разделу «Оборудование»</t>
        </is>
      </c>
      <c r="D15" s="340" t="n"/>
      <c r="E15" s="358" t="n"/>
      <c r="F15" s="343" t="n"/>
      <c r="G15" s="228">
        <f>G10+G14</f>
        <v/>
      </c>
    </row>
    <row r="16">
      <c r="A16" s="292" t="n"/>
      <c r="B16" s="249" t="n"/>
      <c r="C16" s="292" t="n"/>
      <c r="D16" s="292" t="n"/>
      <c r="E16" s="292" t="n"/>
      <c r="F16" s="292" t="n"/>
      <c r="G16" s="292" t="n"/>
    </row>
    <row r="17">
      <c r="A17" s="290" t="inlineStr">
        <is>
          <t>Составил ______________________    Д.Ю. Нефедова</t>
        </is>
      </c>
      <c r="B17" s="291" t="n"/>
      <c r="C17" s="291" t="n"/>
      <c r="D17" s="292" t="n"/>
      <c r="E17" s="292" t="n"/>
      <c r="F17" s="292" t="n"/>
      <c r="G17" s="292" t="n"/>
    </row>
    <row r="18">
      <c r="A18" s="293" t="inlineStr">
        <is>
          <t xml:space="preserve">                         (подпись, инициалы, фамилия)</t>
        </is>
      </c>
      <c r="B18" s="291" t="n"/>
      <c r="C18" s="291" t="n"/>
      <c r="D18" s="292" t="n"/>
      <c r="E18" s="292" t="n"/>
      <c r="F18" s="292" t="n"/>
      <c r="G18" s="292" t="n"/>
    </row>
    <row r="19">
      <c r="A19" s="290" t="n"/>
      <c r="B19" s="291" t="n"/>
      <c r="C19" s="291" t="n"/>
      <c r="D19" s="292" t="n"/>
      <c r="E19" s="292" t="n"/>
      <c r="F19" s="292" t="n"/>
      <c r="G19" s="292" t="n"/>
    </row>
    <row r="20">
      <c r="A20" s="290" t="inlineStr">
        <is>
          <t>Проверил ______________________        А.В. Костянецкая</t>
        </is>
      </c>
      <c r="B20" s="291" t="n"/>
      <c r="C20" s="291" t="n"/>
      <c r="D20" s="292" t="n"/>
      <c r="E20" s="292" t="n"/>
      <c r="F20" s="292" t="n"/>
      <c r="G20" s="292" t="n"/>
    </row>
    <row r="21">
      <c r="A21" s="293" t="inlineStr">
        <is>
          <t xml:space="preserve">                        (подпись, инициалы, фамилия)</t>
        </is>
      </c>
      <c r="B21" s="291" t="n"/>
      <c r="C21" s="291" t="n"/>
      <c r="D21" s="292" t="n"/>
      <c r="E21" s="292" t="n"/>
      <c r="F21" s="292" t="n"/>
      <c r="G21" s="29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4" sqref="B14"/>
    </sheetView>
  </sheetViews>
  <sheetFormatPr baseColWidth="8" defaultRowHeight="15"/>
  <cols>
    <col width="12.7109375" customWidth="1" style="294" min="1" max="1"/>
    <col width="16.42578125" customWidth="1" style="294" min="2" max="2"/>
    <col width="37.140625" customWidth="1" style="294" min="3" max="3"/>
    <col width="49" customWidth="1" style="294" min="4" max="4"/>
    <col width="9.140625" customWidth="1" style="294" min="5" max="5"/>
  </cols>
  <sheetData>
    <row r="1" ht="15.75" customHeight="1" s="294">
      <c r="A1" s="296" t="n"/>
      <c r="B1" s="296" t="n"/>
      <c r="C1" s="296" t="n"/>
      <c r="D1" s="296" t="inlineStr">
        <is>
          <t>Приложение №7</t>
        </is>
      </c>
    </row>
    <row r="2" ht="15.75" customHeight="1" s="294">
      <c r="A2" s="296" t="n"/>
      <c r="B2" s="296" t="n"/>
      <c r="C2" s="296" t="n"/>
      <c r="D2" s="296" t="n"/>
    </row>
    <row r="3" ht="15.75" customHeight="1" s="294">
      <c r="A3" s="296" t="n"/>
      <c r="B3" s="285" t="inlineStr">
        <is>
          <t>Расчет показателя УНЦ</t>
        </is>
      </c>
      <c r="C3" s="296" t="n"/>
      <c r="D3" s="296" t="n"/>
    </row>
    <row r="4" ht="15.75" customHeight="1" s="294">
      <c r="A4" s="296" t="n"/>
      <c r="B4" s="296" t="n"/>
      <c r="C4" s="296" t="n"/>
      <c r="D4" s="296" t="n"/>
    </row>
    <row r="5" ht="47.25" customHeight="1" s="294">
      <c r="A5" s="360" t="inlineStr">
        <is>
          <t xml:space="preserve">Наименование разрабатываемого показателя УНЦ - </t>
        </is>
      </c>
      <c r="D5" s="360">
        <f>'Прил.5 Расчет СМР и ОБ'!D6:J6</f>
        <v/>
      </c>
    </row>
    <row r="6" ht="15.75" customHeight="1" s="294">
      <c r="A6" s="296" t="inlineStr">
        <is>
          <t>Единица измерения  — 1 ед</t>
        </is>
      </c>
      <c r="B6" s="296" t="n"/>
      <c r="C6" s="296" t="n"/>
      <c r="D6" s="296" t="n"/>
    </row>
    <row r="7" ht="15.75" customHeight="1" s="294">
      <c r="A7" s="296" t="n"/>
      <c r="B7" s="296" t="n"/>
      <c r="C7" s="296" t="n"/>
      <c r="D7" s="296" t="n"/>
    </row>
    <row r="8">
      <c r="A8" s="325" t="inlineStr">
        <is>
          <t>Код показателя</t>
        </is>
      </c>
      <c r="B8" s="325" t="inlineStr">
        <is>
          <t>Наименование показателя</t>
        </is>
      </c>
      <c r="C8" s="325" t="inlineStr">
        <is>
          <t>Наименование РМ, входящих в состав показателя</t>
        </is>
      </c>
      <c r="D8" s="325" t="inlineStr">
        <is>
          <t>Норматив цены на 01.01.2023, тыс.руб.</t>
        </is>
      </c>
    </row>
    <row r="9">
      <c r="A9" s="414" t="n"/>
      <c r="B9" s="414" t="n"/>
      <c r="C9" s="414" t="n"/>
      <c r="D9" s="414" t="n"/>
    </row>
    <row r="10" ht="15.75" customHeight="1" s="294">
      <c r="A10" s="325" t="n">
        <v>1</v>
      </c>
      <c r="B10" s="325" t="n">
        <v>2</v>
      </c>
      <c r="C10" s="325" t="n">
        <v>3</v>
      </c>
      <c r="D10" s="325" t="n">
        <v>4</v>
      </c>
    </row>
    <row r="11" ht="63" customHeight="1" s="294">
      <c r="A11" s="325" t="inlineStr">
        <is>
          <t>И15-05</t>
        </is>
      </c>
      <c r="B11" s="325" t="inlineStr">
        <is>
          <t xml:space="preserve">УНЦ комплекса систем безопасности ПС </t>
        </is>
      </c>
      <c r="C11" s="288">
        <f>D5</f>
        <v/>
      </c>
      <c r="D11" s="302">
        <f>'Прил.4 РМ'!C41/1000</f>
        <v/>
      </c>
    </row>
    <row r="13">
      <c r="A13" s="290" t="inlineStr">
        <is>
          <t>Составил ______________________      Д.Ю. Нефедова</t>
        </is>
      </c>
      <c r="B13" s="291" t="n"/>
      <c r="C13" s="291" t="n"/>
      <c r="D13" s="292" t="n"/>
    </row>
    <row r="14">
      <c r="A14" s="293" t="inlineStr">
        <is>
          <t xml:space="preserve">                         (подпись, инициалы, фамилия)</t>
        </is>
      </c>
      <c r="B14" s="291" t="n"/>
      <c r="C14" s="291" t="n"/>
      <c r="D14" s="292" t="n"/>
    </row>
    <row r="15">
      <c r="A15" s="290" t="n"/>
      <c r="B15" s="291" t="n"/>
      <c r="C15" s="291" t="n"/>
      <c r="D15" s="292" t="n"/>
    </row>
    <row r="16">
      <c r="A16" s="290" t="inlineStr">
        <is>
          <t>Проверил ______________________        А.В. Костянецкая</t>
        </is>
      </c>
      <c r="B16" s="291" t="n"/>
      <c r="C16" s="291" t="n"/>
      <c r="D16" s="292" t="n"/>
    </row>
    <row r="17">
      <c r="A17" s="293" t="inlineStr">
        <is>
          <t xml:space="preserve">                        (подпись, инициалы, фамилия)</t>
        </is>
      </c>
      <c r="B17" s="291" t="n"/>
      <c r="C17" s="291" t="n"/>
      <c r="D17" s="29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view="pageBreakPreview" topLeftCell="A13" zoomScale="60" zoomScaleNormal="85" workbookViewId="0">
      <selection activeCell="B26" sqref="B26"/>
    </sheetView>
  </sheetViews>
  <sheetFormatPr baseColWidth="8" defaultRowHeight="15"/>
  <cols>
    <col width="9.140625" customWidth="1" style="294" min="1" max="1"/>
    <col width="40.7109375" customWidth="1" style="294" min="2" max="2"/>
    <col width="37" customWidth="1" style="294" min="3" max="3"/>
    <col width="32" customWidth="1" style="294" min="4" max="4"/>
    <col width="9.140625" customWidth="1" style="294" min="5" max="5"/>
  </cols>
  <sheetData>
    <row r="4" ht="15.75" customHeight="1" s="294">
      <c r="B4" s="319" t="inlineStr">
        <is>
          <t>Приложение № 10</t>
        </is>
      </c>
    </row>
    <row r="5" ht="18.75" customHeight="1" s="294">
      <c r="B5" s="250" t="n"/>
    </row>
    <row r="6" ht="15.75" customHeight="1" s="294">
      <c r="B6" s="320" t="inlineStr">
        <is>
          <t>Используемые индексы изменений сметной стоимости и нормы сопутствующих затрат</t>
        </is>
      </c>
    </row>
    <row r="7">
      <c r="B7" s="361" t="n"/>
    </row>
    <row r="8">
      <c r="B8" s="361" t="n"/>
      <c r="C8" s="361" t="n"/>
      <c r="D8" s="361" t="n"/>
      <c r="E8" s="361" t="n"/>
    </row>
    <row r="9" ht="47.25" customHeight="1" s="294">
      <c r="B9" s="325" t="inlineStr">
        <is>
          <t>Наименование индекса / норм сопутствующих затрат</t>
        </is>
      </c>
      <c r="C9" s="325" t="inlineStr">
        <is>
          <t>Дата применения и обоснование индекса / норм сопутствующих затрат</t>
        </is>
      </c>
      <c r="D9" s="325" t="inlineStr">
        <is>
          <t>Размер индекса / норма сопутствующих затрат</t>
        </is>
      </c>
    </row>
    <row r="10" ht="15.75" customHeight="1" s="294">
      <c r="B10" s="325" t="n">
        <v>1</v>
      </c>
      <c r="C10" s="325" t="n">
        <v>2</v>
      </c>
      <c r="D10" s="325" t="n">
        <v>3</v>
      </c>
    </row>
    <row r="11" ht="45" customHeight="1" s="294">
      <c r="B11" s="325" t="inlineStr">
        <is>
          <t xml:space="preserve">Индекс изменения сметной стоимости на 1 квартал 2023 года. ОЗП </t>
        </is>
      </c>
      <c r="C11" s="325" t="inlineStr">
        <is>
          <t>Письмо Минстроя России от 30.03.2023г. №17106-ИФ/09 прил.1</t>
        </is>
      </c>
      <c r="D11" s="325" t="n">
        <v>44.29</v>
      </c>
    </row>
    <row r="12" ht="29.25" customHeight="1" s="294">
      <c r="B12" s="325" t="inlineStr">
        <is>
          <t>Индекс изменения сметной стоимости на 1 квартал 2023 года. ЭМ</t>
        </is>
      </c>
      <c r="C12" s="325" t="inlineStr">
        <is>
          <t>Письмо Минстроя России от 30.03.2023г. №17106-ИФ/09 прил.1</t>
        </is>
      </c>
      <c r="D12" s="325" t="n">
        <v>13.47</v>
      </c>
    </row>
    <row r="13" ht="29.25" customHeight="1" s="294">
      <c r="B13" s="325" t="inlineStr">
        <is>
          <t>Индекс изменения сметной стоимости на 1 квартал 2023 года. МАТ</t>
        </is>
      </c>
      <c r="C13" s="325" t="inlineStr">
        <is>
          <t>Письмо Минстроя России от 30.03.2023г. №17106-ИФ/09 прил.1</t>
        </is>
      </c>
      <c r="D13" s="325" t="n">
        <v>8.039999999999999</v>
      </c>
    </row>
    <row r="14" ht="30.75" customHeight="1" s="294">
      <c r="B14" s="325" t="inlineStr">
        <is>
          <t>Индекс изменения сметной стоимости на 1 квартал 2023 года. ОБ</t>
        </is>
      </c>
      <c r="C14" s="164" t="inlineStr">
        <is>
          <t>Письмо Минстроя России от 23.02.2023г. №9791-ИФ/09 прил.6</t>
        </is>
      </c>
      <c r="D14" s="325" t="n">
        <v>6.26</v>
      </c>
    </row>
    <row r="15" ht="89.25" customHeight="1" s="294">
      <c r="B15" s="325" t="inlineStr">
        <is>
          <t>Временные здания и сооружения</t>
        </is>
      </c>
      <c r="C15" s="32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251" t="n">
        <v>0.039</v>
      </c>
    </row>
    <row r="16" ht="78.75" customHeight="1" s="294">
      <c r="B16" s="325" t="inlineStr">
        <is>
          <t>Дополнительные затраты при производстве строительно-монтажных работ в зимнее время</t>
        </is>
      </c>
      <c r="C16" s="32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251" t="n">
        <v>0.021</v>
      </c>
    </row>
    <row r="17" ht="34.5" customHeight="1" s="294">
      <c r="B17" s="325" t="inlineStr">
        <is>
          <t>Пусконаладочные работы*</t>
        </is>
      </c>
      <c r="C17" s="325" t="n"/>
      <c r="D17" s="325" t="inlineStr">
        <is>
          <t>Расчет</t>
        </is>
      </c>
    </row>
    <row r="18" ht="31.5" customHeight="1" s="294">
      <c r="B18" s="325" t="inlineStr">
        <is>
          <t>Строительный контроль</t>
        </is>
      </c>
      <c r="C18" s="325" t="inlineStr">
        <is>
          <t>Постановление Правительства РФ от 21.06.10 г. № 468</t>
        </is>
      </c>
      <c r="D18" s="251" t="n">
        <v>0.0214</v>
      </c>
    </row>
    <row r="19" ht="31.5" customHeight="1" s="294">
      <c r="B19" s="325" t="inlineStr">
        <is>
          <t>Авторский надзор - 0,2%</t>
        </is>
      </c>
      <c r="C19" s="325" t="inlineStr">
        <is>
          <t>Приказ от 4.08.2020 № 421/пр п.173</t>
        </is>
      </c>
      <c r="D19" s="251" t="n">
        <v>0.002</v>
      </c>
    </row>
    <row r="20" ht="24" customHeight="1" s="294">
      <c r="B20" s="325" t="inlineStr">
        <is>
          <t>Непредвиденные расходы</t>
        </is>
      </c>
      <c r="C20" s="325" t="inlineStr">
        <is>
          <t>Приказ от 4.08.2020 № 421/пр п.179</t>
        </is>
      </c>
      <c r="D20" s="251" t="n">
        <v>0.03</v>
      </c>
    </row>
    <row r="21" ht="18.75" customHeight="1" s="294">
      <c r="B21" s="252" t="n"/>
    </row>
    <row r="22" ht="18.75" customHeight="1" s="294">
      <c r="B22" s="252" t="n"/>
    </row>
    <row r="23" ht="18.75" customHeight="1" s="294">
      <c r="B23" s="252" t="n"/>
    </row>
    <row r="24" ht="18.75" customHeight="1" s="294">
      <c r="B24" s="252" t="n"/>
    </row>
    <row r="27">
      <c r="B27" s="290" t="inlineStr">
        <is>
          <t>Составил ______________________        Д.Ю. Нефедова</t>
        </is>
      </c>
      <c r="C27" s="291" t="n"/>
    </row>
    <row r="28">
      <c r="B28" s="293" t="inlineStr">
        <is>
          <t xml:space="preserve">                         (подпись, инициалы, фамилия)</t>
        </is>
      </c>
      <c r="C28" s="291" t="n"/>
    </row>
    <row r="29">
      <c r="B29" s="290" t="n"/>
      <c r="C29" s="291" t="n"/>
    </row>
    <row r="30">
      <c r="B30" s="290" t="inlineStr">
        <is>
          <t>Проверил ______________________        А.В. Костянецкая</t>
        </is>
      </c>
      <c r="C30" s="291" t="n"/>
    </row>
    <row r="31">
      <c r="B31" s="293" t="inlineStr">
        <is>
          <t xml:space="preserve">                        (подпись, инициалы, фамилия)</t>
        </is>
      </c>
      <c r="C31" s="29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94" min="2" max="2"/>
    <col width="13" customWidth="1" style="294" min="3" max="3"/>
    <col width="22.85546875" customWidth="1" style="294" min="4" max="4"/>
    <col width="21.5703125" customWidth="1" style="294" min="5" max="5"/>
    <col width="43.85546875" customWidth="1" style="294" min="6" max="6"/>
  </cols>
  <sheetData>
    <row r="1" s="294"/>
    <row r="2" ht="17.25" customHeight="1" s="294">
      <c r="A2" s="320" t="inlineStr">
        <is>
          <t>Расчет размера средств на оплату труда рабочих-строителей в текущем уровне цен (ФОТр.тек.)</t>
        </is>
      </c>
    </row>
    <row r="3" s="294"/>
    <row r="4" ht="18" customHeight="1" s="294">
      <c r="A4" s="295" t="inlineStr">
        <is>
          <t>Составлен в уровне цен на 01.01.2023 г.</t>
        </is>
      </c>
      <c r="B4" s="296" t="n"/>
      <c r="C4" s="296" t="n"/>
      <c r="D4" s="296" t="n"/>
      <c r="E4" s="296" t="n"/>
      <c r="F4" s="296" t="n"/>
      <c r="G4" s="296" t="n"/>
    </row>
    <row r="5" ht="15.75" customHeight="1" s="294">
      <c r="A5" s="297" t="inlineStr">
        <is>
          <t>№ пп.</t>
        </is>
      </c>
      <c r="B5" s="297" t="inlineStr">
        <is>
          <t>Наименование элемента</t>
        </is>
      </c>
      <c r="C5" s="297" t="inlineStr">
        <is>
          <t>Обозначение</t>
        </is>
      </c>
      <c r="D5" s="297" t="inlineStr">
        <is>
          <t>Формула</t>
        </is>
      </c>
      <c r="E5" s="297" t="inlineStr">
        <is>
          <t>Величина элемента</t>
        </is>
      </c>
      <c r="F5" s="297" t="inlineStr">
        <is>
          <t>Наименования обосновывающих документов</t>
        </is>
      </c>
      <c r="G5" s="296" t="n"/>
    </row>
    <row r="6" ht="15.75" customHeight="1" s="294">
      <c r="A6" s="297" t="n">
        <v>1</v>
      </c>
      <c r="B6" s="297" t="n">
        <v>2</v>
      </c>
      <c r="C6" s="297" t="n">
        <v>3</v>
      </c>
      <c r="D6" s="297" t="n">
        <v>4</v>
      </c>
      <c r="E6" s="297" t="n">
        <v>5</v>
      </c>
      <c r="F6" s="297" t="n">
        <v>6</v>
      </c>
      <c r="G6" s="296" t="n"/>
    </row>
    <row r="7" ht="110.25" customHeight="1" s="294">
      <c r="A7" s="298" t="inlineStr">
        <is>
          <t>1.1</t>
        </is>
      </c>
      <c r="B7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25" t="inlineStr">
        <is>
          <t>С1ср</t>
        </is>
      </c>
      <c r="D7" s="325" t="inlineStr">
        <is>
          <t>-</t>
        </is>
      </c>
      <c r="E7" s="301" t="n">
        <v>47872.94</v>
      </c>
      <c r="F7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6" t="n"/>
    </row>
    <row r="8" ht="31.5" customHeight="1" s="294">
      <c r="A8" s="298" t="inlineStr">
        <is>
          <t>1.2</t>
        </is>
      </c>
      <c r="B8" s="303" t="inlineStr">
        <is>
          <t>Среднегодовое нормативное число часов работы одного рабочего в месяц, часы (ч.)</t>
        </is>
      </c>
      <c r="C8" s="325" t="inlineStr">
        <is>
          <t>tср</t>
        </is>
      </c>
      <c r="D8" s="325" t="inlineStr">
        <is>
          <t>1973ч/12мес.</t>
        </is>
      </c>
      <c r="E8" s="302">
        <f>1973/12</f>
        <v/>
      </c>
      <c r="F8" s="303" t="inlineStr">
        <is>
          <t>Производственный календарь 2023 год
(40-часов.неделя)</t>
        </is>
      </c>
      <c r="G8" s="305" t="n"/>
    </row>
    <row r="9" ht="15.75" customHeight="1" s="294">
      <c r="A9" s="298" t="inlineStr">
        <is>
          <t>1.3</t>
        </is>
      </c>
      <c r="B9" s="303" t="inlineStr">
        <is>
          <t>Коэффициент увеличения</t>
        </is>
      </c>
      <c r="C9" s="325" t="inlineStr">
        <is>
          <t>Кув</t>
        </is>
      </c>
      <c r="D9" s="325" t="inlineStr">
        <is>
          <t>-</t>
        </is>
      </c>
      <c r="E9" s="302" t="n">
        <v>1</v>
      </c>
      <c r="F9" s="303" t="n"/>
      <c r="G9" s="305" t="n"/>
    </row>
    <row r="10" ht="15.75" customHeight="1" s="294">
      <c r="A10" s="298" t="inlineStr">
        <is>
          <t>1.4</t>
        </is>
      </c>
      <c r="B10" s="303" t="inlineStr">
        <is>
          <t>Средний разряд работ</t>
        </is>
      </c>
      <c r="C10" s="325" t="n"/>
      <c r="D10" s="325" t="n"/>
      <c r="E10" s="421" t="n">
        <v>4.9</v>
      </c>
      <c r="F10" s="303" t="inlineStr">
        <is>
          <t>РТМ</t>
        </is>
      </c>
      <c r="G10" s="305" t="n"/>
    </row>
    <row r="11" ht="78.75" customHeight="1" s="294">
      <c r="A11" s="298" t="inlineStr">
        <is>
          <t>1.5</t>
        </is>
      </c>
      <c r="B11" s="303" t="inlineStr">
        <is>
          <t>Тарифный коэффициент среднего разряда работ</t>
        </is>
      </c>
      <c r="C11" s="325" t="inlineStr">
        <is>
          <t>КТ</t>
        </is>
      </c>
      <c r="D11" s="325" t="inlineStr">
        <is>
          <t>-</t>
        </is>
      </c>
      <c r="E11" s="422" t="n">
        <v>1.522</v>
      </c>
      <c r="F11" s="3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6" t="n"/>
    </row>
    <row r="12" ht="78.75" customHeight="1" s="294">
      <c r="A12" s="298" t="inlineStr">
        <is>
          <t>1.6</t>
        </is>
      </c>
      <c r="B12" s="308" t="inlineStr">
        <is>
          <t>Коэффициент инфляции, определяемый поквартально</t>
        </is>
      </c>
      <c r="C12" s="325" t="inlineStr">
        <is>
          <t>Кинф</t>
        </is>
      </c>
      <c r="D12" s="325" t="inlineStr">
        <is>
          <t>-</t>
        </is>
      </c>
      <c r="E12" s="423" t="n">
        <v>1.139</v>
      </c>
      <c r="F12" s="3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5" t="n"/>
    </row>
    <row r="13" ht="63" customHeight="1" s="294">
      <c r="A13" s="406" t="inlineStr">
        <is>
          <t>1.7</t>
        </is>
      </c>
      <c r="B13" s="407" t="inlineStr">
        <is>
          <t>Размер средств на оплату труда рабочих-строителей в текущем уровне цен (ФОТр.тек.), руб/чел.-ч</t>
        </is>
      </c>
      <c r="C13" s="408" t="inlineStr">
        <is>
          <t>ФОТр.тек.</t>
        </is>
      </c>
      <c r="D13" s="408" t="inlineStr">
        <is>
          <t>(С1ср/tср*КТ*Т*Кув)*Кинф</t>
        </is>
      </c>
      <c r="E13" s="409">
        <f>((E7*E9/E8)*E11)*E12</f>
        <v/>
      </c>
      <c r="F13" s="4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6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2025-01-24T12:01:54Z</dcterms:modified>
  <cp:lastModifiedBy>Nikolay Ivanov</cp:lastModifiedBy>
  <cp:lastPrinted>2023-11-30T13:32:07Z</cp:lastPrinted>
</cp:coreProperties>
</file>