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7" fillId="0" borderId="0" pivotButton="0" quotePrefix="0" xfId="0"/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8" fillId="0" borderId="1" applyAlignment="1" pivotButton="0" quotePrefix="0" xfId="0">
      <alignment vertical="top"/>
    </xf>
    <xf numFmtId="0" fontId="18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top" wrapText="1"/>
    </xf>
    <xf numFmtId="49" fontId="16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6" applyAlignment="1" pivotButton="0" quotePrefix="0" xfId="0">
      <alignment horizontal="right" vertical="center" wrapText="1"/>
    </xf>
    <xf numFmtId="0" fontId="18" fillId="0" borderId="7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22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300" min="1" max="2"/>
    <col width="36.85546875" customWidth="1" style="300" min="3" max="3"/>
    <col width="36.5703125" customWidth="1" style="300" min="4" max="5"/>
    <col width="17.5703125" customWidth="1" style="300" min="6" max="6"/>
    <col width="18.7109375" customWidth="1" style="300" min="7" max="7"/>
    <col width="9.140625" customWidth="1" style="300" min="8" max="8"/>
  </cols>
  <sheetData>
    <row r="3">
      <c r="B3" s="326" t="inlineStr">
        <is>
          <t>Приложение № 1</t>
        </is>
      </c>
    </row>
    <row r="4">
      <c r="B4" s="327" t="inlineStr">
        <is>
          <t>Сравнительная таблица отбора объекта-представителя</t>
        </is>
      </c>
    </row>
    <row r="5">
      <c r="B5" s="165" t="n"/>
      <c r="C5" s="165" t="n"/>
      <c r="D5" s="165" t="n"/>
      <c r="E5" s="165" t="n"/>
    </row>
    <row r="6">
      <c r="B6" s="165" t="n"/>
      <c r="C6" s="165" t="n"/>
      <c r="D6" s="165" t="n"/>
      <c r="E6" s="165" t="n"/>
    </row>
    <row r="7" ht="33.75" customHeight="1" s="298">
      <c r="B7" s="328" t="inlineStr">
        <is>
          <t>Наименование разрабатываемого показателя УНЦ — Комплекс систем безопасности ПС. Устройство турникета</t>
        </is>
      </c>
    </row>
    <row r="8" ht="31.5" customHeight="1" s="298">
      <c r="B8" s="329" t="inlineStr">
        <is>
          <t>Сопоставимый уровень цен: 4 кв 2018</t>
        </is>
      </c>
    </row>
    <row r="9">
      <c r="B9" s="329" t="inlineStr">
        <is>
          <t>Единица измерения  — 1 ед.</t>
        </is>
      </c>
    </row>
    <row r="10">
      <c r="B10" s="329" t="n"/>
    </row>
    <row r="11">
      <c r="B11" s="332" t="inlineStr">
        <is>
          <t>№ п/п</t>
        </is>
      </c>
      <c r="C11" s="332" t="inlineStr">
        <is>
          <t>Параметр</t>
        </is>
      </c>
      <c r="D11" s="312" t="inlineStr">
        <is>
          <t>Объект-представитель 1</t>
        </is>
      </c>
      <c r="E11" s="312" t="inlineStr">
        <is>
          <t>Объект-представитель 2</t>
        </is>
      </c>
    </row>
    <row r="12" ht="110.25" customHeight="1" s="298">
      <c r="B12" s="332" t="n">
        <v>1</v>
      </c>
      <c r="C12" s="312" t="inlineStr">
        <is>
          <t>Наименование объекта-представителя</t>
        </is>
      </c>
      <c r="D12" s="332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 (1 этап)</t>
        </is>
      </c>
      <c r="E12" s="332" t="inlineStr">
        <is>
          <t>Комплексное техническое перевооружение и реконструкция ПС 500 кВ Чагино. Корректировка</t>
        </is>
      </c>
    </row>
    <row r="13" ht="31.5" customHeight="1" s="298">
      <c r="B13" s="332" t="n">
        <v>2</v>
      </c>
      <c r="C13" s="312" t="inlineStr">
        <is>
          <t>Наименование субъекта Российской Федерации</t>
        </is>
      </c>
      <c r="D13" s="332" t="inlineStr">
        <is>
          <t>Брянская область</t>
        </is>
      </c>
      <c r="E13" s="332" t="inlineStr">
        <is>
          <t>Москва</t>
        </is>
      </c>
    </row>
    <row r="14">
      <c r="B14" s="332" t="n">
        <v>3</v>
      </c>
      <c r="C14" s="312" t="inlineStr">
        <is>
          <t>Климатический район и подрайон</t>
        </is>
      </c>
      <c r="D14" s="332" t="inlineStr">
        <is>
          <t>IIB</t>
        </is>
      </c>
      <c r="E14" s="332" t="inlineStr">
        <is>
          <t>IIB</t>
        </is>
      </c>
    </row>
    <row r="15">
      <c r="B15" s="332" t="n">
        <v>4</v>
      </c>
      <c r="C15" s="312" t="inlineStr">
        <is>
          <t>Мощность объекта</t>
        </is>
      </c>
      <c r="D15" s="332" t="n">
        <v>1</v>
      </c>
      <c r="E15" s="332" t="n">
        <v>1</v>
      </c>
    </row>
    <row r="16" ht="94.5" customHeight="1" s="298">
      <c r="B16" s="332" t="n">
        <v>5</v>
      </c>
      <c r="C16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Турникет в составе системы СКУД
PERCо-TTR-04.1
1 шт.</t>
        </is>
      </c>
      <c r="E16" s="332" t="inlineStr">
        <is>
          <t>Турникет в составе системы СКУД
PERCo-TTR-04.1G
1 шт.</t>
        </is>
      </c>
    </row>
    <row r="17" ht="78.75" customHeight="1" s="298">
      <c r="B17" s="332" t="n">
        <v>6</v>
      </c>
      <c r="C17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SUM(D18:D21)</f>
        <v/>
      </c>
      <c r="E17" s="170">
        <f>SUM(E18:E21)</f>
        <v/>
      </c>
    </row>
    <row r="18">
      <c r="B18" s="171" t="inlineStr">
        <is>
          <t>6.1</t>
        </is>
      </c>
      <c r="C18" s="312" t="inlineStr">
        <is>
          <t>строительно-монтажные работы</t>
        </is>
      </c>
      <c r="D18" s="170" t="n">
        <v>2.26576</v>
      </c>
      <c r="E18" s="170" t="n">
        <v>2.9216296</v>
      </c>
    </row>
    <row r="19" ht="15.75" customHeight="1" s="298">
      <c r="B19" s="171" t="inlineStr">
        <is>
          <t>6.2</t>
        </is>
      </c>
      <c r="C19" s="312" t="inlineStr">
        <is>
          <t>оборудование и инвентарь</t>
        </is>
      </c>
      <c r="D19" s="170" t="n">
        <v>1037.09978</v>
      </c>
      <c r="E19" s="170" t="n">
        <v>158.3822592</v>
      </c>
    </row>
    <row r="20" ht="16.5" customHeight="1" s="298">
      <c r="B20" s="171" t="inlineStr">
        <is>
          <t>6.3</t>
        </is>
      </c>
      <c r="C20" s="312" t="inlineStr">
        <is>
          <t>пусконаладочные работы</t>
        </is>
      </c>
      <c r="D20" s="170">
        <f>D19/1708578.12*351802.92</f>
        <v/>
      </c>
      <c r="E20" s="170">
        <f>E19/(639662.07*4.44)*(35821.08*18.69)</f>
        <v/>
      </c>
    </row>
    <row r="21" ht="35.25" customHeight="1" s="298">
      <c r="B21" s="171" t="inlineStr">
        <is>
          <t>6.4</t>
        </is>
      </c>
      <c r="C21" s="172" t="inlineStr">
        <is>
          <t>прочие и лимитированные затраты</t>
        </is>
      </c>
      <c r="D21" s="170">
        <f>D18*3.9%+(D18+D18*3.9%)*2.1%*0.9</f>
        <v/>
      </c>
      <c r="E21" s="170">
        <f>E18*3.9%*0.8+(E18+E18*3.9%*0.8)*2.1%</f>
        <v/>
      </c>
    </row>
    <row r="22">
      <c r="B22" s="332" t="n">
        <v>7</v>
      </c>
      <c r="C22" s="172" t="inlineStr">
        <is>
          <t>Сопоставимый уровень цен</t>
        </is>
      </c>
      <c r="D22" s="332" t="inlineStr">
        <is>
          <t>4 кв 2018</t>
        </is>
      </c>
      <c r="E22" s="332" t="inlineStr">
        <is>
          <t>4 кв 2018</t>
        </is>
      </c>
    </row>
    <row r="23" ht="123" customHeight="1" s="298">
      <c r="B23" s="332" t="n">
        <v>8</v>
      </c>
      <c r="C23" s="17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70">
        <f>E17</f>
        <v/>
      </c>
      <c r="F23" s="300" t="n"/>
    </row>
    <row r="24" ht="60.75" customHeight="1" s="298">
      <c r="B24" s="332" t="n">
        <v>9</v>
      </c>
      <c r="C24" s="169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70">
        <f>E23/E15</f>
        <v/>
      </c>
    </row>
    <row r="25" ht="118.5" customHeight="1" s="298">
      <c r="B25" s="332" t="n">
        <v>10</v>
      </c>
      <c r="C25" s="312" t="inlineStr">
        <is>
          <t>Примечание</t>
        </is>
      </c>
      <c r="D25" s="312" t="n"/>
      <c r="E25" s="312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ед.</t>
        </is>
      </c>
    </row>
    <row r="26">
      <c r="B26" s="175" t="n"/>
      <c r="C26" s="176" t="n"/>
      <c r="D26" s="176" t="n"/>
      <c r="E26" s="176" t="n"/>
    </row>
    <row r="27" ht="37.5" customHeight="1" s="298">
      <c r="B27" s="177" t="n"/>
    </row>
    <row r="28">
      <c r="B28" s="300" t="inlineStr">
        <is>
          <t>Составил ______________________        Д.Ю. Нефедова</t>
        </is>
      </c>
    </row>
    <row r="29">
      <c r="B29" s="177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177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zoomScale="70" zoomScaleNormal="70" workbookViewId="0">
      <selection activeCell="H20" sqref="H20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26" t="inlineStr">
        <is>
          <t>Приложение № 2</t>
        </is>
      </c>
      <c r="K3" s="177" t="n"/>
    </row>
    <row r="4">
      <c r="B4" s="327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 ht="33" customHeight="1" s="298">
      <c r="B6" s="331" t="inlineStr">
        <is>
          <t>Наименование разрабатываемого показателя УНЦ —  Комплекс систем безопасности ПС. Устройство турникета</t>
        </is>
      </c>
      <c r="K6" s="177" t="n"/>
      <c r="L6" s="178" t="n"/>
    </row>
    <row r="7">
      <c r="B7" s="329" t="inlineStr">
        <is>
          <t>Единица измерения  — 1 ед.</t>
        </is>
      </c>
      <c r="L7" s="178" t="n"/>
    </row>
    <row r="8">
      <c r="B8" s="329" t="n"/>
    </row>
    <row r="9" ht="15.75" customHeight="1" s="298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98">
      <c r="B10" s="415" t="n"/>
      <c r="C10" s="415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4 кв. 2018 г., тыс. руб.</t>
        </is>
      </c>
      <c r="G10" s="413" t="n"/>
      <c r="H10" s="413" t="n"/>
      <c r="I10" s="413" t="n"/>
      <c r="J10" s="414" t="n"/>
    </row>
    <row r="11" ht="31.5" customHeight="1" s="298">
      <c r="B11" s="416" t="n"/>
      <c r="C11" s="416" t="n"/>
      <c r="D11" s="416" t="n"/>
      <c r="E11" s="416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10.25" customHeight="1" s="298">
      <c r="B12" s="257" t="n">
        <v>1</v>
      </c>
      <c r="C12" s="275" t="inlineStr">
        <is>
          <t>Турникет в составе системы СКУД
PERCо-TTR-04.1
1 шт.</t>
        </is>
      </c>
      <c r="D12" s="276" t="inlineStr">
        <is>
          <t>07-01-10</t>
        </is>
      </c>
      <c r="E12" s="307" t="inlineStr">
        <is>
          <t xml:space="preserve">автоматическая установка охранно- пожарной сигнализации и СКУД, СОУЭ, охранной сигнализации периметра </t>
        </is>
      </c>
      <c r="F12" s="179" t="n"/>
      <c r="G12" s="179" t="n">
        <v>2.26576</v>
      </c>
      <c r="H12" s="179" t="n">
        <v>1037.09978</v>
      </c>
      <c r="I12" s="180" t="n"/>
      <c r="J12" s="181">
        <f>SUM(F12:I12)</f>
        <v/>
      </c>
    </row>
    <row r="13" ht="15.75" customHeight="1" s="298">
      <c r="B13" s="330" t="inlineStr">
        <is>
          <t>Всего по объекту:</t>
        </is>
      </c>
      <c r="C13" s="413" t="n"/>
      <c r="D13" s="413" t="n"/>
      <c r="E13" s="414" t="n"/>
      <c r="F13" s="182">
        <f>SUM(F12:F12)</f>
        <v/>
      </c>
      <c r="G13" s="182">
        <f>SUM(G12:G12)</f>
        <v/>
      </c>
      <c r="H13" s="182">
        <f>SUM(H12:H12)</f>
        <v/>
      </c>
      <c r="I13" s="316" t="n"/>
      <c r="J13" s="184">
        <f>SUM(F13:I13)</f>
        <v/>
      </c>
    </row>
    <row r="14" ht="28.5" customHeight="1" s="298">
      <c r="B14" s="330" t="inlineStr">
        <is>
          <t>Всего по объекту в сопоставимом уровне цен 4 кв. 2018 г:</t>
        </is>
      </c>
      <c r="C14" s="413" t="n"/>
      <c r="D14" s="413" t="n"/>
      <c r="E14" s="414" t="n"/>
      <c r="F14" s="182">
        <f>F13</f>
        <v/>
      </c>
      <c r="G14" s="182">
        <f>G13</f>
        <v/>
      </c>
      <c r="H14" s="182">
        <f>H13</f>
        <v/>
      </c>
      <c r="I14" s="316" t="n"/>
      <c r="J14" s="184">
        <f>SUM(F14:I14)</f>
        <v/>
      </c>
    </row>
    <row r="15">
      <c r="B15" s="329" t="n"/>
    </row>
    <row r="16">
      <c r="B16" s="332" t="inlineStr">
        <is>
          <t>№ п/п</t>
        </is>
      </c>
      <c r="C16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32" t="inlineStr">
        <is>
          <t>Объект-представитель 2</t>
        </is>
      </c>
      <c r="E16" s="413" t="n"/>
      <c r="F16" s="413" t="n"/>
      <c r="G16" s="413" t="n"/>
      <c r="H16" s="413" t="n"/>
      <c r="I16" s="413" t="n"/>
      <c r="J16" s="414" t="n"/>
    </row>
    <row r="17" ht="15.75" customHeight="1" s="298">
      <c r="B17" s="415" t="n"/>
      <c r="C17" s="415" t="n"/>
      <c r="D17" s="332" t="inlineStr">
        <is>
          <t>Номер сметы</t>
        </is>
      </c>
      <c r="E17" s="332" t="inlineStr">
        <is>
          <t>Наименование сметы</t>
        </is>
      </c>
      <c r="F17" s="332" t="inlineStr">
        <is>
          <t>Сметная стоимость в уровне цен 4 кв. 2017 г., тыс. руб.</t>
        </is>
      </c>
      <c r="G17" s="413" t="n"/>
      <c r="H17" s="413" t="n"/>
      <c r="I17" s="413" t="n"/>
      <c r="J17" s="414" t="n"/>
    </row>
    <row r="18" ht="31.5" customHeight="1" s="298">
      <c r="B18" s="416" t="n"/>
      <c r="C18" s="416" t="n"/>
      <c r="D18" s="416" t="n"/>
      <c r="E18" s="416" t="n"/>
      <c r="F18" s="332" t="inlineStr">
        <is>
          <t>Строительные работы</t>
        </is>
      </c>
      <c r="G18" s="332" t="inlineStr">
        <is>
          <t>Монтажные работы</t>
        </is>
      </c>
      <c r="H18" s="332" t="inlineStr">
        <is>
          <t>Оборудование</t>
        </is>
      </c>
      <c r="I18" s="332" t="inlineStr">
        <is>
          <t>Прочее</t>
        </is>
      </c>
      <c r="J18" s="332" t="inlineStr">
        <is>
          <t>Всего</t>
        </is>
      </c>
    </row>
    <row r="19" ht="68.25" customHeight="1" s="298">
      <c r="B19" s="257" t="n">
        <v>1</v>
      </c>
      <c r="C19" s="277" t="inlineStr">
        <is>
          <t>Турникет в составе системы СКУД
PERCo-TTR-04.1G
1 шт.</t>
        </is>
      </c>
      <c r="D19" s="278" t="inlineStr">
        <is>
          <t>05-03-01</t>
        </is>
      </c>
      <c r="E19" s="312" t="inlineStr">
        <is>
          <t xml:space="preserve">Охранная сигнализация. Система контроля и управления доступом. Этап 5 </t>
        </is>
      </c>
      <c r="F19" s="179" t="n"/>
      <c r="G19" s="179" t="n">
        <v>2.9216296</v>
      </c>
      <c r="H19" s="179" t="n">
        <v>158.3822592</v>
      </c>
      <c r="I19" s="180" t="n"/>
      <c r="J19" s="181">
        <f>SUM(F19:I19)</f>
        <v/>
      </c>
    </row>
    <row r="20" ht="15.75" customHeight="1" s="298">
      <c r="B20" s="330" t="inlineStr">
        <is>
          <t>Всего по объекту:</t>
        </is>
      </c>
      <c r="C20" s="413" t="n"/>
      <c r="D20" s="413" t="n"/>
      <c r="E20" s="414" t="n"/>
      <c r="F20" s="182">
        <f>SUM(F19:F19)</f>
        <v/>
      </c>
      <c r="G20" s="182">
        <f>SUM(G19:G19)</f>
        <v/>
      </c>
      <c r="H20" s="182">
        <f>SUM(H19:H19)</f>
        <v/>
      </c>
      <c r="I20" s="316" t="n"/>
      <c r="J20" s="184">
        <f>SUM(F20:I20)</f>
        <v/>
      </c>
    </row>
    <row r="21" ht="28.5" customHeight="1" s="298">
      <c r="B21" s="330" t="inlineStr">
        <is>
          <t>Всего по объекту в сопоставимом уровне цен 4 кв. 2017 г:</t>
        </is>
      </c>
      <c r="C21" s="413" t="n"/>
      <c r="D21" s="413" t="n"/>
      <c r="E21" s="414" t="n"/>
      <c r="F21" s="182">
        <f>F20</f>
        <v/>
      </c>
      <c r="G21" s="182">
        <f>G20</f>
        <v/>
      </c>
      <c r="H21" s="182">
        <f>H20</f>
        <v/>
      </c>
      <c r="I21" s="316" t="n"/>
      <c r="J21" s="184">
        <f>SUM(F21:I21)</f>
        <v/>
      </c>
    </row>
    <row r="24">
      <c r="B24" s="356" t="inlineStr">
        <is>
          <t>*</t>
        </is>
      </c>
      <c r="C24" s="300" t="inlineStr">
        <is>
          <t xml:space="preserve"> - стоимость с учетом исключения затрат на корректровку по транспортировке  свыше 30 км.</t>
        </is>
      </c>
    </row>
    <row r="28">
      <c r="B28" s="300" t="inlineStr">
        <is>
          <t>Составил ______________________        Д.Ю. Нефедова</t>
        </is>
      </c>
    </row>
    <row r="29">
      <c r="B29" s="177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177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43"/>
  <sheetViews>
    <sheetView view="pageBreakPreview" topLeftCell="A19" workbookViewId="0">
      <selection activeCell="C25" sqref="C25:C36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186" min="5" max="5"/>
    <col width="20.7109375" customWidth="1" style="300" min="6" max="6"/>
    <col width="16.140625" customWidth="1" style="300" min="7" max="7"/>
    <col width="16.7109375" customWidth="1" style="300" min="8" max="8"/>
    <col width="9.140625" customWidth="1" style="300" min="9" max="9"/>
    <col width="10.28515625" customWidth="1" style="300" min="10" max="10"/>
    <col width="9.140625" customWidth="1" style="300" min="11" max="11"/>
  </cols>
  <sheetData>
    <row r="2">
      <c r="A2" s="326" t="inlineStr">
        <is>
          <t xml:space="preserve">Приложение № 3 </t>
        </is>
      </c>
    </row>
    <row r="3">
      <c r="A3" s="327" t="inlineStr">
        <is>
          <t>Объектная ресурсная ведомость</t>
        </is>
      </c>
    </row>
    <row r="4">
      <c r="A4" s="329" t="n"/>
    </row>
    <row r="5" ht="30.75" customHeight="1" s="298">
      <c r="A5" s="331" t="inlineStr">
        <is>
          <t>Наименование разрабатываемого показателя УНЦ - Комплекс систем безопасности ПС. Устройство турникета</t>
        </is>
      </c>
    </row>
    <row r="6">
      <c r="A6" s="187" t="n"/>
      <c r="B6" s="187" t="n"/>
      <c r="C6" s="187" t="n"/>
      <c r="D6" s="187" t="n"/>
      <c r="E6" s="165" t="n"/>
      <c r="F6" s="187" t="n"/>
      <c r="G6" s="187" t="n"/>
      <c r="H6" s="187" t="n"/>
    </row>
    <row r="7" ht="38.25" customHeight="1" s="298">
      <c r="A7" s="332" t="inlineStr">
        <is>
          <t>п/п</t>
        </is>
      </c>
      <c r="B7" s="332" t="inlineStr">
        <is>
          <t>№ЛСР</t>
        </is>
      </c>
      <c r="C7" s="332" t="inlineStr">
        <is>
          <t>Код ресурса</t>
        </is>
      </c>
      <c r="D7" s="332" t="inlineStr">
        <is>
          <t>Наименование ресурса</t>
        </is>
      </c>
      <c r="E7" s="332" t="inlineStr">
        <is>
          <t>Ед. изм.</t>
        </is>
      </c>
      <c r="F7" s="332" t="inlineStr">
        <is>
          <t>Кол-во единиц по данным объекта-представителя</t>
        </is>
      </c>
      <c r="G7" s="332" t="inlineStr">
        <is>
          <t>Сметная стоимость в ценах на 01.01.2000 (руб.)</t>
        </is>
      </c>
      <c r="H7" s="414" t="n"/>
    </row>
    <row r="8" ht="40.5" customHeight="1" s="298">
      <c r="A8" s="416" t="n"/>
      <c r="B8" s="416" t="n"/>
      <c r="C8" s="416" t="n"/>
      <c r="D8" s="416" t="n"/>
      <c r="E8" s="416" t="n"/>
      <c r="F8" s="416" t="n"/>
      <c r="G8" s="332" t="inlineStr">
        <is>
          <t>на ед.изм.</t>
        </is>
      </c>
      <c r="H8" s="332" t="inlineStr">
        <is>
          <t>общая</t>
        </is>
      </c>
    </row>
    <row r="9">
      <c r="A9" s="275" t="n">
        <v>1</v>
      </c>
      <c r="B9" s="275" t="n"/>
      <c r="C9" s="275" t="n">
        <v>2</v>
      </c>
      <c r="D9" s="275" t="inlineStr">
        <is>
          <t>З</t>
        </is>
      </c>
      <c r="E9" s="275" t="n">
        <v>4</v>
      </c>
      <c r="F9" s="275" t="n">
        <v>5</v>
      </c>
      <c r="G9" s="275" t="n">
        <v>6</v>
      </c>
      <c r="H9" s="275" t="n">
        <v>7</v>
      </c>
    </row>
    <row r="10" customFormat="1" s="289">
      <c r="A10" s="336" t="inlineStr">
        <is>
          <t>Затраты труда рабочих</t>
        </is>
      </c>
      <c r="B10" s="413" t="n"/>
      <c r="C10" s="413" t="n"/>
      <c r="D10" s="413" t="n"/>
      <c r="E10" s="414" t="n"/>
      <c r="F10" s="189" t="n">
        <v>2.06</v>
      </c>
      <c r="G10" s="189" t="n"/>
      <c r="H10" s="189">
        <f>SUM(H11:H11)</f>
        <v/>
      </c>
      <c r="I10" s="300" t="n"/>
      <c r="J10" s="300" t="n"/>
      <c r="K10" s="300" t="n"/>
      <c r="L10" s="300" t="n"/>
      <c r="M10" s="300" t="n"/>
    </row>
    <row r="11">
      <c r="A11" s="337" t="n">
        <v>1</v>
      </c>
      <c r="B11" s="192" t="inlineStr">
        <is>
          <t> </t>
        </is>
      </c>
      <c r="C11" s="193" t="inlineStr">
        <is>
          <t>1-4-2</t>
        </is>
      </c>
      <c r="D11" s="338" t="inlineStr">
        <is>
          <t>Затраты труда рабочих (ср 4,2)</t>
        </is>
      </c>
      <c r="E11" s="195" t="inlineStr">
        <is>
          <t>чел.-ч</t>
        </is>
      </c>
      <c r="F11" s="337" t="n">
        <v>2.06</v>
      </c>
      <c r="G11" s="196" t="n">
        <v>9.92</v>
      </c>
      <c r="H11" s="196">
        <f>ROUND(F11*G11,2)</f>
        <v/>
      </c>
    </row>
    <row r="12">
      <c r="A12" s="336" t="inlineStr">
        <is>
          <t>Затраты труда машинистов</t>
        </is>
      </c>
      <c r="B12" s="413" t="n"/>
      <c r="C12" s="413" t="n"/>
      <c r="D12" s="413" t="n"/>
      <c r="E12" s="414" t="n"/>
      <c r="F12" s="336" t="n">
        <v>0.62</v>
      </c>
      <c r="G12" s="189" t="n"/>
      <c r="H12" s="189">
        <f>H13</f>
        <v/>
      </c>
    </row>
    <row r="13">
      <c r="A13" s="337" t="n">
        <v>2</v>
      </c>
      <c r="B13" s="337" t="inlineStr">
        <is>
          <t> </t>
        </is>
      </c>
      <c r="C13" s="338" t="n">
        <v>2</v>
      </c>
      <c r="D13" s="338" t="inlineStr">
        <is>
          <t>Затраты труда машинистов</t>
        </is>
      </c>
      <c r="E13" s="195" t="inlineStr">
        <is>
          <t>чел.-ч</t>
        </is>
      </c>
      <c r="F13" s="337" t="n">
        <v>0.62</v>
      </c>
      <c r="G13" s="196" t="n"/>
      <c r="H13" s="196" t="n">
        <v>6.27</v>
      </c>
    </row>
    <row r="14" customFormat="1" s="289">
      <c r="A14" s="336" t="inlineStr">
        <is>
          <t>Машины и механизмы</t>
        </is>
      </c>
      <c r="B14" s="413" t="n"/>
      <c r="C14" s="413" t="n"/>
      <c r="D14" s="413" t="n"/>
      <c r="E14" s="414" t="n"/>
      <c r="F14" s="336" t="n"/>
      <c r="G14" s="189" t="n"/>
      <c r="H14" s="189">
        <f>SUM(H15:H21)</f>
        <v/>
      </c>
      <c r="I14" s="300" t="n"/>
      <c r="J14" s="300" t="n"/>
      <c r="K14" s="300" t="n"/>
      <c r="L14" s="300" t="n"/>
      <c r="M14" s="300" t="n"/>
    </row>
    <row r="15">
      <c r="A15" s="337" t="n">
        <v>3</v>
      </c>
      <c r="B15" s="337" t="inlineStr">
        <is>
          <t> </t>
        </is>
      </c>
      <c r="C15" s="338" t="inlineStr">
        <is>
          <t>91.21.12-002</t>
        </is>
      </c>
      <c r="D15" s="338" t="inlineStr">
        <is>
          <t>Ножницы листовые кривошипные гильотинные</t>
        </is>
      </c>
      <c r="E15" s="195" t="inlineStr">
        <is>
          <t>маш.час</t>
        </is>
      </c>
      <c r="F15" s="337" t="n">
        <v>0.3</v>
      </c>
      <c r="G15" s="196" t="n">
        <v>70</v>
      </c>
      <c r="H15" s="196">
        <f>ROUND(F15*G15,2)</f>
        <v/>
      </c>
    </row>
    <row r="16" ht="31.5" customFormat="1" customHeight="1" s="289">
      <c r="A16" s="337" t="n">
        <v>4</v>
      </c>
      <c r="B16" s="337" t="inlineStr">
        <is>
          <t> </t>
        </is>
      </c>
      <c r="C16" s="338" t="inlineStr">
        <is>
          <t>91.21.16-014</t>
        </is>
      </c>
      <c r="D16" s="338" t="inlineStr">
        <is>
          <t>Прессы листогибочные кривошипные 1000 кН (100 тс)</t>
        </is>
      </c>
      <c r="E16" s="195" t="inlineStr">
        <is>
          <t>маш.час</t>
        </is>
      </c>
      <c r="F16" s="337" t="n">
        <v>0.3</v>
      </c>
      <c r="G16" s="196" t="n">
        <v>56.24</v>
      </c>
      <c r="H16" s="196">
        <f>ROUND(F16*G16,2)</f>
        <v/>
      </c>
      <c r="I16" s="300" t="n"/>
      <c r="J16" s="300" t="n"/>
      <c r="K16" s="300" t="n"/>
      <c r="L16" s="300" t="n"/>
      <c r="M16" s="300" t="n"/>
    </row>
    <row r="17" ht="31.5" customFormat="1" customHeight="1" s="289">
      <c r="A17" s="337" t="n">
        <v>5</v>
      </c>
      <c r="B17" s="337" t="inlineStr">
        <is>
          <t> </t>
        </is>
      </c>
      <c r="C17" s="338" t="inlineStr">
        <is>
          <t>91.21.16-013</t>
        </is>
      </c>
      <c r="D17" s="338" t="inlineStr">
        <is>
          <t>Прессы кривошипные простого действия 25 кН (2,5 тс)</t>
        </is>
      </c>
      <c r="E17" s="195" t="inlineStr">
        <is>
          <t>маш.час</t>
        </is>
      </c>
      <c r="F17" s="337" t="n">
        <v>0.3</v>
      </c>
      <c r="G17" s="196" t="n">
        <v>16.92</v>
      </c>
      <c r="H17" s="196">
        <f>ROUND(F17*G17,2)</f>
        <v/>
      </c>
      <c r="I17" s="300" t="n"/>
      <c r="J17" s="300" t="n"/>
      <c r="K17" s="300" t="n"/>
      <c r="L17" s="300" t="n"/>
      <c r="M17" s="300" t="n"/>
    </row>
    <row r="18" customFormat="1" s="289">
      <c r="A18" s="337" t="n">
        <v>6</v>
      </c>
      <c r="B18" s="337" t="inlineStr">
        <is>
          <t> </t>
        </is>
      </c>
      <c r="C18" s="338" t="inlineStr">
        <is>
          <t>91.21.19-031</t>
        </is>
      </c>
      <c r="D18" s="338" t="inlineStr">
        <is>
          <t>Станки сверлильные</t>
        </is>
      </c>
      <c r="E18" s="195" t="inlineStr">
        <is>
          <t>маш.час</t>
        </is>
      </c>
      <c r="F18" s="337" t="n">
        <v>0.64</v>
      </c>
      <c r="G18" s="196" t="n">
        <v>2.36</v>
      </c>
      <c r="H18" s="196">
        <f>ROUND(F18*G18,2)</f>
        <v/>
      </c>
      <c r="I18" s="300" t="n"/>
      <c r="J18" s="300" t="n"/>
      <c r="K18" s="300" t="n"/>
      <c r="L18" s="300" t="n"/>
      <c r="M18" s="300" t="n"/>
    </row>
    <row r="19" ht="31.5" customFormat="1" customHeight="1" s="289">
      <c r="A19" s="337" t="n">
        <v>7</v>
      </c>
      <c r="B19" s="337" t="inlineStr">
        <is>
          <t> </t>
        </is>
      </c>
      <c r="C19" s="338" t="inlineStr">
        <is>
          <t>91.14.02-001</t>
        </is>
      </c>
      <c r="D19" s="338" t="inlineStr">
        <is>
          <t>Автомобили бортовые, грузоподъемность до 5 т</t>
        </is>
      </c>
      <c r="E19" s="195" t="inlineStr">
        <is>
          <t>маш.час</t>
        </is>
      </c>
      <c r="F19" s="337" t="n">
        <v>0.02</v>
      </c>
      <c r="G19" s="196" t="n">
        <v>65.70999999999999</v>
      </c>
      <c r="H19" s="196">
        <f>ROUND(F19*G19,2)</f>
        <v/>
      </c>
      <c r="I19" s="300" t="n"/>
      <c r="J19" s="300" t="n"/>
      <c r="K19" s="300" t="n"/>
      <c r="L19" s="300" t="n"/>
      <c r="M19" s="300" t="n"/>
    </row>
    <row r="20" ht="31.5" customFormat="1" customHeight="1" s="289">
      <c r="A20" s="337" t="n">
        <v>8</v>
      </c>
      <c r="B20" s="337" t="inlineStr">
        <is>
          <t> </t>
        </is>
      </c>
      <c r="C20" s="338" t="inlineStr">
        <is>
          <t>91.17.04-233</t>
        </is>
      </c>
      <c r="D20" s="338" t="inlineStr">
        <is>
          <t>Установки для сварки ручной дуговой (постоянного тока)</t>
        </is>
      </c>
      <c r="E20" s="195" t="inlineStr">
        <is>
          <t>маш.час</t>
        </is>
      </c>
      <c r="F20" s="337" t="n">
        <v>0.08</v>
      </c>
      <c r="G20" s="196" t="n">
        <v>8.1</v>
      </c>
      <c r="H20" s="196">
        <f>ROUND(F20*G20,2)</f>
        <v/>
      </c>
      <c r="I20" s="300" t="n"/>
      <c r="J20" s="300" t="n"/>
      <c r="K20" s="300" t="n"/>
      <c r="L20" s="300" t="n"/>
      <c r="M20" s="300" t="n"/>
    </row>
    <row r="21" ht="47.25" customFormat="1" customHeight="1" s="289">
      <c r="A21" s="337" t="n">
        <v>9</v>
      </c>
      <c r="B21" s="337" t="inlineStr">
        <is>
          <t> </t>
        </is>
      </c>
      <c r="C21" s="338" t="inlineStr">
        <is>
          <t>91.21.01-012</t>
        </is>
      </c>
      <c r="D21" s="338" t="inlineStr">
        <is>
          <t>Агрегаты окрасочные высокого давления для окраски поверхностей конструкций, мощность 1 кВт</t>
        </is>
      </c>
      <c r="E21" s="195" t="inlineStr">
        <is>
          <t>маш.час</t>
        </is>
      </c>
      <c r="F21" s="337" t="n">
        <v>0.06</v>
      </c>
      <c r="G21" s="196" t="n">
        <v>6.82</v>
      </c>
      <c r="H21" s="196">
        <f>ROUND(F21*G21,2)</f>
        <v/>
      </c>
      <c r="I21" s="300" t="n"/>
      <c r="J21" s="300" t="n"/>
      <c r="K21" s="300" t="n"/>
      <c r="L21" s="300" t="n"/>
      <c r="M21" s="300" t="n"/>
    </row>
    <row r="22">
      <c r="A22" s="336" t="inlineStr">
        <is>
          <t>Оборудование</t>
        </is>
      </c>
      <c r="B22" s="413" t="n"/>
      <c r="C22" s="413" t="n"/>
      <c r="D22" s="413" t="n"/>
      <c r="E22" s="414" t="n"/>
      <c r="F22" s="336" t="n"/>
      <c r="G22" s="189" t="n"/>
      <c r="H22" s="189">
        <f>SUM(H23:H23)</f>
        <v/>
      </c>
    </row>
    <row r="23" customFormat="1" s="289">
      <c r="A23" s="337" t="n">
        <v>10</v>
      </c>
      <c r="B23" s="337" t="inlineStr">
        <is>
          <t> </t>
        </is>
      </c>
      <c r="C23" s="318" t="inlineStr">
        <is>
          <t>Прайс из СД ОП</t>
        </is>
      </c>
      <c r="D23" s="338" t="inlineStr">
        <is>
          <t>Турникет трипод электромеханический</t>
        </is>
      </c>
      <c r="E23" s="195" t="inlineStr">
        <is>
          <t>шт.</t>
        </is>
      </c>
      <c r="F23" s="337" t="n">
        <v>1</v>
      </c>
      <c r="G23" s="196" t="n">
        <v>54747.6</v>
      </c>
      <c r="H23" s="196">
        <f>ROUND(F23*G23,2)</f>
        <v/>
      </c>
      <c r="I23" s="300" t="n"/>
      <c r="J23" s="300" t="n"/>
      <c r="K23" s="300" t="n"/>
      <c r="L23" s="300" t="n"/>
      <c r="M23" s="300" t="n"/>
    </row>
    <row r="24">
      <c r="A24" s="336" t="inlineStr">
        <is>
          <t>Материалы</t>
        </is>
      </c>
      <c r="B24" s="413" t="n"/>
      <c r="C24" s="413" t="n"/>
      <c r="D24" s="413" t="n"/>
      <c r="E24" s="414" t="n"/>
      <c r="F24" s="336" t="n"/>
      <c r="G24" s="189" t="n"/>
      <c r="H24" s="189">
        <f>SUM(H25:H36)</f>
        <v/>
      </c>
    </row>
    <row r="25" ht="31.5" customHeight="1" s="298">
      <c r="A25" s="337" t="n">
        <v>11</v>
      </c>
      <c r="B25" s="337" t="inlineStr">
        <is>
          <t> </t>
        </is>
      </c>
      <c r="C25" s="318" t="inlineStr">
        <is>
          <t>08.3.05.02-0052</t>
        </is>
      </c>
      <c r="D25" s="338" t="inlineStr">
        <is>
          <t>Прокат толстолистовой горячекатаный марка стали Ст3, толщина 2-6 мм</t>
        </is>
      </c>
      <c r="E25" s="195" t="inlineStr">
        <is>
          <t>т</t>
        </is>
      </c>
      <c r="F25" s="337" t="n">
        <v>0.013</v>
      </c>
      <c r="G25" s="196" t="n">
        <v>5941.89</v>
      </c>
      <c r="H25" s="196">
        <f>ROUND(F25*G25,2)</f>
        <v/>
      </c>
    </row>
    <row r="26">
      <c r="A26" s="337" t="n">
        <v>12</v>
      </c>
      <c r="B26" s="337" t="inlineStr">
        <is>
          <t> </t>
        </is>
      </c>
      <c r="C26" s="318" t="inlineStr">
        <is>
          <t>08.3.08.02-0023</t>
        </is>
      </c>
      <c r="D26" s="338" t="inlineStr">
        <is>
          <t>Уголок горячекатаный, размер 60х60 мм</t>
        </is>
      </c>
      <c r="E26" s="195" t="inlineStr">
        <is>
          <t>т</t>
        </is>
      </c>
      <c r="F26" s="337" t="n">
        <v>0.01</v>
      </c>
      <c r="G26" s="196" t="n">
        <v>5548.88</v>
      </c>
      <c r="H26" s="196">
        <f>ROUND(F26*G26,2)</f>
        <v/>
      </c>
    </row>
    <row r="27" ht="31.5" customHeight="1" s="298">
      <c r="A27" s="337" t="n">
        <v>13</v>
      </c>
      <c r="B27" s="337" t="inlineStr">
        <is>
          <t> </t>
        </is>
      </c>
      <c r="C27" s="318" t="inlineStr">
        <is>
          <t>01.7.15.12-0046</t>
        </is>
      </c>
      <c r="D27" s="338" t="inlineStr">
        <is>
          <t>Шпильки оцинкованные стяжные, диаметр 16 мм, длина 300 мм</t>
        </is>
      </c>
      <c r="E27" s="195" t="inlineStr">
        <is>
          <t>т</t>
        </is>
      </c>
      <c r="F27" s="337" t="n">
        <v>0.004</v>
      </c>
      <c r="G27" s="196" t="n">
        <v>13615.1</v>
      </c>
      <c r="H27" s="196">
        <f>ROUND(F27*G27,2)</f>
        <v/>
      </c>
    </row>
    <row r="28" ht="31.5" customHeight="1" s="298">
      <c r="A28" s="337" t="n">
        <v>14</v>
      </c>
      <c r="B28" s="337" t="inlineStr">
        <is>
          <t> </t>
        </is>
      </c>
      <c r="C28" s="318" t="inlineStr">
        <is>
          <t>08.3.05.02-0058</t>
        </is>
      </c>
      <c r="D28" s="338" t="inlineStr">
        <is>
          <t>Прокат толстолистовой горячекатаный в листах, марка стали Ст3, толщина 6-8 мм</t>
        </is>
      </c>
      <c r="E28" s="195" t="inlineStr">
        <is>
          <t>т</t>
        </is>
      </c>
      <c r="F28" s="337" t="n">
        <v>0.006</v>
      </c>
      <c r="G28" s="196" t="n">
        <v>5891.61</v>
      </c>
      <c r="H28" s="196">
        <f>ROUND(F28*G28,2)</f>
        <v/>
      </c>
    </row>
    <row r="29">
      <c r="A29" s="337" t="n">
        <v>15</v>
      </c>
      <c r="B29" s="337" t="inlineStr">
        <is>
          <t> </t>
        </is>
      </c>
      <c r="C29" s="318" t="inlineStr">
        <is>
          <t>14.4.04.09-0017</t>
        </is>
      </c>
      <c r="D29" s="338" t="inlineStr">
        <is>
          <t>Эмаль ХВ-124, защитная, зеленая</t>
        </is>
      </c>
      <c r="E29" s="195" t="inlineStr">
        <is>
          <t>т</t>
        </is>
      </c>
      <c r="F29" s="337" t="n">
        <v>0.00113</v>
      </c>
      <c r="G29" s="196" t="n">
        <v>28300.4</v>
      </c>
      <c r="H29" s="196">
        <f>ROUND(F29*G29,2)</f>
        <v/>
      </c>
    </row>
    <row r="30">
      <c r="A30" s="337" t="n">
        <v>16</v>
      </c>
      <c r="B30" s="337" t="inlineStr">
        <is>
          <t> </t>
        </is>
      </c>
      <c r="C30" s="318" t="inlineStr">
        <is>
          <t>14.4.01.01-0003</t>
        </is>
      </c>
      <c r="D30" s="338" t="inlineStr">
        <is>
          <t>Грунтовка ГФ-021</t>
        </is>
      </c>
      <c r="E30" s="195" t="inlineStr">
        <is>
          <t>т</t>
        </is>
      </c>
      <c r="F30" s="337" t="n">
        <v>0.00088</v>
      </c>
      <c r="G30" s="196" t="n">
        <v>15620</v>
      </c>
      <c r="H30" s="196">
        <f>ROUND(F30*G30,2)</f>
        <v/>
      </c>
    </row>
    <row r="31">
      <c r="A31" s="337" t="n">
        <v>17</v>
      </c>
      <c r="B31" s="337" t="inlineStr">
        <is>
          <t> </t>
        </is>
      </c>
      <c r="C31" s="318" t="inlineStr">
        <is>
          <t>01.7.11.07-0032</t>
        </is>
      </c>
      <c r="D31" s="338" t="inlineStr">
        <is>
          <t>Электроды сварочные Э42, диаметр 4 мм</t>
        </is>
      </c>
      <c r="E31" s="195" t="inlineStr">
        <is>
          <t>т</t>
        </is>
      </c>
      <c r="F31" s="337" t="n">
        <v>0.00072</v>
      </c>
      <c r="G31" s="196" t="n">
        <v>10315.01</v>
      </c>
      <c r="H31" s="196">
        <f>ROUND(F31*G31,2)</f>
        <v/>
      </c>
    </row>
    <row r="32">
      <c r="A32" s="337" t="n">
        <v>18</v>
      </c>
      <c r="B32" s="337" t="inlineStr">
        <is>
          <t> </t>
        </is>
      </c>
      <c r="C32" s="318" t="inlineStr">
        <is>
          <t>14.5.09.07-0030</t>
        </is>
      </c>
      <c r="D32" s="338" t="inlineStr">
        <is>
          <t>Растворитель Р-4</t>
        </is>
      </c>
      <c r="E32" s="195" t="inlineStr">
        <is>
          <t>кг</t>
        </is>
      </c>
      <c r="F32" s="337" t="n">
        <v>0.48</v>
      </c>
      <c r="G32" s="196" t="n">
        <v>9.42</v>
      </c>
      <c r="H32" s="196">
        <f>ROUND(F32*G32,2)</f>
        <v/>
      </c>
    </row>
    <row r="33">
      <c r="A33" s="337" t="n">
        <v>19</v>
      </c>
      <c r="B33" s="337" t="inlineStr">
        <is>
          <t> </t>
        </is>
      </c>
      <c r="C33" s="318" t="inlineStr">
        <is>
          <t>01.7.15.11-0048</t>
        </is>
      </c>
      <c r="D33" s="338" t="inlineStr">
        <is>
          <t>Шайбы оцинкованные, диаметр 16 мм</t>
        </is>
      </c>
      <c r="E33" s="195" t="inlineStr">
        <is>
          <t>кг</t>
        </is>
      </c>
      <c r="F33" s="337" t="n">
        <v>0.13</v>
      </c>
      <c r="G33" s="196" t="n">
        <v>31.17</v>
      </c>
      <c r="H33" s="196">
        <f>ROUND(F33*G33,2)</f>
        <v/>
      </c>
    </row>
    <row r="34" ht="31.5" customHeight="1" s="298">
      <c r="A34" s="337" t="n">
        <v>20</v>
      </c>
      <c r="B34" s="337" t="inlineStr">
        <is>
          <t> </t>
        </is>
      </c>
      <c r="C34" s="318" t="inlineStr">
        <is>
          <t>999-9950</t>
        </is>
      </c>
      <c r="D34" s="338" t="inlineStr">
        <is>
          <t>Вспомогательные ненормируемые ресурсы (2% от Оплаты труда рабочих)</t>
        </is>
      </c>
      <c r="E34" s="195" t="inlineStr">
        <is>
          <t>руб</t>
        </is>
      </c>
      <c r="F34" s="337" t="n">
        <v>0.41</v>
      </c>
      <c r="G34" s="196" t="n">
        <v>1</v>
      </c>
      <c r="H34" s="196">
        <f>ROUND(F34*G34,2)</f>
        <v/>
      </c>
    </row>
    <row r="35">
      <c r="A35" s="337" t="n">
        <v>21</v>
      </c>
      <c r="B35" s="337" t="inlineStr">
        <is>
          <t> </t>
        </is>
      </c>
      <c r="C35" s="318" t="inlineStr">
        <is>
          <t>14.5.09.11-0102</t>
        </is>
      </c>
      <c r="D35" s="338" t="inlineStr">
        <is>
          <t>Уайт-спирит</t>
        </is>
      </c>
      <c r="E35" s="195" t="inlineStr">
        <is>
          <t>кг</t>
        </is>
      </c>
      <c r="F35" s="337" t="n">
        <v>0.06</v>
      </c>
      <c r="G35" s="196" t="n">
        <v>6.67</v>
      </c>
      <c r="H35" s="196">
        <f>ROUND(F35*G35,2)</f>
        <v/>
      </c>
    </row>
    <row r="36" ht="31.5" customHeight="1" s="298">
      <c r="A36" s="337" t="n">
        <v>22</v>
      </c>
      <c r="B36" s="337" t="inlineStr">
        <is>
          <t> </t>
        </is>
      </c>
      <c r="C36" s="318" t="inlineStr">
        <is>
          <t>01.7.15.03-0031</t>
        </is>
      </c>
      <c r="D36" s="338" t="inlineStr">
        <is>
          <t>Болты с гайками и шайбами оцинкованные, диаметр 6 мм</t>
        </is>
      </c>
      <c r="E36" s="195" t="inlineStr">
        <is>
          <t>кг</t>
        </is>
      </c>
      <c r="F36" s="337" t="n">
        <v>0.011</v>
      </c>
      <c r="G36" s="196" t="n">
        <v>28.22</v>
      </c>
      <c r="H36" s="196">
        <f>ROUND(F36*G36,2)</f>
        <v/>
      </c>
    </row>
    <row r="39">
      <c r="B39" s="300" t="inlineStr">
        <is>
          <t>Составил ______________________        Д.Ю. Нефедова</t>
        </is>
      </c>
    </row>
    <row r="40">
      <c r="B40" s="177" t="inlineStr">
        <is>
          <t xml:space="preserve">                         (подпись, инициалы, фамилия)</t>
        </is>
      </c>
    </row>
    <row r="42">
      <c r="B42" s="300" t="inlineStr">
        <is>
          <t>Проверил ______________________        А.В. Костянецкая</t>
        </is>
      </c>
    </row>
    <row r="43">
      <c r="B43" s="177" t="inlineStr">
        <is>
          <t xml:space="preserve">                        (подпись, инициалы, фамилия)</t>
        </is>
      </c>
    </row>
  </sheetData>
  <mergeCells count="15">
    <mergeCell ref="A3:H3"/>
    <mergeCell ref="A12:E12"/>
    <mergeCell ref="A24:E24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8" workbookViewId="0">
      <selection activeCell="C40" sqref="C40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9.140625" customWidth="1" style="298" min="7" max="10"/>
    <col width="13.5703125" customWidth="1" style="298" min="11" max="11"/>
    <col width="9.140625" customWidth="1" style="298" min="12" max="12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61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19" t="inlineStr">
        <is>
          <t>Ресурсная модель</t>
        </is>
      </c>
    </row>
    <row r="6">
      <c r="B6" s="161" t="n"/>
      <c r="C6" s="294" t="n"/>
      <c r="D6" s="294" t="n"/>
      <c r="E6" s="294" t="n"/>
    </row>
    <row r="7" ht="25.5" customHeight="1" s="298">
      <c r="B7" s="339" t="inlineStr">
        <is>
          <t>Наименование разрабатываемого показателя УНЦ — Комплекс систем безопасности ПС. Устройство турникета</t>
        </is>
      </c>
    </row>
    <row r="8">
      <c r="B8" s="340" t="inlineStr">
        <is>
          <t>Единица измерения  —  1 ед.</t>
        </is>
      </c>
    </row>
    <row r="9">
      <c r="B9" s="161" t="n"/>
      <c r="C9" s="294" t="n"/>
      <c r="D9" s="294" t="n"/>
      <c r="E9" s="294" t="n"/>
    </row>
    <row r="10" ht="51" customHeight="1" s="298">
      <c r="B10" s="348" t="inlineStr">
        <is>
          <t>Наименование</t>
        </is>
      </c>
      <c r="C10" s="348" t="inlineStr">
        <is>
          <t>Сметная стоимость в ценах на 01.01.2023
 (руб.)</t>
        </is>
      </c>
      <c r="D10" s="348" t="inlineStr">
        <is>
          <t>Удельный вес, 
(в СМР)</t>
        </is>
      </c>
      <c r="E10" s="348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246" t="inlineStr">
        <is>
          <t>Эксплуатация машин основных</t>
        </is>
      </c>
      <c r="C12" s="156">
        <f>'Прил.5 Расчет СМР и ОБ'!J22</f>
        <v/>
      </c>
      <c r="D12" s="157">
        <f>C12/$C$24</f>
        <v/>
      </c>
      <c r="E12" s="157">
        <f>C12/$C$40</f>
        <v/>
      </c>
    </row>
    <row r="13">
      <c r="B13" s="246" t="inlineStr">
        <is>
          <t>Эксплуатация машин прочих</t>
        </is>
      </c>
      <c r="C13" s="156">
        <f>'Прил.5 Расчет СМР и ОБ'!J27</f>
        <v/>
      </c>
      <c r="D13" s="157">
        <f>C13/$C$24</f>
        <v/>
      </c>
      <c r="E13" s="157">
        <f>C13/$C$40</f>
        <v/>
      </c>
    </row>
    <row r="14">
      <c r="B14" s="246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246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246" t="inlineStr">
        <is>
          <t>Материалы основные</t>
        </is>
      </c>
      <c r="C16" s="156">
        <f>'Прил.5 Расчет СМР и ОБ'!J43</f>
        <v/>
      </c>
      <c r="D16" s="157">
        <f>C16/$C$24</f>
        <v/>
      </c>
      <c r="E16" s="157">
        <f>C16/$C$40</f>
        <v/>
      </c>
    </row>
    <row r="17">
      <c r="B17" s="246" t="inlineStr">
        <is>
          <t>Материалы прочие</t>
        </is>
      </c>
      <c r="C17" s="156">
        <f>'Прил.5 Расчет СМР и ОБ'!J51</f>
        <v/>
      </c>
      <c r="D17" s="157">
        <f>C17/$C$24</f>
        <v/>
      </c>
      <c r="E17" s="157">
        <f>C17/$C$40</f>
        <v/>
      </c>
    </row>
    <row r="18">
      <c r="B18" s="246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246" t="inlineStr">
        <is>
          <t>ИТОГО</t>
        </is>
      </c>
      <c r="C19" s="156">
        <f>C18+C14+C11</f>
        <v/>
      </c>
      <c r="D19" s="157" t="n"/>
      <c r="E19" s="246" t="n"/>
    </row>
    <row r="20">
      <c r="B20" s="246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246" t="inlineStr">
        <is>
          <t>Сметная прибыль, %</t>
        </is>
      </c>
      <c r="C21" s="160">
        <f>'Прил.5 Расчет СМР и ОБ'!D55</f>
        <v/>
      </c>
      <c r="D21" s="157" t="n"/>
      <c r="E21" s="246" t="n"/>
    </row>
    <row r="22">
      <c r="B22" s="246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246" t="inlineStr">
        <is>
          <t>Накладные расходы, %</t>
        </is>
      </c>
      <c r="C23" s="160">
        <f>'Прил.5 Расчет СМР и ОБ'!D54</f>
        <v/>
      </c>
      <c r="D23" s="157" t="n"/>
      <c r="E23" s="246" t="n"/>
    </row>
    <row r="24">
      <c r="B24" s="246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8">
      <c r="B25" s="246" t="inlineStr">
        <is>
          <t>ВСЕГО стоимость оборудования, в том числе</t>
        </is>
      </c>
      <c r="C25" s="156">
        <f>'Прил.5 Расчет СМР и ОБ'!J34</f>
        <v/>
      </c>
      <c r="D25" s="157" t="n"/>
      <c r="E25" s="157">
        <f>C25/$C$40</f>
        <v/>
      </c>
    </row>
    <row r="26" ht="25.5" customHeight="1" s="298">
      <c r="B26" s="246" t="inlineStr">
        <is>
          <t>стоимость оборудования технологического</t>
        </is>
      </c>
      <c r="C26" s="156">
        <f>'Прил.5 Расчет СМР и ОБ'!J35</f>
        <v/>
      </c>
      <c r="D26" s="157" t="n"/>
      <c r="E26" s="157">
        <f>C26/$C$40</f>
        <v/>
      </c>
    </row>
    <row r="27">
      <c r="B27" s="246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8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158" t="n"/>
    </row>
    <row r="29" ht="25.5" customHeight="1" s="298">
      <c r="B29" s="246" t="inlineStr">
        <is>
          <t>Временные здания и сооружения - 3,9%</t>
        </is>
      </c>
      <c r="C29" s="159">
        <f>ROUND(C24*3.9%,2)</f>
        <v/>
      </c>
      <c r="D29" s="246" t="n"/>
      <c r="E29" s="157">
        <f>C29/$C$40</f>
        <v/>
      </c>
    </row>
    <row r="30" ht="38.25" customHeight="1" s="298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85">
        <f>ROUND((C24+C29)*2.1%,2)</f>
        <v/>
      </c>
      <c r="D30" s="286" t="n"/>
      <c r="E30" s="157">
        <f>C30/$C$40</f>
        <v/>
      </c>
      <c r="F30" s="158" t="n"/>
    </row>
    <row r="31">
      <c r="B31" s="246" t="inlineStr">
        <is>
          <t>Пусконаладочные работы</t>
        </is>
      </c>
      <c r="C31" s="285" t="n">
        <v>11650</v>
      </c>
      <c r="D31" s="286" t="n"/>
      <c r="E31" s="157">
        <f>C31/$C$40</f>
        <v/>
      </c>
    </row>
    <row r="32" ht="25.5" customHeight="1" s="298">
      <c r="B32" s="246" t="inlineStr">
        <is>
          <t>Затраты по перевозке работников к месту работы и обратно</t>
        </is>
      </c>
      <c r="C32" s="285" t="n">
        <v>0</v>
      </c>
      <c r="D32" s="286" t="n"/>
      <c r="E32" s="157">
        <f>C32/$C$40</f>
        <v/>
      </c>
    </row>
    <row r="33" ht="25.5" customHeight="1" s="298">
      <c r="B33" s="246" t="inlineStr">
        <is>
          <t>Затраты, связанные с осуществлением работ вахтовым методом</t>
        </is>
      </c>
      <c r="C33" s="285">
        <f>ROUND($C$27*0,2)</f>
        <v/>
      </c>
      <c r="D33" s="286" t="n"/>
      <c r="E33" s="157">
        <f>C33/$C$40</f>
        <v/>
      </c>
    </row>
    <row r="34" ht="51" customHeight="1" s="298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246" t="n"/>
      <c r="E34" s="157">
        <f>C34/$C$40</f>
        <v/>
      </c>
      <c r="G34" s="197" t="n"/>
    </row>
    <row r="35" ht="76.5" customHeight="1" s="298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 t="n">
        <v>0</v>
      </c>
      <c r="D35" s="246" t="n"/>
      <c r="E35" s="157">
        <f>C35/$C$40</f>
        <v/>
      </c>
    </row>
    <row r="36" ht="25.5" customHeight="1" s="298">
      <c r="B36" s="246" t="inlineStr">
        <is>
          <t>Строительный контроль и содержание службы заказчика - 1,72%</t>
        </is>
      </c>
      <c r="C36" s="159">
        <f>ROUND((C27+C32+C33+C34+C35+C29+C31+C30)*1.72%,2)</f>
        <v/>
      </c>
      <c r="D36" s="246" t="n"/>
      <c r="E36" s="157">
        <f>C36/$C$40</f>
        <v/>
      </c>
      <c r="K36" s="158" t="n"/>
    </row>
    <row r="37">
      <c r="B37" s="246" t="inlineStr">
        <is>
          <t>Авторский надзор - 0,2%</t>
        </is>
      </c>
      <c r="C37" s="159">
        <f>ROUND((C27+C32+C33+C34+C35+C29+C31+C30)*0.2%,2)</f>
        <v/>
      </c>
      <c r="D37" s="246" t="n"/>
      <c r="E37" s="157">
        <f>C37/$C$40</f>
        <v/>
      </c>
      <c r="K37" s="158" t="n"/>
    </row>
    <row r="38" ht="38.25" customHeight="1" s="298">
      <c r="B38" s="246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46" t="n"/>
      <c r="E38" s="157">
        <f>C38/$C$40</f>
        <v/>
      </c>
    </row>
    <row r="39" ht="13.5" customHeight="1" s="298">
      <c r="B39" s="246" t="inlineStr">
        <is>
          <t>Непредвиденные расходы</t>
        </is>
      </c>
      <c r="C39" s="156">
        <f>ROUND(C38*3%,2)</f>
        <v/>
      </c>
      <c r="D39" s="246" t="n"/>
      <c r="E39" s="157">
        <f>C39/$C$38</f>
        <v/>
      </c>
    </row>
    <row r="40">
      <c r="B40" s="246" t="inlineStr">
        <is>
          <t>ВСЕГО:</t>
        </is>
      </c>
      <c r="C40" s="156">
        <f>C39+C38</f>
        <v/>
      </c>
      <c r="D40" s="246" t="n"/>
      <c r="E40" s="157">
        <f>C40/$C$40</f>
        <v/>
      </c>
    </row>
    <row r="41">
      <c r="B41" s="246" t="inlineStr">
        <is>
          <t>ИТОГО ПОКАЗАТЕЛЬ НА ЕД. ИЗМ.</t>
        </is>
      </c>
      <c r="C41" s="156">
        <f>C40/'Прил.5 Расчет СМР и ОБ'!E58</f>
        <v/>
      </c>
      <c r="D41" s="246" t="n"/>
      <c r="E41" s="246" t="n"/>
    </row>
    <row r="42">
      <c r="B42" s="163" t="n"/>
      <c r="C42" s="294" t="n"/>
      <c r="D42" s="294" t="n"/>
      <c r="E42" s="294" t="n"/>
    </row>
    <row r="43">
      <c r="B43" s="163" t="inlineStr">
        <is>
          <t>Составил ____________________________ Д.Ю. Нефедова</t>
        </is>
      </c>
      <c r="C43" s="294" t="n"/>
      <c r="D43" s="294" t="n"/>
      <c r="E43" s="294" t="n"/>
    </row>
    <row r="44">
      <c r="B44" s="163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163" t="n"/>
      <c r="C45" s="294" t="n"/>
      <c r="D45" s="294" t="n"/>
      <c r="E45" s="294" t="n"/>
    </row>
    <row r="46">
      <c r="B46" s="163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40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zoomScale="85" workbookViewId="0">
      <selection activeCell="A8" sqref="A8:XFD8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2.7109375" customWidth="1" style="295" min="5" max="5"/>
    <col width="15" customWidth="1" style="295" min="6" max="6"/>
    <col width="13.4257812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9.140625" customWidth="1" style="295" min="12" max="12"/>
    <col width="9.140625" customWidth="1" style="298" min="13" max="13"/>
  </cols>
  <sheetData>
    <row r="1" s="298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298">
      <c r="A2" s="295" t="n"/>
      <c r="B2" s="295" t="n"/>
      <c r="C2" s="295" t="n"/>
      <c r="D2" s="295" t="n"/>
      <c r="E2" s="295" t="n"/>
      <c r="F2" s="295" t="n"/>
      <c r="G2" s="295" t="n"/>
      <c r="H2" s="356" t="inlineStr">
        <is>
          <t>Приложение №5</t>
        </is>
      </c>
      <c r="K2" s="295" t="n"/>
      <c r="L2" s="295" t="n"/>
      <c r="M2" s="295" t="n"/>
      <c r="N2" s="295" t="n"/>
    </row>
    <row r="3" s="298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4">
      <c r="A4" s="319" t="inlineStr">
        <is>
          <t>Расчет стоимости СМР и оборудования</t>
        </is>
      </c>
    </row>
    <row r="5" ht="12.75" customFormat="1" customHeight="1" s="294">
      <c r="A5" s="319" t="n"/>
      <c r="B5" s="319" t="n"/>
      <c r="C5" s="369" t="n"/>
      <c r="D5" s="319" t="n"/>
      <c r="E5" s="319" t="n"/>
      <c r="F5" s="319" t="n"/>
      <c r="G5" s="319" t="n"/>
      <c r="H5" s="319" t="n"/>
      <c r="I5" s="319" t="n"/>
      <c r="J5" s="319" t="n"/>
    </row>
    <row r="6" ht="12.75" customFormat="1" customHeight="1" s="294">
      <c r="A6" s="203" t="inlineStr">
        <is>
          <t>Наименование разрабатываемого показателя УНЦ</t>
        </is>
      </c>
      <c r="B6" s="204" t="n"/>
      <c r="C6" s="204" t="n"/>
      <c r="D6" s="360" t="inlineStr">
        <is>
          <t>Комплекс систем безопасности ПС. Устройство турникета</t>
        </is>
      </c>
    </row>
    <row r="7" ht="12.75" customFormat="1" customHeight="1" s="294">
      <c r="A7" s="322" t="inlineStr">
        <is>
          <t>Единица измерения  — 1 ед.</t>
        </is>
      </c>
      <c r="I7" s="339" t="n"/>
      <c r="J7" s="339" t="n"/>
    </row>
    <row r="8" ht="13.15" customFormat="1" customHeight="1" s="294"/>
    <row r="9" ht="27" customHeight="1" s="298">
      <c r="A9" s="348" t="inlineStr">
        <is>
          <t>№ пп.</t>
        </is>
      </c>
      <c r="B9" s="348" t="inlineStr">
        <is>
          <t>Код ресурса</t>
        </is>
      </c>
      <c r="C9" s="348" t="inlineStr">
        <is>
          <t>Наименование</t>
        </is>
      </c>
      <c r="D9" s="348" t="inlineStr">
        <is>
          <t>Ед. изм.</t>
        </is>
      </c>
      <c r="E9" s="348" t="inlineStr">
        <is>
          <t>Кол-во единиц по проектным данным</t>
        </is>
      </c>
      <c r="F9" s="348" t="inlineStr">
        <is>
          <t>Сметная стоимость в ценах на 01.01.2000 (руб.)</t>
        </is>
      </c>
      <c r="G9" s="414" t="n"/>
      <c r="H9" s="348" t="inlineStr">
        <is>
          <t>Удельный вес, %</t>
        </is>
      </c>
      <c r="I9" s="348" t="inlineStr">
        <is>
          <t>Сметная стоимость в ценах на 01.01.2023 (руб.)</t>
        </is>
      </c>
      <c r="J9" s="414" t="n"/>
      <c r="K9" s="295" t="n"/>
      <c r="L9" s="295" t="n"/>
      <c r="M9" s="295" t="n"/>
      <c r="N9" s="295" t="n"/>
    </row>
    <row r="10" ht="28.5" customHeight="1" s="298">
      <c r="A10" s="416" t="n"/>
      <c r="B10" s="416" t="n"/>
      <c r="C10" s="416" t="n"/>
      <c r="D10" s="416" t="n"/>
      <c r="E10" s="416" t="n"/>
      <c r="F10" s="348" t="inlineStr">
        <is>
          <t>на ед. изм.</t>
        </is>
      </c>
      <c r="G10" s="348" t="inlineStr">
        <is>
          <t>общая</t>
        </is>
      </c>
      <c r="H10" s="416" t="n"/>
      <c r="I10" s="348" t="inlineStr">
        <is>
          <t>на ед. изм.</t>
        </is>
      </c>
      <c r="J10" s="348" t="inlineStr">
        <is>
          <t>общая</t>
        </is>
      </c>
      <c r="K10" s="295" t="n"/>
      <c r="L10" s="295" t="n"/>
      <c r="M10" s="295" t="n"/>
      <c r="N10" s="295" t="n"/>
    </row>
    <row r="11" s="298">
      <c r="A11" s="348" t="n">
        <v>1</v>
      </c>
      <c r="B11" s="348" t="n">
        <v>2</v>
      </c>
      <c r="C11" s="348" t="n">
        <v>3</v>
      </c>
      <c r="D11" s="348" t="n">
        <v>4</v>
      </c>
      <c r="E11" s="348" t="n">
        <v>5</v>
      </c>
      <c r="F11" s="348" t="n">
        <v>6</v>
      </c>
      <c r="G11" s="348" t="n">
        <v>7</v>
      </c>
      <c r="H11" s="348" t="n">
        <v>8</v>
      </c>
      <c r="I11" s="342" t="n">
        <v>9</v>
      </c>
      <c r="J11" s="342" t="n">
        <v>10</v>
      </c>
      <c r="K11" s="295" t="n"/>
      <c r="L11" s="295" t="n"/>
      <c r="M11" s="295" t="n"/>
      <c r="N11" s="295" t="n"/>
    </row>
    <row r="12">
      <c r="A12" s="348" t="n"/>
      <c r="B12" s="346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26" t="n"/>
      <c r="J12" s="226" t="n"/>
    </row>
    <row r="13" ht="25.5" customHeight="1" s="298">
      <c r="A13" s="348" t="n">
        <v>1</v>
      </c>
      <c r="B13" s="214" t="inlineStr">
        <is>
          <t>1-4-2</t>
        </is>
      </c>
      <c r="C13" s="347" t="inlineStr">
        <is>
          <t>Затраты труда рабочих-строителей среднего разряда (4,2)</t>
        </is>
      </c>
      <c r="D13" s="348" t="inlineStr">
        <is>
          <t>чел.-ч.</t>
        </is>
      </c>
      <c r="E13" s="417" t="n">
        <v>2.06</v>
      </c>
      <c r="F13" s="231" t="n">
        <v>9.92</v>
      </c>
      <c r="G13" s="231">
        <f>'Прил. 3'!H10</f>
        <v/>
      </c>
      <c r="H13" s="221">
        <f>G13/$G$14</f>
        <v/>
      </c>
      <c r="I13" s="231">
        <f>ФОТр.тек.!E13</f>
        <v/>
      </c>
      <c r="J13" s="231">
        <f>ROUND(I13*E13,2)</f>
        <v/>
      </c>
    </row>
    <row r="14" ht="25.5" customFormat="1" customHeight="1" s="295">
      <c r="A14" s="348" t="n"/>
      <c r="B14" s="348" t="n"/>
      <c r="C14" s="346" t="inlineStr">
        <is>
          <t>Итого по разделу "Затраты труда рабочих-строителей"</t>
        </is>
      </c>
      <c r="D14" s="348" t="inlineStr">
        <is>
          <t>чел.-ч.</t>
        </is>
      </c>
      <c r="E14" s="417">
        <f>SUM(E13:E13)</f>
        <v/>
      </c>
      <c r="F14" s="231" t="n"/>
      <c r="G14" s="231">
        <f>SUM(G13:G13)</f>
        <v/>
      </c>
      <c r="H14" s="351" t="n">
        <v>1</v>
      </c>
      <c r="I14" s="226" t="n"/>
      <c r="J14" s="231">
        <f>SUM(J13:J13)</f>
        <v/>
      </c>
    </row>
    <row r="15" ht="14.25" customFormat="1" customHeight="1" s="295">
      <c r="A15" s="348" t="n"/>
      <c r="B15" s="347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26" t="n"/>
      <c r="J15" s="226" t="n"/>
    </row>
    <row r="16" ht="14.25" customFormat="1" customHeight="1" s="295">
      <c r="A16" s="348" t="n">
        <v>2</v>
      </c>
      <c r="B16" s="348" t="n">
        <v>2</v>
      </c>
      <c r="C16" s="347" t="inlineStr">
        <is>
          <t>Затраты труда машинистов</t>
        </is>
      </c>
      <c r="D16" s="348" t="inlineStr">
        <is>
          <t>чел.-ч.</t>
        </is>
      </c>
      <c r="E16" s="417">
        <f>'Прил. 3'!F13</f>
        <v/>
      </c>
      <c r="F16" s="231">
        <f>G16/E16</f>
        <v/>
      </c>
      <c r="G16" s="231">
        <f>'Прил. 3'!H12</f>
        <v/>
      </c>
      <c r="H16" s="351" t="n">
        <v>1</v>
      </c>
      <c r="I16" s="231">
        <f>ROUND(F16*'Прил. 10'!D11,2)</f>
        <v/>
      </c>
      <c r="J16" s="231">
        <f>ROUND(I16*E16,2)</f>
        <v/>
      </c>
    </row>
    <row r="17" ht="14.25" customFormat="1" customHeight="1" s="295">
      <c r="A17" s="348" t="n"/>
      <c r="B17" s="346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226" t="n"/>
      <c r="J17" s="226" t="n"/>
    </row>
    <row r="18" ht="14.25" customFormat="1" customHeight="1" s="295">
      <c r="A18" s="348" t="n"/>
      <c r="B18" s="347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26" t="n"/>
      <c r="J18" s="226" t="n"/>
    </row>
    <row r="19" ht="25.5" customFormat="1" customHeight="1" s="295">
      <c r="A19" s="348" t="n">
        <v>3</v>
      </c>
      <c r="B19" s="214" t="inlineStr">
        <is>
          <t>91.21.12-002</t>
        </is>
      </c>
      <c r="C19" s="347" t="inlineStr">
        <is>
          <t>Ножницы листовые кривошипные гильотинные</t>
        </is>
      </c>
      <c r="D19" s="348" t="inlineStr">
        <is>
          <t>маш.час</t>
        </is>
      </c>
      <c r="E19" s="417" t="n">
        <v>0.3</v>
      </c>
      <c r="F19" s="350" t="n">
        <v>70</v>
      </c>
      <c r="G19" s="231">
        <f>ROUND(E19*F19,2)</f>
        <v/>
      </c>
      <c r="H19" s="221">
        <f>G19/$G$28</f>
        <v/>
      </c>
      <c r="I19" s="231">
        <f>ROUND(F19*'Прил. 10'!$D$12,2)</f>
        <v/>
      </c>
      <c r="J19" s="231">
        <f>ROUND(I19*E19,2)</f>
        <v/>
      </c>
    </row>
    <row r="20" ht="25.5" customFormat="1" customHeight="1" s="295">
      <c r="A20" s="348" t="n">
        <v>4</v>
      </c>
      <c r="B20" s="214" t="inlineStr">
        <is>
          <t>91.21.16-014</t>
        </is>
      </c>
      <c r="C20" s="347" t="inlineStr">
        <is>
          <t>Прессы листогибочные кривошипные 1000 кН (100 тс)</t>
        </is>
      </c>
      <c r="D20" s="348" t="inlineStr">
        <is>
          <t>маш.час</t>
        </is>
      </c>
      <c r="E20" s="417" t="n">
        <v>0.3</v>
      </c>
      <c r="F20" s="350" t="n">
        <v>56.24</v>
      </c>
      <c r="G20" s="231">
        <f>ROUND(E20*F20,2)</f>
        <v/>
      </c>
      <c r="H20" s="221">
        <f>G20/$G$28</f>
        <v/>
      </c>
      <c r="I20" s="231">
        <f>ROUND(F20*'Прил. 10'!$D$12,2)</f>
        <v/>
      </c>
      <c r="J20" s="231">
        <f>ROUND(I20*E20,2)</f>
        <v/>
      </c>
    </row>
    <row r="21" ht="25.5" customFormat="1" customHeight="1" s="295">
      <c r="A21" s="348" t="n">
        <v>5</v>
      </c>
      <c r="B21" s="214" t="inlineStr">
        <is>
          <t>91.21.16-013</t>
        </is>
      </c>
      <c r="C21" s="347" t="inlineStr">
        <is>
          <t>Прессы кривошипные простого действия 25 кН (2,5 тс)</t>
        </is>
      </c>
      <c r="D21" s="348" t="inlineStr">
        <is>
          <t>маш.час</t>
        </is>
      </c>
      <c r="E21" s="417" t="n">
        <v>0.3</v>
      </c>
      <c r="F21" s="350" t="n">
        <v>16.92</v>
      </c>
      <c r="G21" s="231">
        <f>ROUND(E21*F21,2)</f>
        <v/>
      </c>
      <c r="H21" s="221">
        <f>G21/$G$28</f>
        <v/>
      </c>
      <c r="I21" s="231">
        <f>ROUND(F21*'Прил. 10'!$D$12,2)</f>
        <v/>
      </c>
      <c r="J21" s="231">
        <f>ROUND(I21*E21,2)</f>
        <v/>
      </c>
    </row>
    <row r="22" ht="14.25" customFormat="1" customHeight="1" s="295">
      <c r="A22" s="348" t="n"/>
      <c r="B22" s="348" t="n"/>
      <c r="C22" s="347" t="inlineStr">
        <is>
          <t>Итого основные машины и механизмы</t>
        </is>
      </c>
      <c r="D22" s="348" t="n"/>
      <c r="E22" s="417" t="n"/>
      <c r="F22" s="231" t="n"/>
      <c r="G22" s="231">
        <f>SUM(G19:G21)</f>
        <v/>
      </c>
      <c r="H22" s="351">
        <f>G22/G28</f>
        <v/>
      </c>
      <c r="I22" s="232" t="n"/>
      <c r="J22" s="231">
        <f>SUM(J19:J21)</f>
        <v/>
      </c>
    </row>
    <row r="23" outlineLevel="1" ht="14.25" customFormat="1" customHeight="1" s="295">
      <c r="A23" s="348" t="n">
        <v>6</v>
      </c>
      <c r="B23" s="214" t="inlineStr">
        <is>
          <t>91.21.19-031</t>
        </is>
      </c>
      <c r="C23" s="347" t="inlineStr">
        <is>
          <t>Станки сверлильные</t>
        </is>
      </c>
      <c r="D23" s="348" t="inlineStr">
        <is>
          <t>маш.час</t>
        </is>
      </c>
      <c r="E23" s="417" t="n">
        <v>0.64</v>
      </c>
      <c r="F23" s="350" t="n">
        <v>2.36</v>
      </c>
      <c r="G23" s="231">
        <f>ROUND(E23*F23,2)</f>
        <v/>
      </c>
      <c r="H23" s="221">
        <f>G23/$G$28</f>
        <v/>
      </c>
      <c r="I23" s="231">
        <f>ROUND(F23*'Прил. 10'!$D$12,2)</f>
        <v/>
      </c>
      <c r="J23" s="231">
        <f>ROUND(I23*E23,2)</f>
        <v/>
      </c>
    </row>
    <row r="24" outlineLevel="1" ht="25.5" customFormat="1" customHeight="1" s="295">
      <c r="A24" s="348" t="n">
        <v>7</v>
      </c>
      <c r="B24" s="214" t="inlineStr">
        <is>
          <t>91.14.02-001</t>
        </is>
      </c>
      <c r="C24" s="347" t="inlineStr">
        <is>
          <t>Автомобили бортовые, грузоподъемность до 5 т</t>
        </is>
      </c>
      <c r="D24" s="348" t="inlineStr">
        <is>
          <t>маш.час</t>
        </is>
      </c>
      <c r="E24" s="417" t="n">
        <v>0.02</v>
      </c>
      <c r="F24" s="350" t="n">
        <v>65.70999999999999</v>
      </c>
      <c r="G24" s="231">
        <f>ROUND(E24*F24,2)</f>
        <v/>
      </c>
      <c r="H24" s="221">
        <f>G24/$G$28</f>
        <v/>
      </c>
      <c r="I24" s="231">
        <f>ROUND(F24*'Прил. 10'!$D$12,2)</f>
        <v/>
      </c>
      <c r="J24" s="231">
        <f>ROUND(I24*E24,2)</f>
        <v/>
      </c>
    </row>
    <row r="25" outlineLevel="1" ht="25.5" customFormat="1" customHeight="1" s="295">
      <c r="A25" s="348" t="n">
        <v>8</v>
      </c>
      <c r="B25" s="214" t="inlineStr">
        <is>
          <t>91.17.04-233</t>
        </is>
      </c>
      <c r="C25" s="347" t="inlineStr">
        <is>
          <t>Установки для сварки ручной дуговой (постоянного тока)</t>
        </is>
      </c>
      <c r="D25" s="348" t="inlineStr">
        <is>
          <t>маш.час</t>
        </is>
      </c>
      <c r="E25" s="417" t="n">
        <v>0.08</v>
      </c>
      <c r="F25" s="350" t="n">
        <v>8.1</v>
      </c>
      <c r="G25" s="231">
        <f>ROUND(E25*F25,2)</f>
        <v/>
      </c>
      <c r="H25" s="221">
        <f>G25/$G$28</f>
        <v/>
      </c>
      <c r="I25" s="231">
        <f>ROUND(F25*'Прил. 10'!$D$12,2)</f>
        <v/>
      </c>
      <c r="J25" s="231">
        <f>ROUND(I25*E25,2)</f>
        <v/>
      </c>
    </row>
    <row r="26" outlineLevel="1" ht="38.25" customFormat="1" customHeight="1" s="295">
      <c r="A26" s="348" t="n">
        <v>9</v>
      </c>
      <c r="B26" s="214" t="inlineStr">
        <is>
          <t>91.21.01-012</t>
        </is>
      </c>
      <c r="C26" s="347" t="inlineStr">
        <is>
          <t>Агрегаты окрасочные высокого давления для окраски поверхностей конструкций, мощность 1 кВт</t>
        </is>
      </c>
      <c r="D26" s="348" t="inlineStr">
        <is>
          <t>маш.час</t>
        </is>
      </c>
      <c r="E26" s="417" t="n">
        <v>0.06</v>
      </c>
      <c r="F26" s="350" t="n">
        <v>6.82</v>
      </c>
      <c r="G26" s="231">
        <f>ROUND(E26*F26,2)</f>
        <v/>
      </c>
      <c r="H26" s="221">
        <f>G26/$G$28</f>
        <v/>
      </c>
      <c r="I26" s="231">
        <f>ROUND(F26*'Прил. 10'!$D$12,2)</f>
        <v/>
      </c>
      <c r="J26" s="231">
        <f>ROUND(I26*E26,2)</f>
        <v/>
      </c>
    </row>
    <row r="27" ht="14.25" customFormat="1" customHeight="1" s="295">
      <c r="A27" s="348" t="n"/>
      <c r="B27" s="348" t="n"/>
      <c r="C27" s="347" t="inlineStr">
        <is>
          <t>Итого прочие машины и механизмы</t>
        </is>
      </c>
      <c r="D27" s="348" t="n"/>
      <c r="E27" s="349" t="n"/>
      <c r="F27" s="231" t="n"/>
      <c r="G27" s="232">
        <f>SUM(G23:G26)</f>
        <v/>
      </c>
      <c r="H27" s="221">
        <f>G27/G28</f>
        <v/>
      </c>
      <c r="I27" s="231" t="n"/>
      <c r="J27" s="231">
        <f>SUM(J23:J26)</f>
        <v/>
      </c>
    </row>
    <row r="28" ht="25.5" customFormat="1" customHeight="1" s="295">
      <c r="A28" s="348" t="n"/>
      <c r="B28" s="348" t="n"/>
      <c r="C28" s="346" t="inlineStr">
        <is>
          <t>Итого по разделу «Машины и механизмы»</t>
        </is>
      </c>
      <c r="D28" s="348" t="n"/>
      <c r="E28" s="349" t="n"/>
      <c r="F28" s="231" t="n"/>
      <c r="G28" s="231">
        <f>G27+G22</f>
        <v/>
      </c>
      <c r="H28" s="223">
        <f>H27+H22</f>
        <v/>
      </c>
      <c r="I28" s="224" t="n"/>
      <c r="J28" s="242">
        <f>J27+J22</f>
        <v/>
      </c>
    </row>
    <row r="29" ht="14.25" customFormat="1" customHeight="1" s="295">
      <c r="A29" s="348" t="n"/>
      <c r="B29" s="346" t="inlineStr">
        <is>
          <t>Оборудование</t>
        </is>
      </c>
      <c r="C29" s="413" t="n"/>
      <c r="D29" s="413" t="n"/>
      <c r="E29" s="413" t="n"/>
      <c r="F29" s="413" t="n"/>
      <c r="G29" s="413" t="n"/>
      <c r="H29" s="414" t="n"/>
      <c r="I29" s="226" t="n"/>
      <c r="J29" s="226" t="n"/>
    </row>
    <row r="30">
      <c r="A30" s="348" t="n"/>
      <c r="B30" s="347" t="inlineStr">
        <is>
          <t>Основное оборудование</t>
        </is>
      </c>
      <c r="C30" s="413" t="n"/>
      <c r="D30" s="413" t="n"/>
      <c r="E30" s="413" t="n"/>
      <c r="F30" s="413" t="n"/>
      <c r="G30" s="413" t="n"/>
      <c r="H30" s="414" t="n"/>
      <c r="I30" s="226" t="n"/>
      <c r="J30" s="226" t="n"/>
      <c r="K30" s="295" t="n"/>
      <c r="L30" s="295" t="n"/>
    </row>
    <row r="31" ht="14.25" customFormat="1" customHeight="1" s="295">
      <c r="A31" s="348" t="n">
        <v>10</v>
      </c>
      <c r="B31" s="283" t="inlineStr">
        <is>
          <t>БЦ.54.15</t>
        </is>
      </c>
      <c r="C31" s="282" t="inlineStr">
        <is>
          <t>Турникет трипод электромеханический</t>
        </is>
      </c>
      <c r="D31" s="283" t="inlineStr">
        <is>
          <t>шт.</t>
        </is>
      </c>
      <c r="E31" s="418" t="n">
        <v>1</v>
      </c>
      <c r="F31" s="350">
        <f>ROUND(I31/'Прил. 10'!$D$14,2)</f>
        <v/>
      </c>
      <c r="G31" s="231">
        <f>ROUND(E31*F31,2)</f>
        <v/>
      </c>
      <c r="H31" s="221">
        <f>G31/$G$34</f>
        <v/>
      </c>
      <c r="I31" s="231" t="n">
        <v>380800</v>
      </c>
      <c r="J31" s="231">
        <f>ROUND(I31*E31,2)</f>
        <v/>
      </c>
    </row>
    <row r="32">
      <c r="A32" s="348" t="n"/>
      <c r="B32" s="283" t="n"/>
      <c r="C32" s="282" t="inlineStr">
        <is>
          <t>Итого основное оборудование</t>
        </is>
      </c>
      <c r="D32" s="283" t="n"/>
      <c r="E32" s="417" t="n"/>
      <c r="F32" s="350" t="n"/>
      <c r="G32" s="231">
        <f>SUM(G31)</f>
        <v/>
      </c>
      <c r="H32" s="221">
        <f>G31/$G$34</f>
        <v/>
      </c>
      <c r="I32" s="232" t="n"/>
      <c r="J32" s="231">
        <f>SUM(J31)</f>
        <v/>
      </c>
      <c r="K32" s="295" t="n"/>
      <c r="L32" s="295" t="n"/>
    </row>
    <row r="33">
      <c r="A33" s="348" t="n"/>
      <c r="B33" s="283" t="n"/>
      <c r="C33" s="282" t="inlineStr">
        <is>
          <t>Итого прочее оборудование</t>
        </is>
      </c>
      <c r="D33" s="283" t="n"/>
      <c r="E33" s="417" t="n"/>
      <c r="F33" s="350" t="n"/>
      <c r="G33" s="231" t="n">
        <v>0</v>
      </c>
      <c r="H33" s="221">
        <f>G33/$G$34</f>
        <v/>
      </c>
      <c r="I33" s="232" t="n"/>
      <c r="J33" s="231" t="n">
        <v>0</v>
      </c>
      <c r="K33" s="295" t="n"/>
      <c r="L33" s="295" t="n"/>
    </row>
    <row r="34">
      <c r="A34" s="348" t="n"/>
      <c r="B34" s="283" t="n"/>
      <c r="C34" s="284" t="inlineStr">
        <is>
          <t>Итого по разделу «Оборудование»</t>
        </is>
      </c>
      <c r="D34" s="283" t="n"/>
      <c r="E34" s="349" t="n"/>
      <c r="F34" s="350" t="n"/>
      <c r="G34" s="231">
        <f>G32+G33</f>
        <v/>
      </c>
      <c r="H34" s="351" t="n">
        <v>1</v>
      </c>
      <c r="I34" s="232" t="n"/>
      <c r="J34" s="231">
        <f>J33+J32</f>
        <v/>
      </c>
      <c r="K34" s="295" t="n"/>
      <c r="L34" s="295" t="n"/>
    </row>
    <row r="35" ht="25.5" customHeight="1" s="298">
      <c r="A35" s="348" t="n"/>
      <c r="B35" s="283" t="n"/>
      <c r="C35" s="282" t="inlineStr">
        <is>
          <t>в том числе технологическое оборудование</t>
        </is>
      </c>
      <c r="D35" s="283" t="n"/>
      <c r="E35" s="418" t="n"/>
      <c r="F35" s="350" t="n"/>
      <c r="G35" s="231">
        <f>'Прил.6 Расчет ОБ'!G13</f>
        <v/>
      </c>
      <c r="H35" s="351" t="n"/>
      <c r="I35" s="232" t="n"/>
      <c r="J35" s="231">
        <f>ROUND(G35*'Прил. 10'!D14,2)</f>
        <v/>
      </c>
      <c r="K35" s="295" t="n"/>
      <c r="L35" s="295" t="n"/>
    </row>
    <row r="36" ht="14.25" customFormat="1" customHeight="1" s="295">
      <c r="A36" s="348" t="n"/>
      <c r="B36" s="346" t="inlineStr">
        <is>
          <t>Материалы</t>
        </is>
      </c>
      <c r="C36" s="413" t="n"/>
      <c r="D36" s="413" t="n"/>
      <c r="E36" s="413" t="n"/>
      <c r="F36" s="413" t="n"/>
      <c r="G36" s="413" t="n"/>
      <c r="H36" s="414" t="n"/>
      <c r="I36" s="226" t="n"/>
      <c r="J36" s="226" t="n"/>
    </row>
    <row r="37" ht="14.25" customFormat="1" customHeight="1" s="295">
      <c r="A37" s="342" t="n"/>
      <c r="B37" s="341" t="inlineStr">
        <is>
          <t>Основные материалы</t>
        </is>
      </c>
      <c r="C37" s="419" t="n"/>
      <c r="D37" s="419" t="n"/>
      <c r="E37" s="419" t="n"/>
      <c r="F37" s="419" t="n"/>
      <c r="G37" s="419" t="n"/>
      <c r="H37" s="420" t="n"/>
      <c r="I37" s="235" t="n"/>
      <c r="J37" s="235" t="n"/>
    </row>
    <row r="38" ht="25.5" customFormat="1" customHeight="1" s="295">
      <c r="A38" s="348" t="n">
        <v>11</v>
      </c>
      <c r="B38" s="348" t="inlineStr">
        <is>
          <t>08.3.05.02-0052</t>
        </is>
      </c>
      <c r="C38" s="347" t="inlineStr">
        <is>
          <t>Прокат толстолистовой горячекатаный марка стали Ст3, толщина 2-6 мм</t>
        </is>
      </c>
      <c r="D38" s="348" t="inlineStr">
        <is>
          <t>т</t>
        </is>
      </c>
      <c r="E38" s="418" t="n">
        <v>0.013</v>
      </c>
      <c r="F38" s="350" t="n">
        <v>5941.89</v>
      </c>
      <c r="G38" s="231">
        <f>ROUND(E38*F38,2)</f>
        <v/>
      </c>
      <c r="H38" s="221">
        <f>G38/$G$52</f>
        <v/>
      </c>
      <c r="I38" s="231">
        <f>ROUND(F38*'Прил. 10'!$D$13,2)</f>
        <v/>
      </c>
      <c r="J38" s="231">
        <f>ROUND(I38*E38,2)</f>
        <v/>
      </c>
    </row>
    <row r="39" ht="14.25" customFormat="1" customHeight="1" s="295">
      <c r="A39" s="348" t="n">
        <v>12</v>
      </c>
      <c r="B39" s="348" t="inlineStr">
        <is>
          <t>08.3.08.02-0023</t>
        </is>
      </c>
      <c r="C39" s="347" t="inlineStr">
        <is>
          <t>Уголок горячекатаный, размер 60х60 мм</t>
        </is>
      </c>
      <c r="D39" s="348" t="inlineStr">
        <is>
          <t>т</t>
        </is>
      </c>
      <c r="E39" s="418" t="n">
        <v>0.01</v>
      </c>
      <c r="F39" s="350" t="n">
        <v>5548.88</v>
      </c>
      <c r="G39" s="231">
        <f>ROUND(E39*F39,2)</f>
        <v/>
      </c>
      <c r="H39" s="221">
        <f>G39/$G$52</f>
        <v/>
      </c>
      <c r="I39" s="231">
        <f>ROUND(F39*'Прил. 10'!$D$13,2)</f>
        <v/>
      </c>
      <c r="J39" s="231">
        <f>ROUND(I39*E39,2)</f>
        <v/>
      </c>
    </row>
    <row r="40" ht="25.5" customFormat="1" customHeight="1" s="295">
      <c r="A40" s="348" t="n">
        <v>13</v>
      </c>
      <c r="B40" s="348" t="inlineStr">
        <is>
          <t>01.7.15.12-0046</t>
        </is>
      </c>
      <c r="C40" s="347" t="inlineStr">
        <is>
          <t>Шпильки оцинкованные стяжные, диаметр 16 мм, длина 300 мм</t>
        </is>
      </c>
      <c r="D40" s="348" t="inlineStr">
        <is>
          <t>т</t>
        </is>
      </c>
      <c r="E40" s="418" t="n">
        <v>0.004</v>
      </c>
      <c r="F40" s="350" t="n">
        <v>13615.1</v>
      </c>
      <c r="G40" s="231">
        <f>ROUND(E40*F40,2)</f>
        <v/>
      </c>
      <c r="H40" s="221">
        <f>G40/$G$52</f>
        <v/>
      </c>
      <c r="I40" s="231">
        <f>ROUND(F40*'Прил. 10'!$D$13,2)</f>
        <v/>
      </c>
      <c r="J40" s="231">
        <f>ROUND(I40*E40,2)</f>
        <v/>
      </c>
    </row>
    <row r="41" ht="25.5" customFormat="1" customHeight="1" s="295">
      <c r="A41" s="348" t="n">
        <v>14</v>
      </c>
      <c r="B41" s="348" t="inlineStr">
        <is>
          <t>08.3.05.02-0058</t>
        </is>
      </c>
      <c r="C41" s="347" t="inlineStr">
        <is>
          <t>Прокат толстолистовой горячекатаный в листах, марка стали Ст3, толщина 6-8 мм</t>
        </is>
      </c>
      <c r="D41" s="348" t="inlineStr">
        <is>
          <t>т</t>
        </is>
      </c>
      <c r="E41" s="418" t="n">
        <v>0.006</v>
      </c>
      <c r="F41" s="350" t="n">
        <v>5891.61</v>
      </c>
      <c r="G41" s="231">
        <f>ROUND(E41*F41,2)</f>
        <v/>
      </c>
      <c r="H41" s="221">
        <f>G41/$G$52</f>
        <v/>
      </c>
      <c r="I41" s="231">
        <f>ROUND(F41*'Прил. 10'!$D$13,2)</f>
        <v/>
      </c>
      <c r="J41" s="231">
        <f>ROUND(I41*E41,2)</f>
        <v/>
      </c>
    </row>
    <row r="42" ht="14.25" customFormat="1" customHeight="1" s="295">
      <c r="A42" s="348" t="n">
        <v>15</v>
      </c>
      <c r="B42" s="348" t="inlineStr">
        <is>
          <t>14.4.04.09-0017</t>
        </is>
      </c>
      <c r="C42" s="347" t="inlineStr">
        <is>
          <t>Эмаль ХВ-124, защитная, зеленая</t>
        </is>
      </c>
      <c r="D42" s="348" t="inlineStr">
        <is>
          <t>т</t>
        </is>
      </c>
      <c r="E42" s="418" t="n">
        <v>0.00113</v>
      </c>
      <c r="F42" s="350" t="n">
        <v>28300.4</v>
      </c>
      <c r="G42" s="231">
        <f>ROUND(E42*F42,2)</f>
        <v/>
      </c>
      <c r="H42" s="221">
        <f>G42/$G$52</f>
        <v/>
      </c>
      <c r="I42" s="231">
        <f>ROUND(F42*'Прил. 10'!$D$13,2)</f>
        <v/>
      </c>
      <c r="J42" s="231">
        <f>ROUND(I42*E42,2)</f>
        <v/>
      </c>
    </row>
    <row r="43" ht="14.25" customFormat="1" customHeight="1" s="295">
      <c r="A43" s="359" t="n"/>
      <c r="B43" s="237" t="n"/>
      <c r="C43" s="238" t="inlineStr">
        <is>
          <t>Итого основные материалы</t>
        </is>
      </c>
      <c r="D43" s="359" t="n"/>
      <c r="E43" s="421" t="n"/>
      <c r="F43" s="242" t="n"/>
      <c r="G43" s="242">
        <f>SUM(G38:G42)</f>
        <v/>
      </c>
      <c r="H43" s="221">
        <f>G43/$G$52</f>
        <v/>
      </c>
      <c r="I43" s="231" t="n"/>
      <c r="J43" s="242">
        <f>SUM(J38:J42)</f>
        <v/>
      </c>
      <c r="K43" s="26" t="n"/>
      <c r="L43" s="26" t="n"/>
    </row>
    <row r="44" outlineLevel="1" ht="14.25" customFormat="1" customHeight="1" s="295">
      <c r="A44" s="348" t="n">
        <v>16</v>
      </c>
      <c r="B44" s="348" t="inlineStr">
        <is>
          <t>14.4.01.01-0003</t>
        </is>
      </c>
      <c r="C44" s="347" t="inlineStr">
        <is>
          <t>Грунтовка ГФ-021</t>
        </is>
      </c>
      <c r="D44" s="348" t="inlineStr">
        <is>
          <t>т</t>
        </is>
      </c>
      <c r="E44" s="418" t="n">
        <v>0.00088</v>
      </c>
      <c r="F44" s="350" t="n">
        <v>15620</v>
      </c>
      <c r="G44" s="231">
        <f>ROUND(E44*F44,2)</f>
        <v/>
      </c>
      <c r="H44" s="221">
        <f>G44/$G$52</f>
        <v/>
      </c>
      <c r="I44" s="231">
        <f>ROUND(F44*'Прил. 10'!$D$13,2)</f>
        <v/>
      </c>
      <c r="J44" s="231">
        <f>ROUND(I44*E44,2)</f>
        <v/>
      </c>
    </row>
    <row r="45" outlineLevel="1" ht="14.25" customFormat="1" customHeight="1" s="295">
      <c r="A45" s="348" t="n">
        <v>17</v>
      </c>
      <c r="B45" s="348" t="inlineStr">
        <is>
          <t>01.7.11.07-0032</t>
        </is>
      </c>
      <c r="C45" s="347" t="inlineStr">
        <is>
          <t>Электроды сварочные Э42, диаметр 4 мм</t>
        </is>
      </c>
      <c r="D45" s="348" t="inlineStr">
        <is>
          <t>т</t>
        </is>
      </c>
      <c r="E45" s="418" t="n">
        <v>0.00072</v>
      </c>
      <c r="F45" s="350" t="n">
        <v>10315.01</v>
      </c>
      <c r="G45" s="231">
        <f>ROUND(E45*F45,2)</f>
        <v/>
      </c>
      <c r="H45" s="221">
        <f>G45/$G$52</f>
        <v/>
      </c>
      <c r="I45" s="231">
        <f>ROUND(F45*'Прил. 10'!$D$13,2)</f>
        <v/>
      </c>
      <c r="J45" s="231">
        <f>ROUND(I45*E45,2)</f>
        <v/>
      </c>
    </row>
    <row r="46" outlineLevel="1" ht="14.25" customFormat="1" customHeight="1" s="295">
      <c r="A46" s="348" t="n">
        <v>18</v>
      </c>
      <c r="B46" s="348" t="inlineStr">
        <is>
          <t>14.5.09.07-0030</t>
        </is>
      </c>
      <c r="C46" s="347" t="inlineStr">
        <is>
          <t>Растворитель Р-4</t>
        </is>
      </c>
      <c r="D46" s="348" t="inlineStr">
        <is>
          <t>кг</t>
        </is>
      </c>
      <c r="E46" s="418" t="n">
        <v>0.48</v>
      </c>
      <c r="F46" s="350" t="n">
        <v>9.42</v>
      </c>
      <c r="G46" s="231">
        <f>ROUND(E46*F46,2)</f>
        <v/>
      </c>
      <c r="H46" s="221">
        <f>G46/$G$52</f>
        <v/>
      </c>
      <c r="I46" s="231">
        <f>ROUND(F46*'Прил. 10'!$D$13,2)</f>
        <v/>
      </c>
      <c r="J46" s="231">
        <f>ROUND(I46*E46,2)</f>
        <v/>
      </c>
    </row>
    <row r="47" outlineLevel="1" ht="14.25" customFormat="1" customHeight="1" s="295">
      <c r="A47" s="348" t="n">
        <v>19</v>
      </c>
      <c r="B47" s="348" t="inlineStr">
        <is>
          <t>01.7.15.11-0048</t>
        </is>
      </c>
      <c r="C47" s="347" t="inlineStr">
        <is>
          <t>Шайбы оцинкованные, диаметр 16 мм</t>
        </is>
      </c>
      <c r="D47" s="348" t="inlineStr">
        <is>
          <t>кг</t>
        </is>
      </c>
      <c r="E47" s="418" t="n">
        <v>0.13</v>
      </c>
      <c r="F47" s="350" t="n">
        <v>31.17</v>
      </c>
      <c r="G47" s="231">
        <f>ROUND(E47*F47,2)</f>
        <v/>
      </c>
      <c r="H47" s="221">
        <f>G47/$G$52</f>
        <v/>
      </c>
      <c r="I47" s="231">
        <f>ROUND(F47*'Прил. 10'!$D$13,2)</f>
        <v/>
      </c>
      <c r="J47" s="231">
        <f>ROUND(I47*E47,2)</f>
        <v/>
      </c>
    </row>
    <row r="48" outlineLevel="1" ht="25.5" customFormat="1" customHeight="1" s="295">
      <c r="A48" s="348" t="n">
        <v>20</v>
      </c>
      <c r="B48" s="348" t="inlineStr">
        <is>
          <t>999-9950</t>
        </is>
      </c>
      <c r="C48" s="347" t="inlineStr">
        <is>
          <t>Вспомогательные ненормируемые ресурсы (2% от Оплаты труда рабочих)</t>
        </is>
      </c>
      <c r="D48" s="348" t="inlineStr">
        <is>
          <t>руб</t>
        </is>
      </c>
      <c r="E48" s="418" t="n">
        <v>0.41</v>
      </c>
      <c r="F48" s="350" t="n">
        <v>1</v>
      </c>
      <c r="G48" s="231">
        <f>ROUND(E48*F48,2)</f>
        <v/>
      </c>
      <c r="H48" s="221">
        <f>G48/$G$52</f>
        <v/>
      </c>
      <c r="I48" s="231">
        <f>ROUND(F48*'Прил. 10'!$D$13,2)</f>
        <v/>
      </c>
      <c r="J48" s="231">
        <f>ROUND(I48*E48,2)</f>
        <v/>
      </c>
    </row>
    <row r="49" outlineLevel="1" ht="14.25" customFormat="1" customHeight="1" s="295">
      <c r="A49" s="348" t="n">
        <v>21</v>
      </c>
      <c r="B49" s="348" t="inlineStr">
        <is>
          <t>14.5.09.11-0102</t>
        </is>
      </c>
      <c r="C49" s="347" t="inlineStr">
        <is>
          <t>Уайт-спирит</t>
        </is>
      </c>
      <c r="D49" s="348" t="inlineStr">
        <is>
          <t>кг</t>
        </is>
      </c>
      <c r="E49" s="418" t="n">
        <v>0.06</v>
      </c>
      <c r="F49" s="350" t="n">
        <v>6.67</v>
      </c>
      <c r="G49" s="231">
        <f>ROUND(E49*F49,2)</f>
        <v/>
      </c>
      <c r="H49" s="221">
        <f>G49/$G$52</f>
        <v/>
      </c>
      <c r="I49" s="231">
        <f>ROUND(F49*'Прил. 10'!$D$13,2)</f>
        <v/>
      </c>
      <c r="J49" s="231">
        <f>ROUND(I49*E49,2)</f>
        <v/>
      </c>
    </row>
    <row r="50" outlineLevel="1" ht="25.5" customFormat="1" customHeight="1" s="295">
      <c r="A50" s="348" t="n">
        <v>22</v>
      </c>
      <c r="B50" s="348" t="inlineStr">
        <is>
          <t>01.7.15.03-0031</t>
        </is>
      </c>
      <c r="C50" s="347" t="inlineStr">
        <is>
          <t>Болты с гайками и шайбами оцинкованные, диаметр 6 мм</t>
        </is>
      </c>
      <c r="D50" s="348" t="inlineStr">
        <is>
          <t>кг</t>
        </is>
      </c>
      <c r="E50" s="418" t="n">
        <v>0.011</v>
      </c>
      <c r="F50" s="350" t="n">
        <v>28.22</v>
      </c>
      <c r="G50" s="231">
        <f>ROUND(E50*F50,2)</f>
        <v/>
      </c>
      <c r="H50" s="221">
        <f>G50/$G$52</f>
        <v/>
      </c>
      <c r="I50" s="231">
        <f>ROUND(F50*'Прил. 10'!$D$13,2)</f>
        <v/>
      </c>
      <c r="J50" s="231">
        <f>ROUND(I50*E50,2)</f>
        <v/>
      </c>
    </row>
    <row r="51" ht="14.25" customFormat="1" customHeight="1" s="295">
      <c r="A51" s="348" t="n"/>
      <c r="B51" s="348" t="n"/>
      <c r="C51" s="347" t="inlineStr">
        <is>
          <t>Итого прочие материалы</t>
        </is>
      </c>
      <c r="D51" s="348" t="n"/>
      <c r="E51" s="349" t="n"/>
      <c r="F51" s="350" t="n"/>
      <c r="G51" s="231">
        <f>SUM(G44:G50)</f>
        <v/>
      </c>
      <c r="H51" s="221">
        <f>G51/$G$52</f>
        <v/>
      </c>
      <c r="I51" s="231" t="n"/>
      <c r="J51" s="231">
        <f>SUM(J44:J50)</f>
        <v/>
      </c>
    </row>
    <row r="52" ht="14.25" customFormat="1" customHeight="1" s="295">
      <c r="A52" s="348" t="n"/>
      <c r="B52" s="348" t="n"/>
      <c r="C52" s="346" t="inlineStr">
        <is>
          <t>Итого по разделу «Материалы»</t>
        </is>
      </c>
      <c r="D52" s="348" t="n"/>
      <c r="E52" s="349" t="n"/>
      <c r="F52" s="350" t="n"/>
      <c r="G52" s="231">
        <f>G43+G51</f>
        <v/>
      </c>
      <c r="H52" s="351">
        <f>G52/$G$52</f>
        <v/>
      </c>
      <c r="I52" s="231" t="n"/>
      <c r="J52" s="231">
        <f>J43+J51</f>
        <v/>
      </c>
    </row>
    <row r="53" ht="14.25" customFormat="1" customHeight="1" s="295">
      <c r="A53" s="348" t="n"/>
      <c r="B53" s="348" t="n"/>
      <c r="C53" s="347" t="inlineStr">
        <is>
          <t>ИТОГО ПО РМ</t>
        </is>
      </c>
      <c r="D53" s="348" t="n"/>
      <c r="E53" s="349" t="n"/>
      <c r="F53" s="350" t="n"/>
      <c r="G53" s="231">
        <f>G14+G28+G52</f>
        <v/>
      </c>
      <c r="H53" s="351" t="n"/>
      <c r="I53" s="231" t="n"/>
      <c r="J53" s="231">
        <f>J14+J28+J52</f>
        <v/>
      </c>
    </row>
    <row r="54" ht="14.25" customFormat="1" customHeight="1" s="295">
      <c r="A54" s="348" t="n"/>
      <c r="B54" s="348" t="n"/>
      <c r="C54" s="347" t="inlineStr">
        <is>
          <t>Накладные расходы</t>
        </is>
      </c>
      <c r="D54" s="243">
        <f>ROUND(G54/(G$16+$G$14),2)</f>
        <v/>
      </c>
      <c r="E54" s="349" t="n"/>
      <c r="F54" s="350" t="n"/>
      <c r="G54" s="231" t="n">
        <v>24.04</v>
      </c>
      <c r="H54" s="351" t="n"/>
      <c r="I54" s="231" t="n"/>
      <c r="J54" s="231">
        <f>ROUND(D54*(J14+J16),2)</f>
        <v/>
      </c>
    </row>
    <row r="55" ht="14.25" customFormat="1" customHeight="1" s="295">
      <c r="A55" s="348" t="n"/>
      <c r="B55" s="348" t="n"/>
      <c r="C55" s="347" t="inlineStr">
        <is>
          <t>Сметная прибыль</t>
        </is>
      </c>
      <c r="D55" s="243">
        <f>ROUND(G55/(G$14+G$16),2)</f>
        <v/>
      </c>
      <c r="E55" s="349" t="n"/>
      <c r="F55" s="350" t="n"/>
      <c r="G55" s="231" t="n">
        <v>12.29</v>
      </c>
      <c r="H55" s="351" t="n"/>
      <c r="I55" s="231" t="n"/>
      <c r="J55" s="231">
        <f>ROUND(D55*(J14+J16),2)</f>
        <v/>
      </c>
    </row>
    <row r="56" ht="14.25" customFormat="1" customHeight="1" s="295">
      <c r="A56" s="348" t="n"/>
      <c r="B56" s="348" t="n"/>
      <c r="C56" s="347" t="inlineStr">
        <is>
          <t>Итого СМР (с НР и СП)</t>
        </is>
      </c>
      <c r="D56" s="348" t="n"/>
      <c r="E56" s="349" t="n"/>
      <c r="F56" s="350" t="n"/>
      <c r="G56" s="231">
        <f>G14+G28+G52+G54+G55</f>
        <v/>
      </c>
      <c r="H56" s="351" t="n"/>
      <c r="I56" s="231" t="n"/>
      <c r="J56" s="231">
        <f>J14+J28+J52+J54+J55</f>
        <v/>
      </c>
    </row>
    <row r="57" ht="14.25" customFormat="1" customHeight="1" s="295">
      <c r="A57" s="348" t="n"/>
      <c r="B57" s="348" t="n"/>
      <c r="C57" s="347" t="inlineStr">
        <is>
          <t>ВСЕГО СМР + ОБОРУДОВАНИЕ</t>
        </is>
      </c>
      <c r="D57" s="348" t="n"/>
      <c r="E57" s="349" t="n"/>
      <c r="F57" s="350" t="n"/>
      <c r="G57" s="231">
        <f>G56+G34</f>
        <v/>
      </c>
      <c r="H57" s="351" t="n"/>
      <c r="I57" s="231" t="n"/>
      <c r="J57" s="231">
        <f>J56+J34</f>
        <v/>
      </c>
    </row>
    <row r="58" ht="34.5" customFormat="1" customHeight="1" s="295">
      <c r="A58" s="348" t="n"/>
      <c r="B58" s="348" t="n"/>
      <c r="C58" s="347" t="inlineStr">
        <is>
          <t>ИТОГО ПОКАЗАТЕЛЬ НА ЕД. ИЗМ.</t>
        </is>
      </c>
      <c r="D58" s="348" t="inlineStr">
        <is>
          <t>ед.</t>
        </is>
      </c>
      <c r="E58" s="422" t="n">
        <v>1</v>
      </c>
      <c r="F58" s="350" t="n"/>
      <c r="G58" s="231">
        <f>G57/E58</f>
        <v/>
      </c>
      <c r="H58" s="351" t="n"/>
      <c r="I58" s="231" t="n"/>
      <c r="J58" s="231">
        <f>J57/E58</f>
        <v/>
      </c>
    </row>
    <row r="60" ht="14.25" customFormat="1" customHeight="1" s="295">
      <c r="A60" s="294" t="inlineStr">
        <is>
          <t>Составил ______________________    Д.Ю. Нефедова</t>
        </is>
      </c>
    </row>
    <row r="61" ht="14.25" customFormat="1" customHeight="1" s="295">
      <c r="A61" s="297" t="inlineStr">
        <is>
          <t xml:space="preserve">                         (подпись, инициалы, фамилия)</t>
        </is>
      </c>
    </row>
    <row r="62" ht="14.25" customFormat="1" customHeight="1" s="295">
      <c r="A62" s="294" t="n"/>
    </row>
    <row r="63" ht="14.25" customFormat="1" customHeight="1" s="295">
      <c r="A63" s="294" t="inlineStr">
        <is>
          <t>Проверил ______________________        А.В. Костянецкая</t>
        </is>
      </c>
    </row>
    <row r="64" ht="14.25" customFormat="1" customHeight="1" s="295">
      <c r="A64" s="297" t="inlineStr">
        <is>
          <t xml:space="preserve">                        (подпись, инициалы, фамилия)</t>
        </is>
      </c>
    </row>
  </sheetData>
  <mergeCells count="20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9:B10"/>
    <mergeCell ref="D9:D10"/>
    <mergeCell ref="B18:H18"/>
    <mergeCell ref="B12:H12"/>
    <mergeCell ref="D6:J6"/>
    <mergeCell ref="F9:G9"/>
    <mergeCell ref="B17:H17"/>
    <mergeCell ref="A9:A10"/>
    <mergeCell ref="B29:H2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61" t="inlineStr">
        <is>
          <t>Приложение №6</t>
        </is>
      </c>
    </row>
    <row r="2" ht="21.75" customHeight="1" s="298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8">
      <c r="A4" s="322" t="inlineStr">
        <is>
          <t>Наименование разрабатываемого показателя УНЦ — Комплекс систем безопасности ПС. Устройство турникета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298">
      <c r="A6" s="366" t="inlineStr">
        <is>
          <t>№ пп.</t>
        </is>
      </c>
      <c r="B6" s="366" t="inlineStr">
        <is>
          <t>Код ресурса</t>
        </is>
      </c>
      <c r="C6" s="366" t="inlineStr">
        <is>
          <t>Наименование</t>
        </is>
      </c>
      <c r="D6" s="366" t="inlineStr">
        <is>
          <t>Ед. изм.</t>
        </is>
      </c>
      <c r="E6" s="348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48" t="inlineStr">
        <is>
          <t>на ед. изм.</t>
        </is>
      </c>
      <c r="G7" s="348" t="inlineStr">
        <is>
          <t>общая</t>
        </is>
      </c>
    </row>
    <row r="8">
      <c r="A8" s="348" t="n">
        <v>1</v>
      </c>
      <c r="B8" s="348" t="n">
        <v>2</v>
      </c>
      <c r="C8" s="348" t="n">
        <v>3</v>
      </c>
      <c r="D8" s="348" t="n">
        <v>4</v>
      </c>
      <c r="E8" s="348" t="n">
        <v>5</v>
      </c>
      <c r="F8" s="348" t="n">
        <v>6</v>
      </c>
      <c r="G8" s="348" t="n">
        <v>7</v>
      </c>
    </row>
    <row r="9" ht="15" customHeight="1" s="298">
      <c r="A9" s="246" t="n"/>
      <c r="B9" s="347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98">
      <c r="A10" s="348" t="n"/>
      <c r="B10" s="346" t="n"/>
      <c r="C10" s="347" t="inlineStr">
        <is>
          <t>ИТОГО ИНЖЕНЕРНОЕ ОБОРУДОВАНИЕ</t>
        </is>
      </c>
      <c r="D10" s="346" t="n"/>
      <c r="E10" s="247" t="n"/>
      <c r="F10" s="350" t="n"/>
      <c r="G10" s="231" t="n">
        <v>0</v>
      </c>
    </row>
    <row r="11">
      <c r="A11" s="348" t="n"/>
      <c r="B11" s="347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15.75" customFormat="1" customHeight="1" s="300">
      <c r="A12" s="348" t="n">
        <v>1</v>
      </c>
      <c r="B12" s="347">
        <f>'Прил.5 Расчет СМР и ОБ'!B31</f>
        <v/>
      </c>
      <c r="C12" s="347">
        <f>'Прил.5 Расчет СМР и ОБ'!C31</f>
        <v/>
      </c>
      <c r="D12" s="348">
        <f>'Прил.5 Расчет СМР и ОБ'!D31</f>
        <v/>
      </c>
      <c r="E12" s="418">
        <f>'Прил.5 Расчет СМР и ОБ'!E31</f>
        <v/>
      </c>
      <c r="F12" s="350">
        <f>'Прил.5 Расчет СМР и ОБ'!F31</f>
        <v/>
      </c>
      <c r="G12" s="231">
        <f>ROUND(E12*F12,2)</f>
        <v/>
      </c>
    </row>
    <row r="13" ht="25.5" customHeight="1" s="298">
      <c r="A13" s="348" t="n"/>
      <c r="B13" s="347" t="n"/>
      <c r="C13" s="347" t="inlineStr">
        <is>
          <t>ИТОГО ТЕХНОЛОГИЧЕСКОЕ ОБОРУДОВАНИЕ</t>
        </is>
      </c>
      <c r="D13" s="347" t="n"/>
      <c r="E13" s="365" t="n"/>
      <c r="F13" s="350" t="n"/>
      <c r="G13" s="231">
        <f>SUM(G12:G12)</f>
        <v/>
      </c>
    </row>
    <row r="14" ht="19.5" customHeight="1" s="298">
      <c r="A14" s="348" t="n"/>
      <c r="B14" s="347" t="n"/>
      <c r="C14" s="347" t="inlineStr">
        <is>
          <t>Всего по разделу «Оборудование»</t>
        </is>
      </c>
      <c r="D14" s="347" t="n"/>
      <c r="E14" s="365" t="n"/>
      <c r="F14" s="350" t="n"/>
      <c r="G14" s="231">
        <f>G10+G13</f>
        <v/>
      </c>
    </row>
    <row r="15">
      <c r="A15" s="296" t="n"/>
      <c r="B15" s="252" t="n"/>
      <c r="C15" s="296" t="n"/>
      <c r="D15" s="296" t="n"/>
      <c r="E15" s="296" t="n"/>
      <c r="F15" s="296" t="n"/>
      <c r="G15" s="296" t="n"/>
    </row>
    <row r="16">
      <c r="A16" s="294" t="inlineStr">
        <is>
          <t>Составил ______________________    Д.Ю. Нефедова</t>
        </is>
      </c>
      <c r="B16" s="295" t="n"/>
      <c r="C16" s="295" t="n"/>
      <c r="D16" s="296" t="n"/>
      <c r="E16" s="296" t="n"/>
      <c r="F16" s="296" t="n"/>
      <c r="G16" s="296" t="n"/>
    </row>
    <row r="17">
      <c r="A17" s="297" t="inlineStr">
        <is>
          <t xml:space="preserve">                         (подпись, инициалы, фамилия)</t>
        </is>
      </c>
      <c r="B17" s="295" t="n"/>
      <c r="C17" s="295" t="n"/>
      <c r="D17" s="296" t="n"/>
      <c r="E17" s="296" t="n"/>
      <c r="F17" s="296" t="n"/>
      <c r="G17" s="296" t="n"/>
    </row>
    <row r="18">
      <c r="A18" s="294" t="n"/>
      <c r="B18" s="295" t="n"/>
      <c r="C18" s="295" t="n"/>
      <c r="D18" s="296" t="n"/>
      <c r="E18" s="296" t="n"/>
      <c r="F18" s="296" t="n"/>
      <c r="G18" s="296" t="n"/>
    </row>
    <row r="19">
      <c r="A19" s="294" t="inlineStr">
        <is>
          <t>Проверил ______________________        А.В. Костянецкая</t>
        </is>
      </c>
      <c r="B19" s="295" t="n"/>
      <c r="C19" s="295" t="n"/>
      <c r="D19" s="296" t="n"/>
      <c r="E19" s="296" t="n"/>
      <c r="F19" s="296" t="n"/>
      <c r="G19" s="296" t="n"/>
    </row>
    <row r="20">
      <c r="A20" s="297" t="inlineStr">
        <is>
          <t xml:space="preserve">                        (подпись, инициалы, фамилия)</t>
        </is>
      </c>
      <c r="B20" s="295" t="n"/>
      <c r="C20" s="295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89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>
      <c r="A9" s="416" t="n"/>
      <c r="B9" s="416" t="n"/>
      <c r="C9" s="416" t="n"/>
      <c r="D9" s="416" t="n"/>
    </row>
    <row r="10" ht="15.75" customHeight="1" s="298">
      <c r="A10" s="332" t="n">
        <v>1</v>
      </c>
      <c r="B10" s="332" t="n">
        <v>2</v>
      </c>
      <c r="C10" s="332" t="n">
        <v>3</v>
      </c>
      <c r="D10" s="332" t="n">
        <v>4</v>
      </c>
    </row>
    <row r="11" ht="63" customHeight="1" s="298">
      <c r="A11" s="332" t="inlineStr">
        <is>
          <t>И15-06</t>
        </is>
      </c>
      <c r="B11" s="332" t="inlineStr">
        <is>
          <t xml:space="preserve">УНЦ комплекса систем безопасности ПС </t>
        </is>
      </c>
      <c r="C11" s="292">
        <f>D5</f>
        <v/>
      </c>
      <c r="D11" s="306">
        <f>'Прил.4 РМ'!C41/1000</f>
        <v/>
      </c>
    </row>
    <row r="13">
      <c r="A13" s="294" t="inlineStr">
        <is>
          <t>Составил ______________________      Д.Ю. Нефедова</t>
        </is>
      </c>
      <c r="B13" s="295" t="n"/>
      <c r="C13" s="295" t="n"/>
      <c r="D13" s="296" t="n"/>
    </row>
    <row r="14">
      <c r="A14" s="297" t="inlineStr">
        <is>
          <t xml:space="preserve">                         (подпись, инициалы, фамилия)</t>
        </is>
      </c>
      <c r="B14" s="295" t="n"/>
      <c r="C14" s="295" t="n"/>
      <c r="D14" s="296" t="n"/>
    </row>
    <row r="15">
      <c r="A15" s="294" t="n"/>
      <c r="B15" s="295" t="n"/>
      <c r="C15" s="295" t="n"/>
      <c r="D15" s="296" t="n"/>
    </row>
    <row r="16">
      <c r="A16" s="294" t="inlineStr">
        <is>
          <t>Проверил ______________________        А.В. Костянецкая</t>
        </is>
      </c>
      <c r="B16" s="295" t="n"/>
      <c r="C16" s="295" t="n"/>
      <c r="D16" s="296" t="n"/>
    </row>
    <row r="17">
      <c r="A17" s="297" t="inlineStr">
        <is>
          <t xml:space="preserve">                        (подпись, инициалы, фамилия)</t>
        </is>
      </c>
      <c r="B17" s="295" t="n"/>
      <c r="C17" s="295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0" zoomScale="60" zoomScaleNormal="85" workbookViewId="0">
      <selection activeCell="B27" sqref="B27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26" t="inlineStr">
        <is>
          <t>Приложение № 10</t>
        </is>
      </c>
    </row>
    <row r="5" ht="18.75" customHeight="1" s="298">
      <c r="B5" s="253" t="n"/>
    </row>
    <row r="6" ht="15.75" customHeight="1" s="298">
      <c r="B6" s="327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298">
      <c r="B9" s="332" t="inlineStr">
        <is>
          <t>Наименование индекса / норм сопутствующих затрат</t>
        </is>
      </c>
      <c r="C9" s="332" t="inlineStr">
        <is>
          <t>Дата применения и обоснование индекса / норм сопутствующих затрат</t>
        </is>
      </c>
      <c r="D9" s="332" t="inlineStr">
        <is>
          <t>Размер индекса / норма сопутствующих затрат</t>
        </is>
      </c>
    </row>
    <row r="10" ht="15.75" customHeight="1" s="298">
      <c r="B10" s="332" t="n">
        <v>1</v>
      </c>
      <c r="C10" s="332" t="n">
        <v>2</v>
      </c>
      <c r="D10" s="332" t="n">
        <v>3</v>
      </c>
    </row>
    <row r="11" ht="45" customHeight="1" s="298">
      <c r="B11" s="332" t="inlineStr">
        <is>
          <t xml:space="preserve">Индекс изменения сметной стоимости на 1 квартал 2023 года. ОЗП </t>
        </is>
      </c>
      <c r="C11" s="332" t="inlineStr">
        <is>
          <t>Письмо Минстроя России от 30.03.2023г. №17106-ИФ/09 прил.1</t>
        </is>
      </c>
      <c r="D11" s="332" t="n">
        <v>44.29</v>
      </c>
    </row>
    <row r="12" ht="29.25" customHeight="1" s="298">
      <c r="B12" s="332" t="inlineStr">
        <is>
          <t>Индекс изменения сметной стоимости на 1 квартал 2023 года. ЭМ</t>
        </is>
      </c>
      <c r="C12" s="332" t="inlineStr">
        <is>
          <t>Письмо Минстроя России от 30.03.2023г. №17106-ИФ/09 прил.1</t>
        </is>
      </c>
      <c r="D12" s="332" t="n">
        <v>13.47</v>
      </c>
    </row>
    <row r="13" ht="29.25" customHeight="1" s="298">
      <c r="B13" s="332" t="inlineStr">
        <is>
          <t>Индекс изменения сметной стоимости на 1 квартал 2023 года. МАТ</t>
        </is>
      </c>
      <c r="C13" s="332" t="inlineStr">
        <is>
          <t>Письмо Минстроя России от 30.03.2023г. №17106-ИФ/09 прил.1</t>
        </is>
      </c>
      <c r="D13" s="332" t="n">
        <v>8.039999999999999</v>
      </c>
    </row>
    <row r="14" ht="30.75" customHeight="1" s="298">
      <c r="B14" s="332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32" t="n">
        <v>6.26</v>
      </c>
    </row>
    <row r="15" ht="89.25" customHeight="1" s="298">
      <c r="B15" s="332" t="inlineStr">
        <is>
          <t>Временные здания и сооружения</t>
        </is>
      </c>
      <c r="C15" s="33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55" t="n">
        <v>0.039</v>
      </c>
    </row>
    <row r="16" ht="78.75" customHeight="1" s="298">
      <c r="B16" s="332" t="inlineStr">
        <is>
          <t>Дополнительные затраты при производстве строительно-монтажных работ в зимнее время</t>
        </is>
      </c>
      <c r="C16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55" t="n">
        <v>0.021</v>
      </c>
    </row>
    <row r="17" ht="34.5" customHeight="1" s="298">
      <c r="B17" s="332" t="inlineStr">
        <is>
          <t>Пусконаладочные работы*</t>
        </is>
      </c>
      <c r="C17" s="332" t="n"/>
      <c r="D17" s="332" t="inlineStr">
        <is>
          <t>Расчет</t>
        </is>
      </c>
    </row>
    <row r="18" ht="31.5" customHeight="1" s="298">
      <c r="B18" s="332" t="inlineStr">
        <is>
          <t>Строительный контроль</t>
        </is>
      </c>
      <c r="C18" s="332" t="inlineStr">
        <is>
          <t>Постановление Правительства РФ от 21.06.10 г. № 468</t>
        </is>
      </c>
      <c r="D18" s="255" t="n">
        <v>0.0214</v>
      </c>
    </row>
    <row r="19" ht="31.5" customHeight="1" s="298">
      <c r="B19" s="332" t="inlineStr">
        <is>
          <t>Авторский надзор - 0,2%</t>
        </is>
      </c>
      <c r="C19" s="332" t="inlineStr">
        <is>
          <t>Приказ от 4.08.2020 № 421/пр п.173</t>
        </is>
      </c>
      <c r="D19" s="255" t="n">
        <v>0.002</v>
      </c>
    </row>
    <row r="20" ht="24" customHeight="1" s="298">
      <c r="B20" s="332" t="inlineStr">
        <is>
          <t>Непредвиденные расходы</t>
        </is>
      </c>
      <c r="C20" s="332" t="inlineStr">
        <is>
          <t>Приказ от 4.08.2020 № 421/пр п.179</t>
        </is>
      </c>
      <c r="D20" s="255" t="n">
        <v>0.03</v>
      </c>
    </row>
    <row r="21" ht="18.75" customHeight="1" s="298">
      <c r="B21" s="256" t="n"/>
    </row>
    <row r="22" ht="18.75" customHeight="1" s="298">
      <c r="B22" s="256" t="n"/>
    </row>
    <row r="23" ht="18.75" customHeight="1" s="298">
      <c r="B23" s="256" t="n"/>
    </row>
    <row r="24" ht="18.75" customHeight="1" s="298">
      <c r="B24" s="256" t="n"/>
    </row>
    <row r="27">
      <c r="B27" s="294" t="inlineStr">
        <is>
          <t>Составил ______________________        Д.Ю. Нефедова</t>
        </is>
      </c>
      <c r="C27" s="295" t="n"/>
    </row>
    <row r="28">
      <c r="B28" s="297" t="inlineStr">
        <is>
          <t xml:space="preserve">                         (подпись, инициалы, фамилия)</t>
        </is>
      </c>
      <c r="C28" s="295" t="n"/>
    </row>
    <row r="29">
      <c r="B29" s="294" t="n"/>
      <c r="C29" s="295" t="n"/>
    </row>
    <row r="30">
      <c r="B30" s="294" t="inlineStr">
        <is>
          <t>Проверил ______________________        А.В. Костянецкая</t>
        </is>
      </c>
      <c r="C30" s="295" t="n"/>
    </row>
    <row r="31">
      <c r="B31" s="297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0" sqref="G1:G1048576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27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32" t="n"/>
      <c r="D10" s="332" t="n"/>
      <c r="E10" s="423" t="n">
        <v>4.2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424" t="n">
        <v>1.38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25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02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7">
        <f>((E7*E9/E8)*E11)*E12</f>
        <v/>
      </c>
      <c r="F13" s="3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2025-01-24T12:01:55Z</dcterms:modified>
  <cp:lastModifiedBy>Nikolay Ivanov</cp:lastModifiedBy>
  <cp:lastPrinted>2023-11-30T13:37:15Z</cp:lastPrinted>
</cp:coreProperties>
</file>