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0890" windowHeight="8070" tabRatio="924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IF(Прил.7!n_3=1,Прил.7!n_2,Прил.7!n_3&amp;Прил.7!n_1)</definedName>
    <definedName name="n1x">IF(Прил.7!n_3=1,Прил.7!n_2,Прил.7!n_3&amp;Прил.7!n_5)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_xlnm.Print_Area" localSheetId="0">'Прил.1 Сравнит табл'!$A$1:$E$32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стоим'!$A$1:$J$32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 3'!$A$1:$H$62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Area" localSheetId="4">'Прил.5 Расчет СМР и ОБ'!$A$1:$J$77</definedName>
    <definedName name="_xlnm.Print_Area" localSheetId="5">'Прил.6 Расчет ОБ'!$A$1:$G$32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xlnm.Primt_Area_3" localSheetId="6">#REF!</definedName>
    <definedName name="__qs2" localSheetId="6">#REF!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iii" localSheetId="6">#REF!</definedName>
    <definedName name="Itog" localSheetId="6">#REF!</definedName>
    <definedName name="jkjhggh" localSheetId="6">#REF!</definedName>
    <definedName name="KPlan" localSheetId="6">#REF!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5" localSheetId="6">{"","однаz","двеz","триz","четыреz","пятьz","шестьz","семьz","восемьz","девятьz"}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USA_1" localSheetId="6">#REF!</definedName>
    <definedName name="v" localSheetId="6">#REF!</definedName>
    <definedName name="w" localSheetId="6">#REF!</definedName>
    <definedName name="xh" localSheetId="6">#REF!</definedName>
    <definedName name="А10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нкурс" localSheetId="6">#REF!</definedName>
    <definedName name="Контроллер_1" localSheetId="6">#REF!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дия_проектирования" localSheetId="6">#REF!</definedName>
    <definedName name="Стоимость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ьбю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62913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0.000"/>
    <numFmt numFmtId="168" formatCode="#,##0.0"/>
    <numFmt numFmtId="169" formatCode="#,##0.000"/>
  </numFmts>
  <fonts count="29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color rgb="FF000000"/>
      <sz val="10"/>
    </font>
    <font>
      <name val="Times New Roman"/>
      <color rgb="FF000000"/>
      <sz val="14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18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1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0" fontId="1" fillId="0" borderId="0" applyAlignment="1" pivotButton="0" quotePrefix="0" xfId="0">
      <alignment vertical="center"/>
    </xf>
    <xf numFmtId="10" fontId="16" fillId="0" borderId="0" pivotButton="0" quotePrefix="0" xfId="0"/>
    <xf numFmtId="0" fontId="16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justify" vertical="center" wrapText="1"/>
    </xf>
    <xf numFmtId="4" fontId="16" fillId="0" borderId="1" applyAlignment="1" pivotButton="0" quotePrefix="0" xfId="0">
      <alignment horizontal="center" vertical="center" wrapText="1"/>
    </xf>
    <xf numFmtId="49" fontId="16" fillId="0" borderId="1" applyAlignment="1" pivotButton="0" quotePrefix="0" xfId="0">
      <alignment horizontal="center" vertical="center" wrapText="1"/>
    </xf>
    <xf numFmtId="0" fontId="16" fillId="0" borderId="2" applyAlignment="1" pivotButton="0" quotePrefix="0" xfId="0">
      <alignment vertical="center" wrapText="1"/>
    </xf>
    <xf numFmtId="0" fontId="16" fillId="0" borderId="2" applyAlignment="1" pivotButton="0" quotePrefix="0" xfId="0">
      <alignment horizontal="justify"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vertical="center"/>
    </xf>
    <xf numFmtId="0" fontId="17" fillId="0" borderId="0" pivotButton="0" quotePrefix="0" xfId="0"/>
    <xf numFmtId="2" fontId="16" fillId="0" borderId="1" applyAlignment="1" pivotButton="0" quotePrefix="0" xfId="0">
      <alignment horizontal="right" vertical="center"/>
    </xf>
    <xf numFmtId="0" fontId="16" fillId="0" borderId="1" applyAlignment="1" pivotButton="0" quotePrefix="0" xfId="0">
      <alignment horizontal="right" vertical="center"/>
    </xf>
    <xf numFmtId="2" fontId="16" fillId="0" borderId="1" applyAlignment="1" pivotButton="0" quotePrefix="0" xfId="0">
      <alignment horizontal="right" vertical="center" wrapText="1"/>
    </xf>
    <xf numFmtId="2" fontId="18" fillId="0" borderId="1" applyAlignment="1" pivotButton="0" quotePrefix="0" xfId="0">
      <alignment vertical="center" wrapText="1"/>
    </xf>
    <xf numFmtId="0" fontId="18" fillId="0" borderId="1" applyAlignment="1" pivotButton="0" quotePrefix="0" xfId="0">
      <alignment vertical="center" wrapText="1"/>
    </xf>
    <xf numFmtId="2" fontId="16" fillId="0" borderId="1" applyAlignment="1" pivotButton="0" quotePrefix="0" xfId="0">
      <alignment vertical="center" wrapText="1"/>
    </xf>
    <xf numFmtId="0" fontId="16" fillId="0" borderId="0" applyAlignment="1" pivotButton="0" quotePrefix="0" xfId="0">
      <alignment horizontal="right"/>
    </xf>
    <xf numFmtId="0" fontId="16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left" vertical="center"/>
    </xf>
    <xf numFmtId="0" fontId="16" fillId="0" borderId="5" applyAlignment="1" pivotButton="0" quotePrefix="0" xfId="0">
      <alignment horizontal="center" vertical="center" wrapText="1"/>
    </xf>
    <xf numFmtId="4" fontId="18" fillId="0" borderId="1" applyAlignment="1" pivotButton="0" quotePrefix="0" xfId="0">
      <alignment vertical="top"/>
    </xf>
    <xf numFmtId="0" fontId="18" fillId="0" borderId="0" pivotButton="0" quotePrefix="0" xfId="0"/>
    <xf numFmtId="0" fontId="16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49" fontId="16" fillId="0" borderId="1" applyAlignment="1" pivotButton="0" quotePrefix="0" xfId="0">
      <alignment horizontal="center" vertical="top" wrapText="1"/>
    </xf>
    <xf numFmtId="0" fontId="16" fillId="0" borderId="1" applyAlignment="1" pivotButton="0" quotePrefix="0" xfId="0">
      <alignment vertical="top" wrapText="1"/>
    </xf>
    <xf numFmtId="0" fontId="16" fillId="0" borderId="1" applyAlignment="1" pivotButton="0" quotePrefix="0" xfId="0">
      <alignment horizontal="center" vertical="top"/>
    </xf>
    <xf numFmtId="4" fontId="16" fillId="0" borderId="1" applyAlignment="1" pivotButton="0" quotePrefix="0" xfId="0">
      <alignment vertical="top"/>
    </xf>
    <xf numFmtId="10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4" fontId="1" fillId="0" borderId="0" applyAlignment="1" pivotButton="0" quotePrefix="0" xfId="0">
      <alignment vertical="center"/>
    </xf>
    <xf numFmtId="4" fontId="1" fillId="0" borderId="0" applyAlignment="1" pivotButton="0" quotePrefix="0" xfId="0">
      <alignment vertical="center" wrapText="1"/>
    </xf>
    <xf numFmtId="0" fontId="4" fillId="0" borderId="1" pivotButton="0" quotePrefix="0" xfId="0"/>
    <xf numFmtId="49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166" fontId="1" fillId="0" borderId="4" applyAlignment="1" pivotButton="0" quotePrefix="0" xfId="0">
      <alignment horizontal="center" vertical="center" wrapText="1"/>
    </xf>
    <xf numFmtId="10" fontId="19" fillId="0" borderId="1" applyAlignment="1" pivotButton="0" quotePrefix="0" xfId="0">
      <alignment horizontal="center" vertical="top" wrapText="1"/>
    </xf>
    <xf numFmtId="0" fontId="3" fillId="0" borderId="0" applyAlignment="1" pivotButton="0" quotePrefix="0" xfId="0">
      <alignment vertical="center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20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10" fontId="16" fillId="0" borderId="1" applyAlignment="1" pivotButton="0" quotePrefix="0" xfId="0">
      <alignment horizontal="center" vertical="center" wrapText="1"/>
    </xf>
    <xf numFmtId="0" fontId="20" fillId="0" borderId="0" applyAlignment="1" pivotButton="0" quotePrefix="0" xfId="0">
      <alignment horizontal="justify" vertical="center"/>
    </xf>
    <xf numFmtId="4" fontId="16" fillId="0" borderId="1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/>
    </xf>
    <xf numFmtId="0" fontId="18" fillId="0" borderId="1" applyAlignment="1" pivotButton="0" quotePrefix="0" xfId="0">
      <alignment vertical="top"/>
    </xf>
    <xf numFmtId="0" fontId="1" fillId="0" borderId="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167" fontId="1" fillId="0" borderId="1" applyAlignment="1" pivotButton="0" quotePrefix="0" xfId="0">
      <alignment horizontal="center" vertical="center" wrapText="1"/>
    </xf>
    <xf numFmtId="49" fontId="16" fillId="0" borderId="1" applyAlignment="1" pivotButton="0" quotePrefix="0" xfId="0">
      <alignment horizontal="left" vertical="center" wrapText="1"/>
    </xf>
    <xf numFmtId="0" fontId="16" fillId="0" borderId="5" applyAlignment="1" pivotButton="0" quotePrefix="0" xfId="0">
      <alignment horizontal="center" vertical="top" wrapText="1"/>
    </xf>
    <xf numFmtId="49" fontId="16" fillId="0" borderId="1" applyAlignment="1" pivotButton="0" quotePrefix="0" xfId="0">
      <alignment vertical="center"/>
    </xf>
    <xf numFmtId="4" fontId="1" fillId="4" borderId="1" applyAlignment="1" pivotButton="0" quotePrefix="0" xfId="0">
      <alignment horizontal="right" vertical="center"/>
    </xf>
    <xf numFmtId="0" fontId="1" fillId="4" borderId="1" applyAlignment="1" pivotButton="0" quotePrefix="0" xfId="0">
      <alignment vertical="center" wrapText="1"/>
    </xf>
    <xf numFmtId="4" fontId="16" fillId="0" borderId="0" applyAlignment="1" pivotButton="0" quotePrefix="0" xfId="0">
      <alignment horizontal="left" vertical="center" wrapText="1"/>
    </xf>
    <xf numFmtId="4" fontId="16" fillId="0" borderId="1" applyAlignment="1" pivotButton="0" quotePrefix="0" xfId="0">
      <alignment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1" fillId="0" borderId="0" applyAlignment="1" pivotButton="0" quotePrefix="0" xfId="0">
      <alignment vertical="center"/>
    </xf>
    <xf numFmtId="0" fontId="21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0" fontId="16" fillId="0" borderId="1" applyAlignment="1" pivotButton="0" quotePrefix="0" xfId="0">
      <alignment horizontal="center" vertical="center" wrapText="1"/>
    </xf>
    <xf numFmtId="0" fontId="18" fillId="0" borderId="1" applyAlignment="1" pivotButton="0" quotePrefix="0" xfId="0">
      <alignment vertical="center" wrapText="1"/>
    </xf>
    <xf numFmtId="4" fontId="18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top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 wrapText="1"/>
    </xf>
    <xf numFmtId="0" fontId="16" fillId="0" borderId="0" applyAlignment="1" pivotButton="0" quotePrefix="0" xfId="0">
      <alignment horizontal="justify" vertical="center"/>
    </xf>
    <xf numFmtId="0" fontId="18" fillId="0" borderId="2" applyAlignment="1" pivotButton="0" quotePrefix="0" xfId="0">
      <alignment horizontal="right" vertical="center" wrapText="1"/>
    </xf>
    <xf numFmtId="0" fontId="18" fillId="0" borderId="6" applyAlignment="1" pivotButton="0" quotePrefix="0" xfId="0">
      <alignment horizontal="right" vertical="center" wrapText="1"/>
    </xf>
    <xf numFmtId="0" fontId="18" fillId="0" borderId="7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8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left" vertical="center" wrapText="1"/>
    </xf>
    <xf numFmtId="0" fontId="18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8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2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3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6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1" pivotButton="0" quotePrefix="0" xfId="0"/>
    <xf numFmtId="0" fontId="0" fillId="0" borderId="12" pivotButton="0" quotePrefix="0" xfId="0"/>
    <xf numFmtId="166" fontId="1" fillId="0" borderId="4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4" zoomScale="55" zoomScaleNormal="55" workbookViewId="0">
      <selection activeCell="F5" sqref="F1:F1048576"/>
    </sheetView>
  </sheetViews>
  <sheetFormatPr baseColWidth="8" defaultColWidth="9.140625" defaultRowHeight="15.75"/>
  <cols>
    <col width="9.140625" customWidth="1" style="192" min="1" max="2"/>
    <col width="36.85546875" customWidth="1" style="192" min="3" max="3"/>
    <col width="36.5703125" customWidth="1" style="192" min="4" max="5"/>
    <col width="9.140625" customWidth="1" style="192" min="6" max="6"/>
  </cols>
  <sheetData>
    <row r="3">
      <c r="B3" s="218" t="inlineStr">
        <is>
          <t>Приложение № 1</t>
        </is>
      </c>
    </row>
    <row r="4">
      <c r="B4" s="219" t="inlineStr">
        <is>
          <t>Сравнительная таблица отбора объекта-представителя</t>
        </is>
      </c>
    </row>
    <row r="5">
      <c r="B5" s="115" t="n"/>
      <c r="C5" s="115" t="n"/>
      <c r="D5" s="115" t="n"/>
      <c r="E5" s="115" t="n"/>
    </row>
    <row r="6">
      <c r="B6" s="115" t="n"/>
      <c r="C6" s="115" t="n"/>
      <c r="D6" s="115" t="n"/>
      <c r="E6" s="115" t="n"/>
    </row>
    <row r="7" ht="33.75" customHeight="1" s="190">
      <c r="B7" s="220" t="inlineStr">
        <is>
          <t>Наименование разрабатываемого показателя УНЦ — Комплекс систем безопасности ПС. Система пожарной и охранной сигнализации</t>
        </is>
      </c>
    </row>
    <row r="8" ht="31.5" customHeight="1" s="190">
      <c r="B8" s="221" t="inlineStr">
        <is>
          <t>Сопоставимый уровень цен: 3 кв 2021</t>
        </is>
      </c>
    </row>
    <row r="9">
      <c r="B9" s="221" t="inlineStr">
        <is>
          <t>Единица измерения  — 1 м2</t>
        </is>
      </c>
    </row>
    <row r="10">
      <c r="B10" s="221" t="n"/>
    </row>
    <row r="11">
      <c r="B11" s="225" t="inlineStr">
        <is>
          <t>№ п/п</t>
        </is>
      </c>
      <c r="C11" s="225" t="inlineStr">
        <is>
          <t>Параметр</t>
        </is>
      </c>
      <c r="D11" s="204" t="inlineStr">
        <is>
          <t>Объект-представитель 1</t>
        </is>
      </c>
      <c r="E11" s="204" t="inlineStr">
        <is>
          <t>Объект-представитель 2</t>
        </is>
      </c>
    </row>
    <row r="12" ht="47.25" customHeight="1" s="190">
      <c r="B12" s="225" t="n">
        <v>1</v>
      </c>
      <c r="C12" s="204" t="inlineStr">
        <is>
          <t>Наименование объекта-представителя</t>
        </is>
      </c>
      <c r="D12" s="225" t="inlineStr">
        <is>
          <t>Строительство ПС 330 кВ Ручей с заходами ВЛ 330 кВ. Корректировка.</t>
        </is>
      </c>
      <c r="E12" s="225" t="inlineStr">
        <is>
          <t>Строительство ПС 220 кВ Налдинская с заходами ВЛ 220 кВ</t>
        </is>
      </c>
    </row>
    <row r="13" ht="31.5" customHeight="1" s="190">
      <c r="B13" s="225" t="n">
        <v>2</v>
      </c>
      <c r="C13" s="204" t="inlineStr">
        <is>
          <t>Наименование субъекта Российской Федерации</t>
        </is>
      </c>
      <c r="D13" s="225" t="inlineStr">
        <is>
          <t>Новогородская область</t>
        </is>
      </c>
      <c r="E13" s="225" t="inlineStr">
        <is>
          <t>Республика Саха (Якутия)</t>
        </is>
      </c>
    </row>
    <row r="14">
      <c r="B14" s="225" t="n">
        <v>3</v>
      </c>
      <c r="C14" s="204" t="inlineStr">
        <is>
          <t>Климатический район и подрайон</t>
        </is>
      </c>
      <c r="D14" s="225" t="inlineStr">
        <is>
          <t>IIВ</t>
        </is>
      </c>
      <c r="E14" s="225" t="inlineStr">
        <is>
          <t>IД</t>
        </is>
      </c>
    </row>
    <row r="15">
      <c r="B15" s="225" t="n">
        <v>4</v>
      </c>
      <c r="C15" s="204" t="inlineStr">
        <is>
          <t>Мощность объекта</t>
        </is>
      </c>
      <c r="D15" s="225" t="n">
        <v>646.75</v>
      </c>
      <c r="E15" s="225" t="n">
        <v>147.5</v>
      </c>
    </row>
    <row r="16" ht="110.25" customHeight="1" s="190">
      <c r="B16" s="225" t="n">
        <v>5</v>
      </c>
      <c r="C16" s="120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25" t="inlineStr">
        <is>
          <t xml:space="preserve">Извещатель пожарный  -95 шт;
Громкоговоритель - 10 шт;
Оповещатель световой - 43 шт;
Кабель - 800 м.
</t>
        </is>
      </c>
      <c r="E16" s="225" t="inlineStr">
        <is>
          <t>Извещатель пожарный дымовой  -10 шт;
Извещатель тепловой (термокабель) - 870 м;
Оповещатель световой - 2 шт;
Оповещатель звуковой - 2 шт;
ШПС - 1 компл.</t>
        </is>
      </c>
    </row>
    <row r="17" ht="78.75" customHeight="1" s="190">
      <c r="B17" s="225" t="n">
        <v>6</v>
      </c>
      <c r="C17" s="120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21">
        <f>SUM(D18:D21)</f>
        <v/>
      </c>
      <c r="E17" s="121">
        <f>SUM(E18:E21)</f>
        <v/>
      </c>
    </row>
    <row r="18">
      <c r="B18" s="122" t="inlineStr">
        <is>
          <t>6.1</t>
        </is>
      </c>
      <c r="C18" s="204" t="inlineStr">
        <is>
          <t>строительно-монтажные работы</t>
        </is>
      </c>
      <c r="D18" s="121" t="n">
        <v>563.27124</v>
      </c>
      <c r="E18" s="121" t="n">
        <v>1300.5422702</v>
      </c>
    </row>
    <row r="19" ht="15.75" customHeight="1" s="190">
      <c r="B19" s="122" t="inlineStr">
        <is>
          <t>6.2</t>
        </is>
      </c>
      <c r="C19" s="204" t="inlineStr">
        <is>
          <t>оборудование и инвентарь</t>
        </is>
      </c>
      <c r="D19" s="121" t="n">
        <v>24.503</v>
      </c>
      <c r="E19" s="121" t="n">
        <v>1057.7569736</v>
      </c>
    </row>
    <row r="20" ht="16.5" customHeight="1" s="190">
      <c r="B20" s="122" t="inlineStr">
        <is>
          <t>6.3</t>
        </is>
      </c>
      <c r="C20" s="204" t="inlineStr">
        <is>
          <t>пусконаладочные работы</t>
        </is>
      </c>
      <c r="D20" s="121">
        <f>D19/(1412772.02*4.28)*(43202.71)*8.68</f>
        <v/>
      </c>
      <c r="E20" s="121">
        <f>E19/(991165.92)*(104918.2)</f>
        <v/>
      </c>
    </row>
    <row r="21" ht="35.25" customHeight="1" s="190">
      <c r="B21" s="122" t="inlineStr">
        <is>
          <t>6.4</t>
        </is>
      </c>
      <c r="C21" s="123" t="inlineStr">
        <is>
          <t>прочие и лимитированные затраты</t>
        </is>
      </c>
      <c r="D21" s="121">
        <f>D18*3.9%+(D18+D18*3.9%)*2.1%</f>
        <v/>
      </c>
      <c r="E21" s="121">
        <f>E18*3.9%+(E18+E18*3.9%)*7%</f>
        <v/>
      </c>
    </row>
    <row r="22">
      <c r="B22" s="225" t="n">
        <v>7</v>
      </c>
      <c r="C22" s="123" t="inlineStr">
        <is>
          <t>Сопоставимый уровень цен</t>
        </is>
      </c>
      <c r="D22" s="225" t="inlineStr">
        <is>
          <t>3 кв 2021</t>
        </is>
      </c>
      <c r="E22" s="225" t="inlineStr">
        <is>
          <t>3 кв 2021</t>
        </is>
      </c>
    </row>
    <row r="23" ht="123" customHeight="1" s="190">
      <c r="B23" s="225" t="n">
        <v>8</v>
      </c>
      <c r="C23" s="124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21">
        <f>D17</f>
        <v/>
      </c>
      <c r="E23" s="121">
        <f>E17</f>
        <v/>
      </c>
    </row>
    <row r="24" ht="60.75" customHeight="1" s="190">
      <c r="B24" s="225" t="n">
        <v>9</v>
      </c>
      <c r="C24" s="120" t="inlineStr">
        <is>
          <t>Приведенная сметная стоимость на единицу мощности, тыс. руб. (строка 8/строку 4)</t>
        </is>
      </c>
      <c r="D24" s="121">
        <f>D23/D15</f>
        <v/>
      </c>
      <c r="E24" s="121">
        <f>E23/E15</f>
        <v/>
      </c>
    </row>
    <row r="25" ht="118.5" customHeight="1" s="190">
      <c r="B25" s="225" t="n">
        <v>10</v>
      </c>
      <c r="C25" s="204" t="inlineStr">
        <is>
          <t>Примечание</t>
        </is>
      </c>
      <c r="D25" s="204" t="inlineStr">
        <is>
          <t>Выбран объектом-представителем с учетом минимальной удельной стоимости и как наиболее часто применяющееся конструктивное решение. 
Рекомендуемая расчетная единица  УНЦ - 1 м2</t>
        </is>
      </c>
      <c r="E25" s="204" t="n"/>
    </row>
    <row r="26">
      <c r="B26" s="125" t="n"/>
      <c r="C26" s="126" t="n"/>
      <c r="D26" s="126" t="n"/>
      <c r="E26" s="126" t="n"/>
    </row>
    <row r="27" ht="37.5" customHeight="1" s="190">
      <c r="B27" s="127" t="n"/>
    </row>
    <row r="28">
      <c r="B28" s="192" t="inlineStr">
        <is>
          <t>Составил ______________________        Д.Ю. Нефедова</t>
        </is>
      </c>
    </row>
    <row r="29">
      <c r="B29" s="127" t="inlineStr">
        <is>
          <t xml:space="preserve">                         (подпись, инициалы, фамилия)</t>
        </is>
      </c>
    </row>
    <row r="31">
      <c r="B31" s="192" t="inlineStr">
        <is>
          <t>Проверил ______________________        А.В. Костянецкая</t>
        </is>
      </c>
    </row>
    <row r="32">
      <c r="B32" s="127" t="inlineStr">
        <is>
          <t xml:space="preserve">                        (подпись, инициалы, фамилия)</t>
        </is>
      </c>
    </row>
  </sheetData>
  <mergeCells count="5">
    <mergeCell ref="B9:E9"/>
    <mergeCell ref="B8:E8"/>
    <mergeCell ref="B4:E4"/>
    <mergeCell ref="B7:E7"/>
    <mergeCell ref="B3:E3"/>
  </mergeCells>
  <pageMargins left="0.7" right="0.7" top="0.75" bottom="0.75" header="0.3" footer="0.3"/>
  <pageSetup orientation="portrait" paperSize="9" scale="68" fitToHeight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L32"/>
  <sheetViews>
    <sheetView view="pageBreakPreview" zoomScale="70" zoomScaleNormal="70" workbookViewId="0">
      <selection activeCell="C28" sqref="C28"/>
    </sheetView>
  </sheetViews>
  <sheetFormatPr baseColWidth="8" defaultColWidth="9.140625" defaultRowHeight="15.75"/>
  <cols>
    <col width="5.5703125" customWidth="1" style="192" min="1" max="1"/>
    <col width="9.140625" customWidth="1" style="192" min="2" max="2"/>
    <col width="35.28515625" customWidth="1" style="192" min="3" max="3"/>
    <col width="13.85546875" customWidth="1" style="192" min="4" max="4"/>
    <col width="24.85546875" customWidth="1" style="192" min="5" max="5"/>
    <col width="15.5703125" customWidth="1" style="192" min="6" max="6"/>
    <col width="14.85546875" customWidth="1" style="192" min="7" max="7"/>
    <col width="16.7109375" customWidth="1" style="192" min="8" max="8"/>
    <col width="13" customWidth="1" style="192" min="9" max="10"/>
    <col width="18" customWidth="1" style="192" min="11" max="11"/>
    <col width="9.140625" customWidth="1" style="192" min="12" max="12"/>
  </cols>
  <sheetData>
    <row r="3">
      <c r="B3" s="218" t="inlineStr">
        <is>
          <t>Приложение № 2</t>
        </is>
      </c>
      <c r="K3" s="127" t="n"/>
    </row>
    <row r="4">
      <c r="B4" s="219" t="inlineStr">
        <is>
          <t>Расчет стоимости основных видов работ для выбора объекта-представителя</t>
        </is>
      </c>
    </row>
    <row r="5">
      <c r="B5" s="115" t="n"/>
      <c r="C5" s="115" t="n"/>
      <c r="D5" s="115" t="n"/>
      <c r="E5" s="115" t="n"/>
      <c r="F5" s="115" t="n"/>
      <c r="G5" s="115" t="n"/>
      <c r="H5" s="115" t="n"/>
      <c r="I5" s="115" t="n"/>
      <c r="J5" s="115" t="n"/>
      <c r="K5" s="115" t="n"/>
    </row>
    <row r="6" ht="33" customHeight="1" s="190">
      <c r="B6" s="227" t="inlineStr">
        <is>
          <t>Наименование разрабатываемого показателя УНЦ —  Комплекс систем безопасности ПС. Система пожарной и охранной сигнализации</t>
        </is>
      </c>
      <c r="K6" s="127" t="n"/>
      <c r="L6" s="128" t="n"/>
    </row>
    <row r="7">
      <c r="B7" s="221" t="inlineStr">
        <is>
          <t>Единица измерения  — 1 м2</t>
        </is>
      </c>
      <c r="L7" s="128" t="n"/>
    </row>
    <row r="8">
      <c r="B8" s="221" t="n"/>
    </row>
    <row r="9" ht="15.75" customHeight="1" s="190">
      <c r="B9" s="225" t="inlineStr">
        <is>
          <t>№ п/п</t>
        </is>
      </c>
      <c r="C9" s="225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25" t="inlineStr">
        <is>
          <t>Объект-представитель 1</t>
        </is>
      </c>
      <c r="E9" s="305" t="n"/>
      <c r="F9" s="305" t="n"/>
      <c r="G9" s="305" t="n"/>
      <c r="H9" s="305" t="n"/>
      <c r="I9" s="305" t="n"/>
      <c r="J9" s="306" t="n"/>
    </row>
    <row r="10" ht="15.75" customHeight="1" s="190">
      <c r="B10" s="307" t="n"/>
      <c r="C10" s="307" t="n"/>
      <c r="D10" s="225" t="inlineStr">
        <is>
          <t>Номер сметы</t>
        </is>
      </c>
      <c r="E10" s="225" t="inlineStr">
        <is>
          <t>Наименование сметы</t>
        </is>
      </c>
      <c r="F10" s="225" t="inlineStr">
        <is>
          <t>Сметная стоимость в уровне цен 2 кв. 2017 г., тыс. руб.</t>
        </is>
      </c>
      <c r="G10" s="305" t="n"/>
      <c r="H10" s="305" t="n"/>
      <c r="I10" s="305" t="n"/>
      <c r="J10" s="306" t="n"/>
    </row>
    <row r="11" ht="31.5" customHeight="1" s="190">
      <c r="B11" s="308" t="n"/>
      <c r="C11" s="308" t="n"/>
      <c r="D11" s="308" t="n"/>
      <c r="E11" s="308" t="n"/>
      <c r="F11" s="225" t="inlineStr">
        <is>
          <t>Строительные работы</t>
        </is>
      </c>
      <c r="G11" s="225" t="inlineStr">
        <is>
          <t>Монтажные работы</t>
        </is>
      </c>
      <c r="H11" s="225" t="inlineStr">
        <is>
          <t>Оборудование</t>
        </is>
      </c>
      <c r="I11" s="225" t="inlineStr">
        <is>
          <t>Прочее</t>
        </is>
      </c>
      <c r="J11" s="225" t="inlineStr">
        <is>
          <t>Всего</t>
        </is>
      </c>
    </row>
    <row r="12" ht="63" customHeight="1" s="190">
      <c r="B12" s="176" t="n">
        <v>1</v>
      </c>
      <c r="C12" s="138" t="inlineStr">
        <is>
          <t>Извещатель пожарный  -95 шт;
Громкоговоритель - 10 шт;
Оповещатель световой - 43 шт;
Кабель - 800 м.</t>
        </is>
      </c>
      <c r="D12" s="183" t="inlineStr">
        <is>
          <t>05-06-03</t>
        </is>
      </c>
      <c r="E12" s="199" t="inlineStr">
        <is>
          <t xml:space="preserve">Система пожарной сигнализации и оповещения о пожаре </t>
        </is>
      </c>
      <c r="F12" s="129" t="n"/>
      <c r="G12" s="129" t="n">
        <v>563.27124</v>
      </c>
      <c r="H12" s="129" t="n">
        <v>24.503</v>
      </c>
      <c r="I12" s="130" t="n"/>
      <c r="J12" s="131">
        <f>SUM(F12:I12)</f>
        <v/>
      </c>
    </row>
    <row r="13" ht="15.75" customHeight="1" s="190">
      <c r="B13" s="226" t="inlineStr">
        <is>
          <t>Всего по объекту:</t>
        </is>
      </c>
      <c r="C13" s="305" t="n"/>
      <c r="D13" s="305" t="n"/>
      <c r="E13" s="306" t="n"/>
      <c r="F13" s="132">
        <f>SUM(F12:F12)</f>
        <v/>
      </c>
      <c r="G13" s="132">
        <f>SUM(G12:G12)</f>
        <v/>
      </c>
      <c r="H13" s="132">
        <f>SUM(H12:H12)</f>
        <v/>
      </c>
      <c r="I13" s="208" t="n"/>
      <c r="J13" s="134">
        <f>SUM(F13:I13)</f>
        <v/>
      </c>
    </row>
    <row r="14" ht="28.5" customHeight="1" s="190">
      <c r="B14" s="226" t="inlineStr">
        <is>
          <t>Всего по объекту в сопоставимом уровне цен 2 кв. 2017 г:</t>
        </is>
      </c>
      <c r="C14" s="305" t="n"/>
      <c r="D14" s="305" t="n"/>
      <c r="E14" s="306" t="n"/>
      <c r="F14" s="132">
        <f>F13</f>
        <v/>
      </c>
      <c r="G14" s="132">
        <f>G13</f>
        <v/>
      </c>
      <c r="H14" s="132">
        <f>H13</f>
        <v/>
      </c>
      <c r="I14" s="208" t="n"/>
      <c r="J14" s="134">
        <f>SUM(F14:I14)</f>
        <v/>
      </c>
    </row>
    <row r="15">
      <c r="B15" s="221" t="n"/>
    </row>
    <row r="16">
      <c r="B16" s="225" t="inlineStr">
        <is>
          <t>№ п/п</t>
        </is>
      </c>
      <c r="C16" s="225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16" s="225" t="inlineStr">
        <is>
          <t>Объект-представитель 2</t>
        </is>
      </c>
      <c r="E16" s="305" t="n"/>
      <c r="F16" s="305" t="n"/>
      <c r="G16" s="305" t="n"/>
      <c r="H16" s="305" t="n"/>
      <c r="I16" s="305" t="n"/>
      <c r="J16" s="306" t="n"/>
    </row>
    <row r="17" ht="15.75" customHeight="1" s="190">
      <c r="B17" s="307" t="n"/>
      <c r="C17" s="307" t="n"/>
      <c r="D17" s="225" t="inlineStr">
        <is>
          <t>Номер сметы</t>
        </is>
      </c>
      <c r="E17" s="225" t="inlineStr">
        <is>
          <t>Наименование сметы</t>
        </is>
      </c>
      <c r="F17" s="225" t="inlineStr">
        <is>
          <t>Сметная стоимость в уровне цен 3 кв. 2021 г., тыс. руб.</t>
        </is>
      </c>
      <c r="G17" s="305" t="n"/>
      <c r="H17" s="305" t="n"/>
      <c r="I17" s="305" t="n"/>
      <c r="J17" s="306" t="n"/>
    </row>
    <row r="18" ht="31.5" customHeight="1" s="190">
      <c r="B18" s="308" t="n"/>
      <c r="C18" s="308" t="n"/>
      <c r="D18" s="308" t="n"/>
      <c r="E18" s="308" t="n"/>
      <c r="F18" s="225" t="inlineStr">
        <is>
          <t>Строительные работы</t>
        </is>
      </c>
      <c r="G18" s="225" t="inlineStr">
        <is>
          <t>Монтажные работы</t>
        </is>
      </c>
      <c r="H18" s="225" t="inlineStr">
        <is>
          <t>Оборудование</t>
        </is>
      </c>
      <c r="I18" s="225" t="inlineStr">
        <is>
          <t>Прочее</t>
        </is>
      </c>
      <c r="J18" s="225" t="inlineStr">
        <is>
          <t>Всего</t>
        </is>
      </c>
    </row>
    <row r="19" ht="110.25" customHeight="1" s="190">
      <c r="B19" s="176" t="n">
        <v>1</v>
      </c>
      <c r="C19" s="184" t="inlineStr">
        <is>
          <t>Извещатель пожарный дымовой  -10 шт;
Извещатель тепловой (термокабель) - 870 м;
Оповещатель световой - 2 шт;
Оповещатель звуковой - 2 шт;
ШПС - 1 компл.</t>
        </is>
      </c>
      <c r="D19" s="185" t="inlineStr">
        <is>
          <t>02-04-07</t>
        </is>
      </c>
      <c r="E19" s="204" t="inlineStr">
        <is>
          <t>Здание ЗРУ 35 кВ. Система пожарной сигнализации и оповещения людей о пожаре</t>
        </is>
      </c>
      <c r="F19" s="129" t="n"/>
      <c r="G19" s="129" t="n">
        <v>1300.5422702</v>
      </c>
      <c r="H19" s="129" t="n">
        <v>1057.7569736</v>
      </c>
      <c r="I19" s="130" t="n"/>
      <c r="J19" s="131">
        <f>SUM(F19:I19)</f>
        <v/>
      </c>
    </row>
    <row r="20" ht="15.75" customHeight="1" s="190">
      <c r="B20" s="226" t="inlineStr">
        <is>
          <t>Всего по объекту:</t>
        </is>
      </c>
      <c r="C20" s="305" t="n"/>
      <c r="D20" s="305" t="n"/>
      <c r="E20" s="306" t="n"/>
      <c r="F20" s="132">
        <f>SUM(F19:F19)</f>
        <v/>
      </c>
      <c r="G20" s="132">
        <f>SUM(G19:G19)</f>
        <v/>
      </c>
      <c r="H20" s="132">
        <f>SUM(H19:H19)</f>
        <v/>
      </c>
      <c r="I20" s="208" t="n"/>
      <c r="J20" s="134">
        <f>SUM(F20:I20)</f>
        <v/>
      </c>
    </row>
    <row r="21" ht="28.5" customHeight="1" s="190">
      <c r="B21" s="226" t="inlineStr">
        <is>
          <t>Всего по объекту в сопоставимом уровне цен 3 кв. 2021 г:</t>
        </is>
      </c>
      <c r="C21" s="305" t="n"/>
      <c r="D21" s="305" t="n"/>
      <c r="E21" s="306" t="n"/>
      <c r="F21" s="132">
        <f>F20</f>
        <v/>
      </c>
      <c r="G21" s="132">
        <f>G20</f>
        <v/>
      </c>
      <c r="H21" s="132">
        <f>H20</f>
        <v/>
      </c>
      <c r="I21" s="208" t="n"/>
      <c r="J21" s="134">
        <f>SUM(F21:I21)</f>
        <v/>
      </c>
    </row>
    <row r="24">
      <c r="B24" s="233" t="inlineStr">
        <is>
          <t>*</t>
        </is>
      </c>
      <c r="C24" s="192" t="inlineStr">
        <is>
          <t xml:space="preserve"> - стоимость с учетом исключения затрат на корректровку по транспортировке  свыше 30 км.</t>
        </is>
      </c>
    </row>
    <row r="28">
      <c r="B28" s="192" t="inlineStr">
        <is>
          <t>Составил ______________________        Д.Ю. Нефедова</t>
        </is>
      </c>
    </row>
    <row r="29">
      <c r="B29" s="127" t="inlineStr">
        <is>
          <t xml:space="preserve">                         (подпись, инициалы, фамилия)</t>
        </is>
      </c>
    </row>
    <row r="31">
      <c r="B31" s="192" t="inlineStr">
        <is>
          <t>Проверил ______________________        А.В. Костянецкая</t>
        </is>
      </c>
    </row>
    <row r="32">
      <c r="B32" s="127" t="inlineStr">
        <is>
          <t xml:space="preserve">                        (подпись, инициалы, фамилия)</t>
        </is>
      </c>
    </row>
  </sheetData>
  <mergeCells count="20">
    <mergeCell ref="E17:E18"/>
    <mergeCell ref="D9:J9"/>
    <mergeCell ref="F10:J10"/>
    <mergeCell ref="D17:D18"/>
    <mergeCell ref="B20:E20"/>
    <mergeCell ref="E10:E11"/>
    <mergeCell ref="B4:K4"/>
    <mergeCell ref="B7:K7"/>
    <mergeCell ref="B16:B18"/>
    <mergeCell ref="B6:J6"/>
    <mergeCell ref="F17:J17"/>
    <mergeCell ref="B21:E21"/>
    <mergeCell ref="B14:E14"/>
    <mergeCell ref="B3:J3"/>
    <mergeCell ref="D10:D11"/>
    <mergeCell ref="B13:E13"/>
    <mergeCell ref="C16:C18"/>
    <mergeCell ref="D16:J16"/>
    <mergeCell ref="B9:B11"/>
    <mergeCell ref="C9:C11"/>
  </mergeCells>
  <pageMargins left="0.7" right="0.7" top="0.75" bottom="0.75" header="0.3" footer="0.3"/>
  <pageSetup orientation="portrait" paperSize="9" scale="5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M62"/>
  <sheetViews>
    <sheetView view="pageBreakPreview" topLeftCell="A38" zoomScale="85" workbookViewId="0">
      <selection activeCell="C57" sqref="C57"/>
    </sheetView>
  </sheetViews>
  <sheetFormatPr baseColWidth="8" defaultColWidth="9.140625" defaultRowHeight="15.75"/>
  <cols>
    <col width="9.140625" customWidth="1" style="192" min="1" max="1"/>
    <col width="12.5703125" customWidth="1" style="192" min="2" max="2"/>
    <col width="22.42578125" customWidth="1" style="192" min="3" max="3"/>
    <col width="49.7109375" customWidth="1" style="192" min="4" max="4"/>
    <col width="10.140625" customWidth="1" style="136" min="5" max="5"/>
    <col width="20.7109375" customWidth="1" style="192" min="6" max="6"/>
    <col width="16.140625" customWidth="1" style="192" min="7" max="7"/>
    <col width="16.7109375" customWidth="1" style="192" min="8" max="8"/>
    <col width="9.140625" customWidth="1" style="192" min="9" max="9"/>
    <col width="10.28515625" customWidth="1" style="192" min="10" max="10"/>
    <col width="9.140625" customWidth="1" style="192" min="11" max="11"/>
  </cols>
  <sheetData>
    <row r="2">
      <c r="A2" s="218" t="inlineStr">
        <is>
          <t xml:space="preserve">Приложение № 3 </t>
        </is>
      </c>
    </row>
    <row r="3">
      <c r="A3" s="219" t="inlineStr">
        <is>
          <t>Объектная ресурсная ведомость</t>
        </is>
      </c>
    </row>
    <row r="4">
      <c r="A4" s="221" t="n"/>
    </row>
    <row r="5" ht="30.75" customHeight="1" s="190">
      <c r="A5" s="227" t="inlineStr">
        <is>
          <t>Наименование разрабатываемого показателя УНЦ - Комплекс систем безопасности ПС. Система пожарной и охранной сигнализации</t>
        </is>
      </c>
    </row>
    <row r="6">
      <c r="A6" s="137" t="n"/>
      <c r="B6" s="137" t="n"/>
      <c r="C6" s="137" t="n"/>
      <c r="D6" s="137" t="n"/>
      <c r="E6" s="115" t="n"/>
      <c r="F6" s="137" t="n"/>
      <c r="G6" s="137" t="n"/>
      <c r="H6" s="137" t="n"/>
    </row>
    <row r="7" ht="38.25" customHeight="1" s="190">
      <c r="A7" s="225" t="inlineStr">
        <is>
          <t>п/п</t>
        </is>
      </c>
      <c r="B7" s="225" t="inlineStr">
        <is>
          <t>№ЛСР</t>
        </is>
      </c>
      <c r="C7" s="225" t="inlineStr">
        <is>
          <t>Код ресурса</t>
        </is>
      </c>
      <c r="D7" s="225" t="inlineStr">
        <is>
          <t>Наименование ресурса</t>
        </is>
      </c>
      <c r="E7" s="225" t="inlineStr">
        <is>
          <t>Ед. изм.</t>
        </is>
      </c>
      <c r="F7" s="225" t="inlineStr">
        <is>
          <t>Кол-во единиц по данным объекта-представителя</t>
        </is>
      </c>
      <c r="G7" s="225" t="inlineStr">
        <is>
          <t>Сметная стоимость в ценах на 01.01.2000 (руб.)</t>
        </is>
      </c>
      <c r="H7" s="306" t="n"/>
    </row>
    <row r="8" ht="40.5" customHeight="1" s="190">
      <c r="A8" s="308" t="n"/>
      <c r="B8" s="308" t="n"/>
      <c r="C8" s="308" t="n"/>
      <c r="D8" s="308" t="n"/>
      <c r="E8" s="308" t="n"/>
      <c r="F8" s="308" t="n"/>
      <c r="G8" s="225" t="inlineStr">
        <is>
          <t>на ед.изм.</t>
        </is>
      </c>
      <c r="H8" s="225" t="inlineStr">
        <is>
          <t>общая</t>
        </is>
      </c>
    </row>
    <row r="9">
      <c r="A9" s="138" t="n">
        <v>1</v>
      </c>
      <c r="B9" s="138" t="n"/>
      <c r="C9" s="138" t="n">
        <v>2</v>
      </c>
      <c r="D9" s="138" t="inlineStr">
        <is>
          <t>З</t>
        </is>
      </c>
      <c r="E9" s="138" t="n">
        <v>4</v>
      </c>
      <c r="F9" s="138" t="n">
        <v>5</v>
      </c>
      <c r="G9" s="138" t="n">
        <v>6</v>
      </c>
      <c r="H9" s="138" t="n">
        <v>7</v>
      </c>
    </row>
    <row r="10" customFormat="1" s="140">
      <c r="A10" s="228" t="inlineStr">
        <is>
          <t>Затраты труда рабочих</t>
        </is>
      </c>
      <c r="B10" s="305" t="n"/>
      <c r="C10" s="305" t="n"/>
      <c r="D10" s="305" t="n"/>
      <c r="E10" s="306" t="n"/>
      <c r="F10" s="139" t="n">
        <v>1113.95</v>
      </c>
      <c r="G10" s="139" t="n"/>
      <c r="H10" s="139">
        <f>SUM(H11:H18)</f>
        <v/>
      </c>
      <c r="I10" s="192" t="n"/>
      <c r="J10" s="192" t="n"/>
      <c r="K10" s="192" t="n"/>
      <c r="L10" s="192" t="n"/>
      <c r="M10" s="192" t="n"/>
    </row>
    <row r="11">
      <c r="A11" s="229" t="n">
        <v>1</v>
      </c>
      <c r="B11" s="142" t="inlineStr">
        <is>
          <t> </t>
        </is>
      </c>
      <c r="C11" s="143" t="inlineStr">
        <is>
          <t>1-4-0</t>
        </is>
      </c>
      <c r="D11" s="230" t="inlineStr">
        <is>
          <t>Затраты труда рабочих (ср 4)</t>
        </is>
      </c>
      <c r="E11" s="145" t="inlineStr">
        <is>
          <t>чел.-ч</t>
        </is>
      </c>
      <c r="F11" s="229" t="n">
        <v>903.4299999999999</v>
      </c>
      <c r="G11" s="146" t="n">
        <v>9.619999999999999</v>
      </c>
      <c r="H11" s="146">
        <f>ROUND(F11*G11,2)</f>
        <v/>
      </c>
    </row>
    <row r="12">
      <c r="A12" s="229" t="n">
        <v>2</v>
      </c>
      <c r="B12" s="142" t="inlineStr">
        <is>
          <t> </t>
        </is>
      </c>
      <c r="C12" s="143" t="inlineStr">
        <is>
          <t>1-3-8</t>
        </is>
      </c>
      <c r="D12" s="230" t="inlineStr">
        <is>
          <t>Затраты труда рабочих (ср 3,8)</t>
        </is>
      </c>
      <c r="E12" s="145" t="inlineStr">
        <is>
          <t>чел.-ч</t>
        </is>
      </c>
      <c r="F12" s="229" t="n">
        <v>84.31999999999999</v>
      </c>
      <c r="G12" s="146" t="n">
        <v>9.4</v>
      </c>
      <c r="H12" s="146">
        <f>ROUND(F12*G12,2)</f>
        <v/>
      </c>
    </row>
    <row r="13">
      <c r="A13" s="229" t="n">
        <v>3</v>
      </c>
      <c r="B13" s="142" t="inlineStr">
        <is>
          <t> </t>
        </is>
      </c>
      <c r="C13" s="143" t="inlineStr">
        <is>
          <t>1-4-3</t>
        </is>
      </c>
      <c r="D13" s="230" t="inlineStr">
        <is>
          <t>Затраты труда рабочих (ср 4,3)</t>
        </is>
      </c>
      <c r="E13" s="145" t="inlineStr">
        <is>
          <t>чел.-ч</t>
        </is>
      </c>
      <c r="F13" s="229" t="n">
        <v>48</v>
      </c>
      <c r="G13" s="146" t="n">
        <v>10.06</v>
      </c>
      <c r="H13" s="146">
        <f>ROUND(F13*G13,2)</f>
        <v/>
      </c>
    </row>
    <row r="14">
      <c r="A14" s="229" t="n">
        <v>4</v>
      </c>
      <c r="B14" s="142" t="inlineStr">
        <is>
          <t> </t>
        </is>
      </c>
      <c r="C14" s="143" t="inlineStr">
        <is>
          <t>1-4-2</t>
        </is>
      </c>
      <c r="D14" s="230" t="inlineStr">
        <is>
          <t>Затраты труда рабочих (ср 4,2)</t>
        </is>
      </c>
      <c r="E14" s="145" t="inlineStr">
        <is>
          <t>чел.-ч</t>
        </is>
      </c>
      <c r="F14" s="229" t="n">
        <v>29.7</v>
      </c>
      <c r="G14" s="146" t="n">
        <v>9.92</v>
      </c>
      <c r="H14" s="146">
        <f>ROUND(F14*G14,2)</f>
        <v/>
      </c>
    </row>
    <row r="15">
      <c r="A15" s="229" t="n">
        <v>5</v>
      </c>
      <c r="B15" s="142" t="inlineStr">
        <is>
          <t> </t>
        </is>
      </c>
      <c r="C15" s="143" t="inlineStr">
        <is>
          <t>1-3-5</t>
        </is>
      </c>
      <c r="D15" s="230" t="inlineStr">
        <is>
          <t>Затраты труда рабочих (ср 3,5)</t>
        </is>
      </c>
      <c r="E15" s="145" t="inlineStr">
        <is>
          <t>чел.-ч</t>
        </is>
      </c>
      <c r="F15" s="229" t="n">
        <v>20</v>
      </c>
      <c r="G15" s="146" t="n">
        <v>9.07</v>
      </c>
      <c r="H15" s="146">
        <f>ROUND(F15*G15,2)</f>
        <v/>
      </c>
    </row>
    <row r="16">
      <c r="A16" s="229" t="n">
        <v>6</v>
      </c>
      <c r="B16" s="142" t="inlineStr">
        <is>
          <t> </t>
        </is>
      </c>
      <c r="C16" s="143" t="inlineStr">
        <is>
          <t>1-4-6</t>
        </is>
      </c>
      <c r="D16" s="230" t="inlineStr">
        <is>
          <t>Затраты труда рабочих (ср 4,6)</t>
        </is>
      </c>
      <c r="E16" s="145" t="inlineStr">
        <is>
          <t>чел.-ч</t>
        </is>
      </c>
      <c r="F16" s="229" t="n">
        <v>14.4</v>
      </c>
      <c r="G16" s="146" t="n">
        <v>10.5</v>
      </c>
      <c r="H16" s="146">
        <f>ROUND(F16*G16,2)</f>
        <v/>
      </c>
    </row>
    <row r="17">
      <c r="A17" s="229" t="n">
        <v>7</v>
      </c>
      <c r="B17" s="142" t="inlineStr">
        <is>
          <t> </t>
        </is>
      </c>
      <c r="C17" s="143" t="inlineStr">
        <is>
          <t>1-4-4</t>
        </is>
      </c>
      <c r="D17" s="230" t="inlineStr">
        <is>
          <t>Затраты труда рабочих (ср 4,4)</t>
        </is>
      </c>
      <c r="E17" s="145" t="inlineStr">
        <is>
          <t>чел.-ч</t>
        </is>
      </c>
      <c r="F17" s="229" t="n">
        <v>10.8</v>
      </c>
      <c r="G17" s="146" t="n">
        <v>10.21</v>
      </c>
      <c r="H17" s="146">
        <f>ROUND(F17*G17,2)</f>
        <v/>
      </c>
    </row>
    <row r="18">
      <c r="A18" s="229" t="n">
        <v>8</v>
      </c>
      <c r="B18" s="142" t="inlineStr">
        <is>
          <t> </t>
        </is>
      </c>
      <c r="C18" s="143" t="inlineStr">
        <is>
          <t>1-4-5</t>
        </is>
      </c>
      <c r="D18" s="230" t="inlineStr">
        <is>
          <t>Затраты труда рабочих (ср 4,5)</t>
        </is>
      </c>
      <c r="E18" s="145" t="inlineStr">
        <is>
          <t>чел.-ч</t>
        </is>
      </c>
      <c r="F18" s="229" t="n">
        <v>3.3</v>
      </c>
      <c r="G18" s="146" t="n">
        <v>10.35</v>
      </c>
      <c r="H18" s="146">
        <f>ROUND(F18*G18,2)</f>
        <v/>
      </c>
    </row>
    <row r="19">
      <c r="A19" s="228" t="inlineStr">
        <is>
          <t>Затраты труда машинистов</t>
        </is>
      </c>
      <c r="B19" s="305" t="n"/>
      <c r="C19" s="305" t="n"/>
      <c r="D19" s="305" t="n"/>
      <c r="E19" s="306" t="n"/>
      <c r="F19" s="228" t="n">
        <v>4.9</v>
      </c>
      <c r="G19" s="139" t="n"/>
      <c r="H19" s="139">
        <f>H20</f>
        <v/>
      </c>
    </row>
    <row r="20">
      <c r="A20" s="229" t="n">
        <v>9</v>
      </c>
      <c r="B20" s="229" t="inlineStr">
        <is>
          <t> </t>
        </is>
      </c>
      <c r="C20" s="230" t="n">
        <v>2</v>
      </c>
      <c r="D20" s="230" t="inlineStr">
        <is>
          <t>Затраты труда машинистов</t>
        </is>
      </c>
      <c r="E20" s="145" t="inlineStr">
        <is>
          <t>чел.-ч</t>
        </is>
      </c>
      <c r="F20" s="229" t="n">
        <v>4.9</v>
      </c>
      <c r="G20" s="146" t="n"/>
      <c r="H20" s="146" t="n">
        <v>61.5</v>
      </c>
    </row>
    <row r="21" customFormat="1" s="140">
      <c r="A21" s="228" t="inlineStr">
        <is>
          <t>Машины и механизмы</t>
        </is>
      </c>
      <c r="B21" s="305" t="n"/>
      <c r="C21" s="305" t="n"/>
      <c r="D21" s="305" t="n"/>
      <c r="E21" s="306" t="n"/>
      <c r="F21" s="228" t="n"/>
      <c r="G21" s="139" t="n"/>
      <c r="H21" s="139">
        <f>SUM(H22:H25)</f>
        <v/>
      </c>
      <c r="I21" s="192" t="n"/>
      <c r="J21" s="192" t="n"/>
      <c r="K21" s="192" t="n"/>
      <c r="L21" s="192" t="n"/>
      <c r="M21" s="192" t="n"/>
    </row>
    <row r="22" ht="31.5" customHeight="1" s="190">
      <c r="A22" s="229" t="n">
        <v>10</v>
      </c>
      <c r="B22" s="229" t="inlineStr">
        <is>
          <t> </t>
        </is>
      </c>
      <c r="C22" s="210" t="inlineStr">
        <is>
          <t>91.05.05-015</t>
        </is>
      </c>
      <c r="D22" s="230" t="inlineStr">
        <is>
          <t>Краны на автомобильном ходу, грузоподъемность 16 т</t>
        </is>
      </c>
      <c r="E22" s="145" t="inlineStr">
        <is>
          <t>маш.час</t>
        </is>
      </c>
      <c r="F22" s="229" t="n">
        <v>2.45</v>
      </c>
      <c r="G22" s="146" t="n">
        <v>115.4</v>
      </c>
      <c r="H22" s="146">
        <f>ROUND(F22*G22,2)</f>
        <v/>
      </c>
    </row>
    <row r="23" customFormat="1" s="140">
      <c r="A23" s="229" t="n">
        <v>11</v>
      </c>
      <c r="B23" s="229" t="inlineStr">
        <is>
          <t> </t>
        </is>
      </c>
      <c r="C23" s="210" t="inlineStr">
        <is>
          <t>91.14.02-001</t>
        </is>
      </c>
      <c r="D23" s="230" t="inlineStr">
        <is>
          <t>Автомобили бортовые, грузоподъемность до 5 т</t>
        </is>
      </c>
      <c r="E23" s="145" t="inlineStr">
        <is>
          <t>маш.час</t>
        </is>
      </c>
      <c r="F23" s="229" t="n">
        <v>2.45</v>
      </c>
      <c r="G23" s="146" t="n">
        <v>65.70999999999999</v>
      </c>
      <c r="H23" s="146">
        <f>ROUND(F23*G23,2)</f>
        <v/>
      </c>
      <c r="I23" s="192" t="n"/>
      <c r="J23" s="192" t="n"/>
      <c r="K23" s="192" t="n"/>
      <c r="L23" s="192" t="n"/>
      <c r="M23" s="192" t="n"/>
    </row>
    <row r="24" ht="31.5" customFormat="1" customHeight="1" s="140">
      <c r="A24" s="229" t="n">
        <v>12</v>
      </c>
      <c r="B24" s="229" t="inlineStr">
        <is>
          <t> </t>
        </is>
      </c>
      <c r="C24" s="210" t="inlineStr">
        <is>
          <t>91.06.03-061</t>
        </is>
      </c>
      <c r="D24" s="230" t="inlineStr">
        <is>
          <t>Лебедки электрические тяговым усилием до 12,26 кН (1,25 т)</t>
        </is>
      </c>
      <c r="E24" s="145" t="inlineStr">
        <is>
          <t>маш.час</t>
        </is>
      </c>
      <c r="F24" s="229" t="n">
        <v>20.4</v>
      </c>
      <c r="G24" s="146" t="n">
        <v>3.28</v>
      </c>
      <c r="H24" s="146">
        <f>ROUND(F24*G24,2)</f>
        <v/>
      </c>
      <c r="I24" s="192" t="n"/>
      <c r="J24" s="192" t="n"/>
      <c r="K24" s="192" t="n"/>
      <c r="L24" s="192" t="n"/>
      <c r="M24" s="192" t="n"/>
    </row>
    <row r="25" ht="31.5" customFormat="1" customHeight="1" s="140">
      <c r="A25" s="229" t="n">
        <v>13</v>
      </c>
      <c r="B25" s="229" t="inlineStr">
        <is>
          <t> </t>
        </is>
      </c>
      <c r="C25" s="210" t="inlineStr">
        <is>
          <t>91.06.01-003</t>
        </is>
      </c>
      <c r="D25" s="230" t="inlineStr">
        <is>
          <t>Домкраты гидравлические, грузоподъемность 63-100 т</t>
        </is>
      </c>
      <c r="E25" s="145" t="inlineStr">
        <is>
          <t>маш.час</t>
        </is>
      </c>
      <c r="F25" s="229" t="n">
        <v>20.4</v>
      </c>
      <c r="G25" s="146" t="n">
        <v>0.9</v>
      </c>
      <c r="H25" s="146">
        <f>ROUND(F25*G25,2)</f>
        <v/>
      </c>
      <c r="I25" s="192" t="n"/>
      <c r="J25" s="192" t="n"/>
      <c r="K25" s="192" t="n"/>
      <c r="L25" s="192" t="n"/>
      <c r="M25" s="192" t="n"/>
    </row>
    <row r="26">
      <c r="A26" s="228" t="inlineStr">
        <is>
          <t>Оборудование</t>
        </is>
      </c>
      <c r="B26" s="305" t="n"/>
      <c r="C26" s="305" t="n"/>
      <c r="D26" s="305" t="n"/>
      <c r="E26" s="306" t="n"/>
      <c r="F26" s="228" t="n"/>
      <c r="G26" s="139" t="n"/>
      <c r="H26" s="139">
        <f>SUM(H27:H39)</f>
        <v/>
      </c>
    </row>
    <row r="27" ht="31.5" customFormat="1" customHeight="1" s="140">
      <c r="A27" s="229" t="n">
        <v>14</v>
      </c>
      <c r="B27" s="229" t="inlineStr">
        <is>
          <t> </t>
        </is>
      </c>
      <c r="C27" s="210" t="inlineStr">
        <is>
          <t>62.4.02.02-0041</t>
        </is>
      </c>
      <c r="D27" s="230" t="inlineStr">
        <is>
          <t>Источник резервного питания, марка: "РИП 12" исп. 06</t>
        </is>
      </c>
      <c r="E27" s="145" t="inlineStr">
        <is>
          <t>шт</t>
        </is>
      </c>
      <c r="F27" s="229" t="n">
        <v>6</v>
      </c>
      <c r="G27" s="146" t="n">
        <v>1105.2</v>
      </c>
      <c r="H27" s="146">
        <f>ROUND(F27*G27,2)</f>
        <v/>
      </c>
      <c r="I27" s="192" t="n"/>
      <c r="J27" s="192" t="n"/>
      <c r="K27" s="192" t="n"/>
      <c r="L27" s="192" t="n"/>
      <c r="M27" s="192" t="n"/>
    </row>
    <row r="28" ht="47.25" customFormat="1" customHeight="1" s="140">
      <c r="A28" s="229" t="n">
        <v>15</v>
      </c>
      <c r="B28" s="229" t="inlineStr">
        <is>
          <t> </t>
        </is>
      </c>
      <c r="C28" s="210" t="inlineStr">
        <is>
          <t>61.2.02.01-1004</t>
        </is>
      </c>
      <c r="D28" s="230" t="inlineStr">
        <is>
          <t>Извещатель пожарный дымовой ДИП-34А (ИП 212-34А) оптико-электронный адресно-аналоговый в комплекте с базой (розеткой)</t>
        </is>
      </c>
      <c r="E28" s="145" t="inlineStr">
        <is>
          <t>шт</t>
        </is>
      </c>
      <c r="F28" s="229" t="n">
        <v>39</v>
      </c>
      <c r="G28" s="146" t="n">
        <v>116.52</v>
      </c>
      <c r="H28" s="146">
        <f>ROUND(F28*G28,2)</f>
        <v/>
      </c>
      <c r="I28" s="192" t="n"/>
      <c r="J28" s="192" t="n"/>
      <c r="K28" s="192" t="n"/>
      <c r="L28" s="192" t="n"/>
      <c r="M28" s="192" t="n"/>
    </row>
    <row r="29" ht="63" customFormat="1" customHeight="1" s="140">
      <c r="A29" s="229" t="n">
        <v>16</v>
      </c>
      <c r="B29" s="229" t="inlineStr">
        <is>
          <t> </t>
        </is>
      </c>
      <c r="C29" s="210" t="inlineStr">
        <is>
          <t>61.2.02.02-0001</t>
        </is>
      </c>
      <c r="D29" s="230" t="inlineStr">
        <is>
          <t>Извещатель адресный пожарный тепловой интеллектуальный ИП101-24А-A1R максимально-дифференциальный «Leonardo-Т», без базы (прим. марка "С2000-ИП")</t>
        </is>
      </c>
      <c r="E29" s="145" t="inlineStr">
        <is>
          <t>10 шт</t>
        </is>
      </c>
      <c r="F29" s="229" t="n">
        <v>2</v>
      </c>
      <c r="G29" s="146" t="n">
        <v>2188.6</v>
      </c>
      <c r="H29" s="146">
        <f>ROUND(F29*G29,2)</f>
        <v/>
      </c>
      <c r="I29" s="192" t="n"/>
      <c r="J29" s="192" t="n"/>
      <c r="K29" s="192" t="n"/>
      <c r="L29" s="192" t="n"/>
      <c r="M29" s="192" t="n"/>
    </row>
    <row r="30" customFormat="1" s="140">
      <c r="A30" s="229" t="n">
        <v>17</v>
      </c>
      <c r="B30" s="229" t="inlineStr">
        <is>
          <t> </t>
        </is>
      </c>
      <c r="C30" s="210" t="inlineStr">
        <is>
          <t>61.2.02.01-0095</t>
        </is>
      </c>
      <c r="D30" s="230" t="inlineStr">
        <is>
          <t>Извещатель пожарный дымовой: ИПДЛ</t>
        </is>
      </c>
      <c r="E30" s="145" t="inlineStr">
        <is>
          <t>10 шт</t>
        </is>
      </c>
      <c r="F30" s="229" t="n">
        <v>0.7</v>
      </c>
      <c r="G30" s="146" t="n">
        <v>3463.94</v>
      </c>
      <c r="H30" s="146">
        <f>ROUND(F30*G30,2)</f>
        <v/>
      </c>
      <c r="I30" s="192" t="n"/>
      <c r="J30" s="192" t="n"/>
      <c r="K30" s="192" t="n"/>
      <c r="L30" s="192" t="n"/>
      <c r="M30" s="192" t="n"/>
    </row>
    <row r="31" ht="31.5" customFormat="1" customHeight="1" s="140">
      <c r="A31" s="229" t="n">
        <v>18</v>
      </c>
      <c r="B31" s="229" t="inlineStr">
        <is>
          <t> </t>
        </is>
      </c>
      <c r="C31" s="210" t="inlineStr">
        <is>
          <t>61.2.04.05-0018</t>
        </is>
      </c>
      <c r="D31" s="230" t="inlineStr">
        <is>
          <t>Оповещатель охранно-пожарный звуковой, тип СВИРЕЛЬ-2 исп.00 6-15В/600мА</t>
        </is>
      </c>
      <c r="E31" s="145" t="inlineStr">
        <is>
          <t>шт</t>
        </is>
      </c>
      <c r="F31" s="229" t="n">
        <v>11</v>
      </c>
      <c r="G31" s="146" t="n">
        <v>187</v>
      </c>
      <c r="H31" s="146">
        <f>ROUND(F31*G31,2)</f>
        <v/>
      </c>
      <c r="I31" s="192" t="n"/>
      <c r="J31" s="192" t="n"/>
      <c r="K31" s="192" t="n"/>
      <c r="L31" s="192" t="n"/>
      <c r="M31" s="192" t="n"/>
    </row>
    <row r="32" customFormat="1" s="140">
      <c r="A32" s="229" t="n">
        <v>19</v>
      </c>
      <c r="B32" s="229" t="inlineStr">
        <is>
          <t> </t>
        </is>
      </c>
      <c r="C32" s="210" t="inlineStr">
        <is>
          <t>61.2.04.07-0008</t>
        </is>
      </c>
      <c r="D32" s="230" t="inlineStr">
        <is>
          <t>Оповещатель световой МОЛНИЯ-12(24)</t>
        </is>
      </c>
      <c r="E32" s="145" t="inlineStr">
        <is>
          <t>шт</t>
        </is>
      </c>
      <c r="F32" s="229" t="n">
        <v>47</v>
      </c>
      <c r="G32" s="146" t="n">
        <v>38.38</v>
      </c>
      <c r="H32" s="146">
        <f>ROUND(F32*G32,2)</f>
        <v/>
      </c>
      <c r="I32" s="192" t="n"/>
      <c r="J32" s="192" t="n"/>
      <c r="K32" s="192" t="n"/>
      <c r="L32" s="192" t="n"/>
      <c r="M32" s="192" t="n"/>
    </row>
    <row r="33" customFormat="1" s="140">
      <c r="A33" s="229" t="n">
        <v>20</v>
      </c>
      <c r="B33" s="229" t="inlineStr">
        <is>
          <t> </t>
        </is>
      </c>
      <c r="C33" s="210" t="inlineStr">
        <is>
          <t>61.2.07.02-0034</t>
        </is>
      </c>
      <c r="D33" s="230" t="inlineStr">
        <is>
          <t>Блок контрольно-пусковой, марка "С2000-КПБ"</t>
        </is>
      </c>
      <c r="E33" s="145" t="inlineStr">
        <is>
          <t>шт</t>
        </is>
      </c>
      <c r="F33" s="229" t="n">
        <v>7</v>
      </c>
      <c r="G33" s="146" t="n">
        <v>243.85</v>
      </c>
      <c r="H33" s="146">
        <f>ROUND(F33*G33,2)</f>
        <v/>
      </c>
      <c r="I33" s="192" t="n"/>
      <c r="J33" s="192" t="n"/>
      <c r="K33" s="192" t="n"/>
      <c r="L33" s="192" t="n"/>
      <c r="M33" s="192" t="n"/>
    </row>
    <row r="34" ht="141.75" customFormat="1" customHeight="1" s="140">
      <c r="A34" s="229" t="n">
        <v>21</v>
      </c>
      <c r="B34" s="229" t="inlineStr">
        <is>
          <t> </t>
        </is>
      </c>
      <c r="C34" s="210" t="inlineStr">
        <is>
          <t>61.2.07.02-0042</t>
        </is>
      </c>
      <c r="D34" s="230" t="inlineStr">
        <is>
          <t>Блок контроля и индикации для работы в составе интегрированной системе охраны совместно с пультом контроля и управления, ручного управления 60 разделами системы и отображения с помощью встроенных индикаторов и звуковой сигнализации, количество кнопок для управления разделами 60, напряжение питания от 10.2 до 28 В, потребляемый ток, в дежурном режиме 200 мА</t>
        </is>
      </c>
      <c r="E34" s="145" t="inlineStr">
        <is>
          <t>шт</t>
        </is>
      </c>
      <c r="F34" s="229" t="n">
        <v>2</v>
      </c>
      <c r="G34" s="146" t="n">
        <v>726.24</v>
      </c>
      <c r="H34" s="146">
        <f>ROUND(F34*G34,2)</f>
        <v/>
      </c>
      <c r="I34" s="192" t="n"/>
      <c r="J34" s="192" t="n"/>
      <c r="K34" s="192" t="n"/>
      <c r="L34" s="192" t="n"/>
      <c r="M34" s="192" t="n"/>
    </row>
    <row r="35" ht="31.5" customFormat="1" customHeight="1" s="140">
      <c r="A35" s="229" t="n">
        <v>22</v>
      </c>
      <c r="B35" s="229" t="inlineStr">
        <is>
          <t> </t>
        </is>
      </c>
      <c r="C35" s="210" t="inlineStr">
        <is>
          <t>61.2.07.04-0002</t>
        </is>
      </c>
      <c r="D35" s="230" t="inlineStr">
        <is>
          <t>Контроллер двухпроводной линии связи, марка "С2000-КДЛ"</t>
        </is>
      </c>
      <c r="E35" s="145" t="inlineStr">
        <is>
          <t>шт</t>
        </is>
      </c>
      <c r="F35" s="229" t="n">
        <v>8</v>
      </c>
      <c r="G35" s="146" t="n">
        <v>175.63</v>
      </c>
      <c r="H35" s="146">
        <f>ROUND(F35*G35,2)</f>
        <v/>
      </c>
      <c r="I35" s="192" t="n"/>
      <c r="J35" s="192" t="n"/>
      <c r="K35" s="192" t="n"/>
      <c r="L35" s="192" t="n"/>
      <c r="M35" s="192" t="n"/>
    </row>
    <row r="36" ht="31.5" customFormat="1" customHeight="1" s="140">
      <c r="A36" s="229" t="n">
        <v>23</v>
      </c>
      <c r="B36" s="229" t="inlineStr">
        <is>
          <t> </t>
        </is>
      </c>
      <c r="C36" s="210" t="inlineStr">
        <is>
          <t>61.2.02.03-0025</t>
        </is>
      </c>
      <c r="D36" s="230" t="inlineStr">
        <is>
          <t>Извещатель пожарный ручной: ИПР-513-3 исп. 02</t>
        </is>
      </c>
      <c r="E36" s="145" t="inlineStr">
        <is>
          <t>10 шт</t>
        </is>
      </c>
      <c r="F36" s="229" t="n">
        <v>2.8</v>
      </c>
      <c r="G36" s="146" t="n">
        <v>410.04</v>
      </c>
      <c r="H36" s="146">
        <f>ROUND(F36*G36,2)</f>
        <v/>
      </c>
      <c r="I36" s="192" t="n"/>
      <c r="J36" s="192" t="n"/>
      <c r="K36" s="192" t="n"/>
      <c r="L36" s="192" t="n"/>
      <c r="M36" s="192" t="n"/>
    </row>
    <row r="37" ht="63" customFormat="1" customHeight="1" s="140">
      <c r="A37" s="229" t="n">
        <v>24</v>
      </c>
      <c r="B37" s="229" t="inlineStr">
        <is>
          <t> </t>
        </is>
      </c>
      <c r="C37" s="210" t="inlineStr">
        <is>
          <t>61.2.07.02-0051</t>
        </is>
      </c>
      <c r="D37" s="230" t="inlineStr">
        <is>
          <t>Блоки разветвительно-изолирующие типа БРИЗ, для участка двухпроводной линии с коротким замыканием, размер не более 56х38х20 мм</t>
        </is>
      </c>
      <c r="E37" s="145" t="inlineStr">
        <is>
          <t>шт</t>
        </is>
      </c>
      <c r="F37" s="229" t="n">
        <v>10</v>
      </c>
      <c r="G37" s="146" t="n">
        <v>68.81999999999999</v>
      </c>
      <c r="H37" s="146">
        <f>ROUND(F37*G37,2)</f>
        <v/>
      </c>
      <c r="I37" s="192" t="n"/>
      <c r="J37" s="192" t="n"/>
      <c r="K37" s="192" t="n"/>
      <c r="L37" s="192" t="n"/>
      <c r="M37" s="192" t="n"/>
    </row>
    <row r="38" ht="31.5" customFormat="1" customHeight="1" s="140">
      <c r="A38" s="229" t="n">
        <v>25</v>
      </c>
      <c r="B38" s="229" t="inlineStr">
        <is>
          <t> </t>
        </is>
      </c>
      <c r="C38" s="210" t="inlineStr">
        <is>
          <t>61.2.04.10-0005</t>
        </is>
      </c>
      <c r="D38" s="230" t="inlineStr">
        <is>
          <t>Пульт контроля и управления охранно-пожарный, марка "С2000"</t>
        </is>
      </c>
      <c r="E38" s="145" t="inlineStr">
        <is>
          <t>шт</t>
        </is>
      </c>
      <c r="F38" s="229" t="n">
        <v>1</v>
      </c>
      <c r="G38" s="146" t="n">
        <v>367.7</v>
      </c>
      <c r="H38" s="146">
        <f>ROUND(F38*G38,2)</f>
        <v/>
      </c>
      <c r="I38" s="192" t="n"/>
      <c r="J38" s="192" t="n"/>
      <c r="K38" s="192" t="n"/>
      <c r="L38" s="192" t="n"/>
      <c r="M38" s="192" t="n"/>
    </row>
    <row r="39" ht="31.5" customFormat="1" customHeight="1" s="140">
      <c r="A39" s="229" t="n">
        <v>26</v>
      </c>
      <c r="B39" s="229" t="inlineStr">
        <is>
          <t> </t>
        </is>
      </c>
      <c r="C39" s="210" t="inlineStr">
        <is>
          <t>61.2.07.06-0005</t>
        </is>
      </c>
      <c r="D39" s="230" t="inlineStr">
        <is>
          <t>Расширитель адресный ("адресная метка"), марка "С2000-АР2" (прим. "С2000-АР8")</t>
        </is>
      </c>
      <c r="E39" s="145" t="inlineStr">
        <is>
          <t>100 шт</t>
        </is>
      </c>
      <c r="F39" s="229" t="n">
        <v>0.04</v>
      </c>
      <c r="G39" s="146" t="n">
        <v>5459</v>
      </c>
      <c r="H39" s="146">
        <f>ROUND(F39*G39,2)</f>
        <v/>
      </c>
      <c r="I39" s="192" t="n"/>
      <c r="J39" s="192" t="n"/>
      <c r="K39" s="192" t="n"/>
      <c r="L39" s="192" t="n"/>
      <c r="M39" s="192" t="n"/>
    </row>
    <row r="40">
      <c r="A40" s="228" t="inlineStr">
        <is>
          <t>Материалы</t>
        </is>
      </c>
      <c r="B40" s="305" t="n"/>
      <c r="C40" s="305" t="n"/>
      <c r="D40" s="305" t="n"/>
      <c r="E40" s="306" t="n"/>
      <c r="F40" s="228" t="n"/>
      <c r="G40" s="139" t="n"/>
      <c r="H40" s="139">
        <f>SUM(H41:H55)</f>
        <v/>
      </c>
    </row>
    <row r="41" ht="31.5" customHeight="1" s="190">
      <c r="A41" s="229" t="n">
        <v>27</v>
      </c>
      <c r="B41" s="229" t="inlineStr">
        <is>
          <t> </t>
        </is>
      </c>
      <c r="C41" s="210" t="inlineStr">
        <is>
          <t>21.1.08.01-0315</t>
        </is>
      </c>
      <c r="D41" s="230" t="inlineStr">
        <is>
          <t>Кабель пожарной сигнализации КПСЭнг(A)-FRLS 2х2х1</t>
        </is>
      </c>
      <c r="E41" s="145" t="inlineStr">
        <is>
          <t>1000 м</t>
        </is>
      </c>
      <c r="F41" s="229" t="n">
        <v>0.8</v>
      </c>
      <c r="G41" s="146" t="n">
        <v>8018.05</v>
      </c>
      <c r="H41" s="146">
        <f>ROUND(F41*G41,2)</f>
        <v/>
      </c>
    </row>
    <row r="42" ht="31.5" customHeight="1" s="190">
      <c r="A42" s="229" t="n">
        <v>28</v>
      </c>
      <c r="B42" s="229" t="inlineStr">
        <is>
          <t> </t>
        </is>
      </c>
      <c r="C42" s="210" t="inlineStr">
        <is>
          <t>01.7.15.07-0012</t>
        </is>
      </c>
      <c r="D42" s="230" t="inlineStr">
        <is>
          <t>Дюбели пластмассовые с шурупами, размер 12х70 мм</t>
        </is>
      </c>
      <c r="E42" s="145" t="inlineStr">
        <is>
          <t>100 шт</t>
        </is>
      </c>
      <c r="F42" s="229" t="n">
        <v>11.77</v>
      </c>
      <c r="G42" s="146" t="n">
        <v>83</v>
      </c>
      <c r="H42" s="146">
        <f>ROUND(F42*G42,2)</f>
        <v/>
      </c>
    </row>
    <row r="43" ht="31.5" customHeight="1" s="190">
      <c r="A43" s="229" t="n">
        <v>29</v>
      </c>
      <c r="B43" s="229" t="inlineStr">
        <is>
          <t> </t>
        </is>
      </c>
      <c r="C43" s="210" t="inlineStr">
        <is>
          <t>10.3.02.03-0012</t>
        </is>
      </c>
      <c r="D43" s="230" t="inlineStr">
        <is>
          <t>Припои оловянно-свинцовые бессурьмянистые, марка ПОС40</t>
        </is>
      </c>
      <c r="E43" s="145" t="inlineStr">
        <is>
          <t>т</t>
        </is>
      </c>
      <c r="F43" s="229" t="n">
        <v>0.004756</v>
      </c>
      <c r="G43" s="146" t="n">
        <v>65750</v>
      </c>
      <c r="H43" s="146">
        <f>ROUND(F43*G43,2)</f>
        <v/>
      </c>
    </row>
    <row r="44" ht="31.5" customHeight="1" s="190">
      <c r="A44" s="229" t="n">
        <v>30</v>
      </c>
      <c r="B44" s="229" t="inlineStr">
        <is>
          <t> </t>
        </is>
      </c>
      <c r="C44" s="210" t="inlineStr">
        <is>
          <t>10.3.02.03-0011</t>
        </is>
      </c>
      <c r="D44" s="230" t="inlineStr">
        <is>
          <t>Припои оловянно-свинцовые бессурьмянистые, марка ПОС30</t>
        </is>
      </c>
      <c r="E44" s="145" t="inlineStr">
        <is>
          <t>т</t>
        </is>
      </c>
      <c r="F44" s="229" t="n">
        <v>0.00425</v>
      </c>
      <c r="G44" s="146" t="n">
        <v>68050</v>
      </c>
      <c r="H44" s="146">
        <f>ROUND(F44*G44,2)</f>
        <v/>
      </c>
    </row>
    <row r="45" ht="31.5" customHeight="1" s="190">
      <c r="A45" s="229" t="n">
        <v>31</v>
      </c>
      <c r="B45" s="229" t="inlineStr">
        <is>
          <t> </t>
        </is>
      </c>
      <c r="C45" s="210" t="inlineStr">
        <is>
          <t>21.1.08.01-0313</t>
        </is>
      </c>
      <c r="D45" s="230" t="inlineStr">
        <is>
          <t>Кабель пожарной сигнализации КПСЭнг(A)-FRLS 1х2х1,5</t>
        </is>
      </c>
      <c r="E45" s="145" t="inlineStr">
        <is>
          <t>1000 м</t>
        </is>
      </c>
      <c r="F45" s="229" t="n">
        <v>0.05</v>
      </c>
      <c r="G45" s="146" t="n">
        <v>5545.45</v>
      </c>
      <c r="H45" s="146">
        <f>ROUND(F45*G45,2)</f>
        <v/>
      </c>
    </row>
    <row r="46" ht="31.5" customHeight="1" s="190">
      <c r="A46" s="229" t="n">
        <v>32</v>
      </c>
      <c r="B46" s="229" t="inlineStr">
        <is>
          <t> </t>
        </is>
      </c>
      <c r="C46" s="210" t="inlineStr">
        <is>
          <t>999-9950</t>
        </is>
      </c>
      <c r="D46" s="230" t="inlineStr">
        <is>
          <t>Вспомогательные ненормируемые ресурсы (2% от Оплаты труда рабочих)</t>
        </is>
      </c>
      <c r="E46" s="145" t="inlineStr">
        <is>
          <t>руб</t>
        </is>
      </c>
      <c r="F46" s="229" t="n">
        <v>213.705</v>
      </c>
      <c r="G46" s="146" t="n">
        <v>1</v>
      </c>
      <c r="H46" s="146">
        <f>ROUND(F46*G46,2)</f>
        <v/>
      </c>
    </row>
    <row r="47">
      <c r="A47" s="229" t="n">
        <v>33</v>
      </c>
      <c r="B47" s="229" t="inlineStr">
        <is>
          <t> </t>
        </is>
      </c>
      <c r="C47" s="210" t="inlineStr">
        <is>
          <t>21.2.03.09-0105</t>
        </is>
      </c>
      <c r="D47" s="230" t="inlineStr">
        <is>
          <t>Провод силовой ПРТО 1х1,5-660</t>
        </is>
      </c>
      <c r="E47" s="145" t="inlineStr">
        <is>
          <t>1000 м</t>
        </is>
      </c>
      <c r="F47" s="229" t="n">
        <v>0.05</v>
      </c>
      <c r="G47" s="146" t="n">
        <v>1819.3</v>
      </c>
      <c r="H47" s="146">
        <f>ROUND(F47*G47,2)</f>
        <v/>
      </c>
    </row>
    <row r="48">
      <c r="A48" s="229" t="n">
        <v>34</v>
      </c>
      <c r="B48" s="229" t="inlineStr">
        <is>
          <t> </t>
        </is>
      </c>
      <c r="C48" s="210" t="inlineStr">
        <is>
          <t>22.2.02.23-0011</t>
        </is>
      </c>
      <c r="D48" s="230" t="inlineStr">
        <is>
          <t>Глухари</t>
        </is>
      </c>
      <c r="E48" s="145" t="inlineStr">
        <is>
          <t>100 шт</t>
        </is>
      </c>
      <c r="F48" s="229" t="n">
        <v>0.11</v>
      </c>
      <c r="G48" s="146" t="n">
        <v>164</v>
      </c>
      <c r="H48" s="146">
        <f>ROUND(F48*G48,2)</f>
        <v/>
      </c>
    </row>
    <row r="49" ht="47.25" customHeight="1" s="190">
      <c r="A49" s="229" t="n">
        <v>35</v>
      </c>
      <c r="B49" s="229" t="inlineStr">
        <is>
          <t> </t>
        </is>
      </c>
      <c r="C49" s="210" t="inlineStr">
        <is>
          <t>01.7.06.05-0042</t>
        </is>
      </c>
      <c r="D49" s="230" t="inlineStr">
        <is>
          <t>Лента липкая изоляционная на поликасиновом компаунде, ширина 20-30 мм, толщина от 0,14 до 0,19 мм</t>
        </is>
      </c>
      <c r="E49" s="145" t="inlineStr">
        <is>
          <t>кг</t>
        </is>
      </c>
      <c r="F49" s="229" t="n">
        <v>0.15</v>
      </c>
      <c r="G49" s="146" t="n">
        <v>91.29000000000001</v>
      </c>
      <c r="H49" s="146">
        <f>ROUND(F49*G49,2)</f>
        <v/>
      </c>
    </row>
    <row r="50">
      <c r="A50" s="229" t="n">
        <v>36</v>
      </c>
      <c r="B50" s="229" t="inlineStr">
        <is>
          <t> </t>
        </is>
      </c>
      <c r="C50" s="210" t="inlineStr">
        <is>
          <t>01.7.15.03-0042</t>
        </is>
      </c>
      <c r="D50" s="230" t="inlineStr">
        <is>
          <t>Болты с гайками и шайбами строительные</t>
        </is>
      </c>
      <c r="E50" s="145" t="inlineStr">
        <is>
          <t>кг</t>
        </is>
      </c>
      <c r="F50" s="229" t="n">
        <v>1.5</v>
      </c>
      <c r="G50" s="146" t="n">
        <v>9.039999999999999</v>
      </c>
      <c r="H50" s="146">
        <f>ROUND(F50*G50,2)</f>
        <v/>
      </c>
    </row>
    <row r="51">
      <c r="A51" s="229" t="n">
        <v>37</v>
      </c>
      <c r="B51" s="229" t="inlineStr">
        <is>
          <t> </t>
        </is>
      </c>
      <c r="C51" s="210" t="inlineStr">
        <is>
          <t>01.3.05.17-0002</t>
        </is>
      </c>
      <c r="D51" s="230" t="inlineStr">
        <is>
          <t>Канифоль сосновая</t>
        </is>
      </c>
      <c r="E51" s="145" t="inlineStr">
        <is>
          <t>кг</t>
        </is>
      </c>
      <c r="F51" s="229" t="n">
        <v>0.3018</v>
      </c>
      <c r="G51" s="146" t="n">
        <v>27.74</v>
      </c>
      <c r="H51" s="146">
        <f>ROUND(F51*G51,2)</f>
        <v/>
      </c>
    </row>
    <row r="52">
      <c r="A52" s="229" t="n">
        <v>38</v>
      </c>
      <c r="B52" s="229" t="inlineStr">
        <is>
          <t> </t>
        </is>
      </c>
      <c r="C52" s="210" t="inlineStr">
        <is>
          <t>01.7.06.07-0002</t>
        </is>
      </c>
      <c r="D52" s="230" t="inlineStr">
        <is>
          <t>Лента монтажная, тип ЛМ-5</t>
        </is>
      </c>
      <c r="E52" s="145" t="inlineStr">
        <is>
          <t>10 м</t>
        </is>
      </c>
      <c r="F52" s="229" t="n">
        <v>0.8159999999999999</v>
      </c>
      <c r="G52" s="146" t="n">
        <v>6.9</v>
      </c>
      <c r="H52" s="146">
        <f>ROUND(F52*G52,2)</f>
        <v/>
      </c>
    </row>
    <row r="53">
      <c r="A53" s="229" t="n">
        <v>39</v>
      </c>
      <c r="B53" s="229" t="inlineStr">
        <is>
          <t> </t>
        </is>
      </c>
      <c r="C53" s="210" t="inlineStr">
        <is>
          <t>14.4.03.03-0002</t>
        </is>
      </c>
      <c r="D53" s="230" t="inlineStr">
        <is>
          <t>Лак битумный БТ-123</t>
        </is>
      </c>
      <c r="E53" s="145" t="inlineStr">
        <is>
          <t>т</t>
        </is>
      </c>
      <c r="F53" s="229" t="n">
        <v>0.00051</v>
      </c>
      <c r="G53" s="146" t="n">
        <v>7826.9</v>
      </c>
      <c r="H53" s="146">
        <f>ROUND(F53*G53,2)</f>
        <v/>
      </c>
    </row>
    <row r="54">
      <c r="A54" s="229" t="n">
        <v>40</v>
      </c>
      <c r="B54" s="229" t="inlineStr">
        <is>
          <t> </t>
        </is>
      </c>
      <c r="C54" s="210" t="inlineStr">
        <is>
          <t>03.1.01.01-0002</t>
        </is>
      </c>
      <c r="D54" s="230" t="inlineStr">
        <is>
          <t>Гипс строительный Г-3</t>
        </is>
      </c>
      <c r="E54" s="145" t="inlineStr">
        <is>
          <t>т</t>
        </is>
      </c>
      <c r="F54" s="229" t="n">
        <v>0.0052</v>
      </c>
      <c r="G54" s="146" t="n">
        <v>729.98</v>
      </c>
      <c r="H54" s="146">
        <f>ROUND(F54*G54,2)</f>
        <v/>
      </c>
    </row>
    <row r="55">
      <c r="A55" s="229" t="n">
        <v>41</v>
      </c>
      <c r="B55" s="229" t="inlineStr">
        <is>
          <t> </t>
        </is>
      </c>
      <c r="C55" s="210" t="inlineStr">
        <is>
          <t>14.1.04.02-0002</t>
        </is>
      </c>
      <c r="D55" s="230" t="inlineStr">
        <is>
          <t>Клей 88-СА</t>
        </is>
      </c>
      <c r="E55" s="145" t="inlineStr">
        <is>
          <t>кг</t>
        </is>
      </c>
      <c r="F55" s="229" t="n">
        <v>0.09</v>
      </c>
      <c r="G55" s="146" t="n">
        <v>28.93</v>
      </c>
      <c r="H55" s="146">
        <f>ROUND(F55*G55,2)</f>
        <v/>
      </c>
      <c r="J55" s="113" t="n"/>
    </row>
    <row r="58">
      <c r="B58" s="192" t="inlineStr">
        <is>
          <t>Составил ______________________        Д.Ю. Нефедова</t>
        </is>
      </c>
    </row>
    <row r="59">
      <c r="B59" s="127" t="inlineStr">
        <is>
          <t xml:space="preserve">                         (подпись, инициалы, фамилия)</t>
        </is>
      </c>
    </row>
    <row r="61">
      <c r="B61" s="192" t="inlineStr">
        <is>
          <t>Проверил ______________________        А.В. Костянецкая</t>
        </is>
      </c>
    </row>
    <row r="62">
      <c r="B62" s="127" t="inlineStr">
        <is>
          <t xml:space="preserve">                        (подпись, инициалы, фамилия)</t>
        </is>
      </c>
    </row>
  </sheetData>
  <mergeCells count="15">
    <mergeCell ref="A21:E21"/>
    <mergeCell ref="A3:H3"/>
    <mergeCell ref="A26:E26"/>
    <mergeCell ref="G7:H7"/>
    <mergeCell ref="A10:E10"/>
    <mergeCell ref="A2:H2"/>
    <mergeCell ref="A19:E19"/>
    <mergeCell ref="C7:C8"/>
    <mergeCell ref="A7:A8"/>
    <mergeCell ref="B7:B8"/>
    <mergeCell ref="D7:D8"/>
    <mergeCell ref="E7:E8"/>
    <mergeCell ref="F7:F8"/>
    <mergeCell ref="A5:H5"/>
    <mergeCell ref="A40:E40"/>
  </mergeCells>
  <pageMargins left="0.7" right="0.7" top="0.75" bottom="0.75" header="0.3" footer="0.3"/>
  <pageSetup orientation="portrait" paperSize="9" scale="5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K50"/>
  <sheetViews>
    <sheetView view="pageBreakPreview" topLeftCell="A28" workbookViewId="0">
      <selection activeCell="B40" sqref="B40"/>
    </sheetView>
  </sheetViews>
  <sheetFormatPr baseColWidth="8" defaultRowHeight="15"/>
  <cols>
    <col width="4.140625" customWidth="1" style="190" min="1" max="1"/>
    <col width="36.28515625" customWidth="1" style="190" min="2" max="2"/>
    <col width="18.85546875" customWidth="1" style="190" min="3" max="3"/>
    <col width="18.28515625" customWidth="1" style="190" min="4" max="4"/>
    <col width="18.85546875" customWidth="1" style="190" min="5" max="5"/>
    <col width="11.42578125" customWidth="1" style="190" min="6" max="6"/>
    <col width="9.140625" customWidth="1" style="190" min="7" max="10"/>
    <col width="13.5703125" customWidth="1" style="190" min="11" max="11"/>
    <col width="9.140625" customWidth="1" style="190" min="12" max="12"/>
  </cols>
  <sheetData>
    <row r="1">
      <c r="B1" s="4" t="n"/>
      <c r="C1" s="4" t="n"/>
      <c r="D1" s="4" t="n"/>
      <c r="E1" s="4" t="n"/>
    </row>
    <row r="2">
      <c r="B2" s="4" t="n"/>
      <c r="C2" s="4" t="n"/>
      <c r="D2" s="4" t="n"/>
      <c r="E2" s="253" t="inlineStr">
        <is>
          <t>Приложение № 4</t>
        </is>
      </c>
    </row>
    <row r="3">
      <c r="B3" s="4" t="n"/>
      <c r="C3" s="4" t="n"/>
      <c r="D3" s="4" t="n"/>
      <c r="E3" s="4" t="n"/>
    </row>
    <row r="4">
      <c r="B4" s="4" t="n"/>
      <c r="C4" s="4" t="n"/>
      <c r="D4" s="4" t="n"/>
      <c r="E4" s="4" t="n"/>
    </row>
    <row r="5">
      <c r="B5" s="211" t="inlineStr">
        <is>
          <t>Ресурсная модель</t>
        </is>
      </c>
    </row>
    <row r="6">
      <c r="B6" s="148" t="n"/>
      <c r="C6" s="4" t="n"/>
      <c r="D6" s="4" t="n"/>
      <c r="E6" s="4" t="n"/>
    </row>
    <row r="7" ht="25.5" customHeight="1" s="190">
      <c r="B7" s="231" t="inlineStr">
        <is>
          <t>Наименование разрабатываемого показателя УНЦ — Комплекс систем безопасности ПС.
Система пожарной и охранной сигнализации</t>
        </is>
      </c>
    </row>
    <row r="8">
      <c r="B8" s="232" t="inlineStr">
        <is>
          <t>Единица измерения  —  1 м2</t>
        </is>
      </c>
    </row>
    <row r="9">
      <c r="B9" s="148" t="n"/>
      <c r="C9" s="4" t="n"/>
      <c r="D9" s="4" t="n"/>
      <c r="E9" s="4" t="n"/>
    </row>
    <row r="10" ht="51" customHeight="1" s="190">
      <c r="B10" s="236" t="inlineStr">
        <is>
          <t>Наименование</t>
        </is>
      </c>
      <c r="C10" s="236" t="inlineStr">
        <is>
          <t>Сметная стоимость в ценах на 01.01.2023
 (руб.)</t>
        </is>
      </c>
      <c r="D10" s="236" t="inlineStr">
        <is>
          <t>Удельный вес, 
(в СМР)</t>
        </is>
      </c>
      <c r="E10" s="236" t="inlineStr">
        <is>
          <t>Удельный вес, % 
(от всего по РМ)</t>
        </is>
      </c>
    </row>
    <row r="11">
      <c r="B11" s="106" t="inlineStr">
        <is>
          <t>Оплата труда рабочих</t>
        </is>
      </c>
      <c r="C11" s="107">
        <f>'Прил.5 Расчет СМР и ОБ'!J15</f>
        <v/>
      </c>
      <c r="D11" s="108">
        <f>C11/$C$24</f>
        <v/>
      </c>
      <c r="E11" s="108">
        <f>C11/$C$40</f>
        <v/>
      </c>
    </row>
    <row r="12">
      <c r="B12" s="106" t="inlineStr">
        <is>
          <t>Эксплуатация машин основных</t>
        </is>
      </c>
      <c r="C12" s="107">
        <f>'Прил.5 Расчет СМР и ОБ'!J23</f>
        <v/>
      </c>
      <c r="D12" s="108">
        <f>C12/$C$24</f>
        <v/>
      </c>
      <c r="E12" s="108">
        <f>C12/$C$40</f>
        <v/>
      </c>
    </row>
    <row r="13">
      <c r="B13" s="106" t="inlineStr">
        <is>
          <t>Эксплуатация машин прочих</t>
        </is>
      </c>
      <c r="C13" s="107">
        <f>'Прил.5 Расчет СМР и ОБ'!J25</f>
        <v/>
      </c>
      <c r="D13" s="108">
        <f>C13/$C$24</f>
        <v/>
      </c>
      <c r="E13" s="108">
        <f>C13/$C$40</f>
        <v/>
      </c>
    </row>
    <row r="14">
      <c r="B14" s="106" t="inlineStr">
        <is>
          <t>ЭКСПЛУАТАЦИЯ МАШИН, ВСЕГО:</t>
        </is>
      </c>
      <c r="C14" s="107">
        <f>C13+C12</f>
        <v/>
      </c>
      <c r="D14" s="108">
        <f>C14/$C$24</f>
        <v/>
      </c>
      <c r="E14" s="108">
        <f>C14/$C$40</f>
        <v/>
      </c>
    </row>
    <row r="15">
      <c r="B15" s="106" t="inlineStr">
        <is>
          <t>в том числе зарплата машинистов</t>
        </is>
      </c>
      <c r="C15" s="107">
        <f>'Прил.5 Расчет СМР и ОБ'!J17</f>
        <v/>
      </c>
      <c r="D15" s="108">
        <f>C15/$C$24</f>
        <v/>
      </c>
      <c r="E15" s="108">
        <f>C15/$C$40</f>
        <v/>
      </c>
    </row>
    <row r="16">
      <c r="B16" s="106" t="inlineStr">
        <is>
          <t>Материалы основные</t>
        </is>
      </c>
      <c r="C16" s="107">
        <f>'Прил.5 Расчет СМР и ОБ'!J51</f>
        <v/>
      </c>
      <c r="D16" s="108">
        <f>C16/$C$24</f>
        <v/>
      </c>
      <c r="E16" s="108">
        <f>C16/$C$40</f>
        <v/>
      </c>
    </row>
    <row r="17">
      <c r="B17" s="106" t="inlineStr">
        <is>
          <t>Материалы прочие</t>
        </is>
      </c>
      <c r="C17" s="107">
        <f>'Прил.5 Расчет СМР и ОБ'!J64</f>
        <v/>
      </c>
      <c r="D17" s="108">
        <f>C17/$C$24</f>
        <v/>
      </c>
      <c r="E17" s="108">
        <f>C17/$C$40</f>
        <v/>
      </c>
    </row>
    <row r="18">
      <c r="B18" s="106" t="inlineStr">
        <is>
          <t>МАТЕРИАЛЫ, ВСЕГО:</t>
        </is>
      </c>
      <c r="C18" s="107">
        <f>C17+C16</f>
        <v/>
      </c>
      <c r="D18" s="108">
        <f>C18/$C$24</f>
        <v/>
      </c>
      <c r="E18" s="108">
        <f>C18/$C$40</f>
        <v/>
      </c>
    </row>
    <row r="19">
      <c r="B19" s="106" t="inlineStr">
        <is>
          <t>ИТОГО</t>
        </is>
      </c>
      <c r="C19" s="107">
        <f>C18+C14+C11</f>
        <v/>
      </c>
      <c r="D19" s="108" t="n"/>
      <c r="E19" s="106" t="n"/>
    </row>
    <row r="20">
      <c r="B20" s="106" t="inlineStr">
        <is>
          <t>Сметная прибыль, руб.</t>
        </is>
      </c>
      <c r="C20" s="107">
        <f>ROUND(C21*(C11+C15),2)</f>
        <v/>
      </c>
      <c r="D20" s="108">
        <f>C20/$C$24</f>
        <v/>
      </c>
      <c r="E20" s="108">
        <f>C20/$C$40</f>
        <v/>
      </c>
    </row>
    <row r="21">
      <c r="B21" s="106" t="inlineStr">
        <is>
          <t>Сметная прибыль, %</t>
        </is>
      </c>
      <c r="C21" s="111">
        <f>'Прил.5 Расчет СМР и ОБ'!D68</f>
        <v/>
      </c>
      <c r="D21" s="108" t="n"/>
      <c r="E21" s="106" t="n"/>
    </row>
    <row r="22">
      <c r="B22" s="106" t="inlineStr">
        <is>
          <t>Накладные расходы, руб.</t>
        </is>
      </c>
      <c r="C22" s="107">
        <f>ROUND(C23*(C11+C15),2)</f>
        <v/>
      </c>
      <c r="D22" s="108">
        <f>C22/$C$24</f>
        <v/>
      </c>
      <c r="E22" s="108">
        <f>C22/$C$40</f>
        <v/>
      </c>
    </row>
    <row r="23">
      <c r="B23" s="106" t="inlineStr">
        <is>
          <t>Накладные расходы, %</t>
        </is>
      </c>
      <c r="C23" s="111">
        <f>'Прил.5 Расчет СМР и ОБ'!D67</f>
        <v/>
      </c>
      <c r="D23" s="108" t="n"/>
      <c r="E23" s="106" t="n"/>
    </row>
    <row r="24">
      <c r="B24" s="106" t="inlineStr">
        <is>
          <t>ВСЕГО СМР с НР и СП</t>
        </is>
      </c>
      <c r="C24" s="107">
        <f>C19+C20+C22</f>
        <v/>
      </c>
      <c r="D24" s="108">
        <f>C24/$C$24</f>
        <v/>
      </c>
      <c r="E24" s="108">
        <f>C24/$C$40</f>
        <v/>
      </c>
    </row>
    <row r="25" ht="25.5" customHeight="1" s="190">
      <c r="B25" s="106" t="inlineStr">
        <is>
          <t>ВСЕГО стоимость оборудования, в том числе</t>
        </is>
      </c>
      <c r="C25" s="107">
        <f>'Прил.5 Расчет СМР и ОБ'!J44</f>
        <v/>
      </c>
      <c r="D25" s="108" t="n"/>
      <c r="E25" s="108">
        <f>C25/$C$40</f>
        <v/>
      </c>
    </row>
    <row r="26" ht="25.5" customHeight="1" s="190">
      <c r="B26" s="106" t="inlineStr">
        <is>
          <t>стоимость оборудования технологического</t>
        </is>
      </c>
      <c r="C26" s="107">
        <f>'Прил.5 Расчет СМР и ОБ'!J45</f>
        <v/>
      </c>
      <c r="D26" s="108" t="n"/>
      <c r="E26" s="108">
        <f>C26/$C$40</f>
        <v/>
      </c>
    </row>
    <row r="27">
      <c r="B27" s="106" t="inlineStr">
        <is>
          <t>ИТОГО (СМР + ОБОРУДОВАНИЕ)</t>
        </is>
      </c>
      <c r="C27" s="110">
        <f>C24+C25</f>
        <v/>
      </c>
      <c r="D27" s="108" t="n"/>
      <c r="E27" s="108">
        <f>C27/$C$40</f>
        <v/>
      </c>
    </row>
    <row r="28" ht="33" customHeight="1" s="190">
      <c r="B28" s="106" t="inlineStr">
        <is>
          <t>ПРОЧ. ЗАТР., УЧТЕННЫЕ ПОКАЗАТЕЛЕМ,  в том числе</t>
        </is>
      </c>
      <c r="C28" s="106" t="n"/>
      <c r="D28" s="106" t="n"/>
      <c r="E28" s="106" t="n"/>
      <c r="F28" s="109" t="n"/>
    </row>
    <row r="29" ht="25.5" customHeight="1" s="190">
      <c r="B29" s="106" t="inlineStr">
        <is>
          <t>Временные здания и сооружения - 3,9%</t>
        </is>
      </c>
      <c r="C29" s="110">
        <f>ROUND(C24*3.9%,2)</f>
        <v/>
      </c>
      <c r="D29" s="106" t="n"/>
      <c r="E29" s="108">
        <f>C29/$C$40</f>
        <v/>
      </c>
    </row>
    <row r="30" ht="38.25" customHeight="1" s="190">
      <c r="B30" s="106" t="inlineStr">
        <is>
          <t>Дополнительные затраты при производстве строительно-монтажных работ в зимнее время - 2,1%</t>
        </is>
      </c>
      <c r="C30" s="186">
        <f>ROUND((C24+C29)*2.1%,2)</f>
        <v/>
      </c>
      <c r="D30" s="187" t="n"/>
      <c r="E30" s="108">
        <f>C30/$C$40</f>
        <v/>
      </c>
      <c r="F30" s="109" t="n"/>
    </row>
    <row r="31">
      <c r="B31" s="106" t="inlineStr">
        <is>
          <t>Пусконаладочные работы</t>
        </is>
      </c>
      <c r="C31" s="186" t="n">
        <v>8698.200000000001</v>
      </c>
      <c r="D31" s="187" t="n"/>
      <c r="E31" s="108">
        <f>C31/$C$40</f>
        <v/>
      </c>
    </row>
    <row r="32" ht="25.5" customHeight="1" s="190">
      <c r="B32" s="106" t="inlineStr">
        <is>
          <t>Затраты по перевозке работников к месту работы и обратно</t>
        </is>
      </c>
      <c r="C32" s="110">
        <f>ROUND($C$27*0,2)</f>
        <v/>
      </c>
      <c r="D32" s="187" t="n"/>
      <c r="E32" s="108">
        <f>C32/$C$40</f>
        <v/>
      </c>
    </row>
    <row r="33" ht="25.5" customHeight="1" s="190">
      <c r="B33" s="106" t="inlineStr">
        <is>
          <t>Затраты, связанные с осуществлением работ вахтовым методом</t>
        </is>
      </c>
      <c r="C33" s="110">
        <f>ROUND($C$27*0,2)</f>
        <v/>
      </c>
      <c r="D33" s="106" t="n"/>
      <c r="E33" s="108">
        <f>C33/$C$40</f>
        <v/>
      </c>
    </row>
    <row r="34" ht="51" customHeight="1" s="190">
      <c r="B34" s="106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10">
        <f>ROUND($C$27*0,2)</f>
        <v/>
      </c>
      <c r="D34" s="106" t="n"/>
      <c r="E34" s="108">
        <f>C34/$C$40</f>
        <v/>
      </c>
      <c r="G34" s="147" t="n"/>
    </row>
    <row r="35" ht="76.5" customHeight="1" s="190">
      <c r="B35" s="106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10" t="n">
        <v>0</v>
      </c>
      <c r="D35" s="106" t="n"/>
      <c r="E35" s="108">
        <f>C35/$C$40</f>
        <v/>
      </c>
    </row>
    <row r="36" ht="25.5" customHeight="1" s="190">
      <c r="B36" s="106" t="inlineStr">
        <is>
          <t>Строительный контроль и содержание службы заказчика - 1,72%</t>
        </is>
      </c>
      <c r="C36" s="110">
        <f>ROUND((C27+C32+C33+C34+C35+C29+C31+C30)*1.72%,2)</f>
        <v/>
      </c>
      <c r="D36" s="106" t="n"/>
      <c r="E36" s="108">
        <f>C36/$C$40</f>
        <v/>
      </c>
      <c r="K36" s="109" t="n"/>
    </row>
    <row r="37">
      <c r="B37" s="106" t="inlineStr">
        <is>
          <t>Авторский надзор - 0,2%</t>
        </is>
      </c>
      <c r="C37" s="110">
        <f>ROUND((C27+C32+C33+C34+C35+C29+C31+C30)*0.2%,2)</f>
        <v/>
      </c>
      <c r="D37" s="106" t="n"/>
      <c r="E37" s="108">
        <f>C37/$C$40</f>
        <v/>
      </c>
      <c r="K37" s="109" t="n"/>
    </row>
    <row r="38" ht="38.25" customHeight="1" s="190">
      <c r="B38" s="106" t="inlineStr">
        <is>
          <t>ИТОГО (СМР+ОБОРУДОВАНИЕ+ПРОЧ. ЗАТР., УЧТЕННЫЕ ПОКАЗАТЕЛЕМ)</t>
        </is>
      </c>
      <c r="C38" s="107">
        <f>C27+C32+C33+C34+C35+C29+C31+C30+C36+C37</f>
        <v/>
      </c>
      <c r="D38" s="106" t="n"/>
      <c r="E38" s="108">
        <f>C38/$C$40</f>
        <v/>
      </c>
    </row>
    <row r="39" ht="13.5" customHeight="1" s="190">
      <c r="B39" s="106" t="inlineStr">
        <is>
          <t>Непредвиденные расходы</t>
        </is>
      </c>
      <c r="C39" s="107">
        <f>ROUND(C38*3%,2)</f>
        <v/>
      </c>
      <c r="D39" s="106" t="n"/>
      <c r="E39" s="108">
        <f>C39/$C$38</f>
        <v/>
      </c>
    </row>
    <row r="40">
      <c r="B40" s="106" t="inlineStr">
        <is>
          <t>ВСЕГО:</t>
        </is>
      </c>
      <c r="C40" s="107">
        <f>C39+C38</f>
        <v/>
      </c>
      <c r="D40" s="106" t="n"/>
      <c r="E40" s="108">
        <f>C40/$C$40</f>
        <v/>
      </c>
    </row>
    <row r="41">
      <c r="B41" s="106" t="inlineStr">
        <is>
          <t>ИТОГО ПОКАЗАТЕЛЬ НА ЕД. ИЗМ.</t>
        </is>
      </c>
      <c r="C41" s="107">
        <f>C40/'Прил.5 Расчет СМР и ОБ'!E71</f>
        <v/>
      </c>
      <c r="D41" s="106" t="n"/>
      <c r="E41" s="106" t="n"/>
    </row>
    <row r="42">
      <c r="B42" s="112" t="n"/>
      <c r="C42" s="4" t="n"/>
      <c r="D42" s="4" t="n"/>
      <c r="E42" s="4" t="n"/>
    </row>
    <row r="43">
      <c r="B43" s="112" t="inlineStr">
        <is>
          <t>Составил ____________________________ Д.Ю. Нефедова</t>
        </is>
      </c>
      <c r="C43" s="4" t="n"/>
      <c r="D43" s="4" t="n"/>
      <c r="E43" s="4" t="n"/>
    </row>
    <row r="44">
      <c r="B44" s="112" t="inlineStr">
        <is>
          <t xml:space="preserve">(должность, подпись, инициалы, фамилия) </t>
        </is>
      </c>
      <c r="C44" s="4" t="n"/>
      <c r="D44" s="4" t="n"/>
      <c r="E44" s="4" t="n"/>
    </row>
    <row r="45">
      <c r="B45" s="112" t="n"/>
      <c r="C45" s="4" t="n"/>
      <c r="D45" s="4" t="n"/>
      <c r="E45" s="4" t="n"/>
    </row>
    <row r="46">
      <c r="B46" s="112" t="inlineStr">
        <is>
          <t>Проверил ____________________________ А.В. Костянецкая</t>
        </is>
      </c>
      <c r="C46" s="4" t="n"/>
      <c r="D46" s="4" t="n"/>
      <c r="E46" s="4" t="n"/>
    </row>
    <row r="47">
      <c r="B47" s="232" t="inlineStr">
        <is>
          <t>(должность, подпись, инициалы, фамилия)</t>
        </is>
      </c>
      <c r="D47" s="4" t="n"/>
      <c r="E47" s="4" t="n"/>
    </row>
    <row r="49">
      <c r="B49" s="4" t="n"/>
      <c r="C49" s="4" t="n"/>
      <c r="D49" s="4" t="n"/>
      <c r="E49" s="4" t="n"/>
    </row>
    <row r="50">
      <c r="B50" s="4" t="n"/>
      <c r="C50" s="4" t="n"/>
      <c r="D50" s="4" t="n"/>
      <c r="E50" s="4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88"/>
  <rowBreaks count="1" manualBreakCount="1">
    <brk id="35" min="0" max="4" man="1"/>
  </rowBreaks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77"/>
  <sheetViews>
    <sheetView view="pageBreakPreview" topLeftCell="A64" workbookViewId="0">
      <selection activeCell="B72" sqref="B72"/>
    </sheetView>
  </sheetViews>
  <sheetFormatPr baseColWidth="8" defaultColWidth="9.140625" defaultRowHeight="15" outlineLevelRow="1"/>
  <cols>
    <col width="5.7109375" customWidth="1" style="12" min="1" max="1"/>
    <col width="22.5703125" customWidth="1" style="12" min="2" max="2"/>
    <col width="39.140625" customWidth="1" style="12" min="3" max="3"/>
    <col width="10.7109375" customWidth="1" style="12" min="4" max="4"/>
    <col width="12.7109375" customWidth="1" style="12" min="5" max="5"/>
    <col width="15" customWidth="1" style="12" min="6" max="6"/>
    <col width="13.42578125" customWidth="1" style="12" min="7" max="7"/>
    <col width="12.7109375" customWidth="1" style="12" min="8" max="8"/>
    <col width="13.85546875" customWidth="1" style="12" min="9" max="9"/>
    <col width="17.5703125" customWidth="1" style="12" min="10" max="10"/>
    <col width="10.85546875" customWidth="1" style="12" min="11" max="11"/>
    <col width="9.140625" customWidth="1" style="12" min="12" max="12"/>
  </cols>
  <sheetData>
    <row r="1">
      <c r="M1" s="12" t="n"/>
      <c r="N1" s="12" t="n"/>
    </row>
    <row r="2" ht="15.75" customHeight="1" s="190">
      <c r="H2" s="233" t="inlineStr">
        <is>
          <t>Приложение №5</t>
        </is>
      </c>
      <c r="M2" s="12" t="n"/>
      <c r="N2" s="12" t="n"/>
    </row>
    <row r="3">
      <c r="M3" s="12" t="n"/>
      <c r="N3" s="12" t="n"/>
    </row>
    <row r="4" ht="12.75" customFormat="1" customHeight="1" s="4">
      <c r="A4" s="211" t="inlineStr">
        <is>
          <t>Расчет стоимости СМР и оборудования</t>
        </is>
      </c>
    </row>
    <row r="5" ht="12.75" customFormat="1" customHeight="1" s="4">
      <c r="A5" s="211" t="n"/>
      <c r="B5" s="211" t="n"/>
      <c r="C5" s="261" t="n"/>
      <c r="D5" s="211" t="n"/>
      <c r="E5" s="211" t="n"/>
      <c r="F5" s="211" t="n"/>
      <c r="G5" s="211" t="n"/>
      <c r="H5" s="211" t="n"/>
      <c r="I5" s="211" t="n"/>
      <c r="J5" s="211" t="n"/>
    </row>
    <row r="6" ht="12.75" customFormat="1" customHeight="1" s="4">
      <c r="A6" s="149" t="inlineStr">
        <is>
          <t>Наименование разрабатываемого показателя УНЦ</t>
        </is>
      </c>
      <c r="B6" s="150" t="n"/>
      <c r="C6" s="150" t="n"/>
      <c r="D6" s="239" t="inlineStr">
        <is>
          <t>Комплекс систем безопасности ПС. Система пожарной и охранной сигнализации</t>
        </is>
      </c>
    </row>
    <row r="7" ht="12.75" customFormat="1" customHeight="1" s="4">
      <c r="A7" s="214" t="inlineStr">
        <is>
          <t>Единица измерения  — 1 м2</t>
        </is>
      </c>
      <c r="I7" s="231" t="n"/>
      <c r="J7" s="231" t="n"/>
    </row>
    <row r="8" ht="13.5" customFormat="1" customHeight="1" s="4">
      <c r="A8" s="214" t="n"/>
    </row>
    <row r="9" ht="13.15" customFormat="1" customHeight="1" s="4"/>
    <row r="10" ht="27" customHeight="1" s="190">
      <c r="A10" s="236" t="inlineStr">
        <is>
          <t>№ пп.</t>
        </is>
      </c>
      <c r="B10" s="236" t="inlineStr">
        <is>
          <t>Код ресурса</t>
        </is>
      </c>
      <c r="C10" s="236" t="inlineStr">
        <is>
          <t>Наименование</t>
        </is>
      </c>
      <c r="D10" s="236" t="inlineStr">
        <is>
          <t>Ед. изм.</t>
        </is>
      </c>
      <c r="E10" s="236" t="inlineStr">
        <is>
          <t>Кол-во единиц по проектным данным</t>
        </is>
      </c>
      <c r="F10" s="236" t="inlineStr">
        <is>
          <t>Сметная стоимость в ценах на 01.01.2000 (руб.)</t>
        </is>
      </c>
      <c r="G10" s="306" t="n"/>
      <c r="H10" s="236" t="inlineStr">
        <is>
          <t>Удельный вес, %</t>
        </is>
      </c>
      <c r="I10" s="236" t="inlineStr">
        <is>
          <t>Сметная стоимость в ценах на 01.01.2023 (руб.)</t>
        </is>
      </c>
      <c r="J10" s="306" t="n"/>
      <c r="M10" s="12" t="n"/>
      <c r="N10" s="12" t="n"/>
    </row>
    <row r="11" ht="28.5" customHeight="1" s="190">
      <c r="A11" s="308" t="n"/>
      <c r="B11" s="308" t="n"/>
      <c r="C11" s="308" t="n"/>
      <c r="D11" s="308" t="n"/>
      <c r="E11" s="308" t="n"/>
      <c r="F11" s="236" t="inlineStr">
        <is>
          <t>на ед. изм.</t>
        </is>
      </c>
      <c r="G11" s="236" t="inlineStr">
        <is>
          <t>общая</t>
        </is>
      </c>
      <c r="H11" s="308" t="n"/>
      <c r="I11" s="236" t="inlineStr">
        <is>
          <t>на ед. изм.</t>
        </is>
      </c>
      <c r="J11" s="236" t="inlineStr">
        <is>
          <t>общая</t>
        </is>
      </c>
      <c r="M11" s="12" t="n"/>
      <c r="N11" s="12" t="n"/>
    </row>
    <row r="12">
      <c r="A12" s="236" t="n">
        <v>1</v>
      </c>
      <c r="B12" s="236" t="n">
        <v>2</v>
      </c>
      <c r="C12" s="236" t="n">
        <v>3</v>
      </c>
      <c r="D12" s="236" t="n">
        <v>4</v>
      </c>
      <c r="E12" s="236" t="n">
        <v>5</v>
      </c>
      <c r="F12" s="236" t="n">
        <v>6</v>
      </c>
      <c r="G12" s="236" t="n">
        <v>7</v>
      </c>
      <c r="H12" s="236" t="n">
        <v>8</v>
      </c>
      <c r="I12" s="237" t="n">
        <v>9</v>
      </c>
      <c r="J12" s="237" t="n">
        <v>10</v>
      </c>
      <c r="M12" s="12" t="n"/>
      <c r="N12" s="12" t="n"/>
    </row>
    <row r="13">
      <c r="A13" s="236" t="n"/>
      <c r="B13" s="244" t="inlineStr">
        <is>
          <t>Затраты труда рабочих-строителей</t>
        </is>
      </c>
      <c r="C13" s="305" t="n"/>
      <c r="D13" s="305" t="n"/>
      <c r="E13" s="305" t="n"/>
      <c r="F13" s="305" t="n"/>
      <c r="G13" s="305" t="n"/>
      <c r="H13" s="306" t="n"/>
      <c r="I13" s="151" t="n"/>
      <c r="J13" s="151" t="n"/>
    </row>
    <row r="14" ht="25.5" customHeight="1" s="190">
      <c r="A14" s="236" t="n">
        <v>1</v>
      </c>
      <c r="B14" s="152" t="inlineStr">
        <is>
          <t>1-4-0</t>
        </is>
      </c>
      <c r="C14" s="245" t="inlineStr">
        <is>
          <t>Затраты труда рабочих-строителей среднего разряда (4,0)</t>
        </is>
      </c>
      <c r="D14" s="236" t="inlineStr">
        <is>
          <t>чел.-ч.</t>
        </is>
      </c>
      <c r="E14" s="309">
        <f>G14/F14</f>
        <v/>
      </c>
      <c r="F14" s="27" t="n">
        <v>9.619999999999999</v>
      </c>
      <c r="G14" s="27">
        <f>'Прил. 3'!H10</f>
        <v/>
      </c>
      <c r="H14" s="154">
        <f>G14/$G$15</f>
        <v/>
      </c>
      <c r="I14" s="27">
        <f>ФОТр.тек.!E13</f>
        <v/>
      </c>
      <c r="J14" s="27">
        <f>ROUND(I14*E14,2)</f>
        <v/>
      </c>
    </row>
    <row r="15" ht="25.5" customFormat="1" customHeight="1" s="12">
      <c r="A15" s="236" t="n"/>
      <c r="B15" s="236" t="n"/>
      <c r="C15" s="244" t="inlineStr">
        <is>
          <t>Итого по разделу "Затраты труда рабочих-строителей"</t>
        </is>
      </c>
      <c r="D15" s="236" t="inlineStr">
        <is>
          <t>чел.-ч.</t>
        </is>
      </c>
      <c r="E15" s="309">
        <f>SUM(E14:E14)</f>
        <v/>
      </c>
      <c r="F15" s="27" t="n"/>
      <c r="G15" s="27">
        <f>SUM(G14:G14)</f>
        <v/>
      </c>
      <c r="H15" s="248" t="n">
        <v>1</v>
      </c>
      <c r="I15" s="151" t="n"/>
      <c r="J15" s="27">
        <f>SUM(J14:J14)</f>
        <v/>
      </c>
    </row>
    <row r="16" ht="14.25" customFormat="1" customHeight="1" s="12">
      <c r="A16" s="236" t="n"/>
      <c r="B16" s="245" t="inlineStr">
        <is>
          <t>Затраты труда машинистов</t>
        </is>
      </c>
      <c r="C16" s="305" t="n"/>
      <c r="D16" s="305" t="n"/>
      <c r="E16" s="305" t="n"/>
      <c r="F16" s="305" t="n"/>
      <c r="G16" s="305" t="n"/>
      <c r="H16" s="306" t="n"/>
      <c r="I16" s="151" t="n"/>
      <c r="J16" s="151" t="n"/>
    </row>
    <row r="17" ht="14.25" customFormat="1" customHeight="1" s="12">
      <c r="A17" s="236" t="n">
        <v>2</v>
      </c>
      <c r="B17" s="236" t="n">
        <v>2</v>
      </c>
      <c r="C17" s="245" t="inlineStr">
        <is>
          <t>Затраты труда машинистов</t>
        </is>
      </c>
      <c r="D17" s="236" t="inlineStr">
        <is>
          <t>чел.-ч.</t>
        </is>
      </c>
      <c r="E17" s="309">
        <f>'Прил. 3'!F20</f>
        <v/>
      </c>
      <c r="F17" s="27">
        <f>G17/E17</f>
        <v/>
      </c>
      <c r="G17" s="27">
        <f>'Прил. 3'!H19</f>
        <v/>
      </c>
      <c r="H17" s="248" t="n">
        <v>1</v>
      </c>
      <c r="I17" s="27">
        <f>ROUND(F17*'Прил. 10'!D11,2)</f>
        <v/>
      </c>
      <c r="J17" s="27">
        <f>ROUND(I17*E17,2)</f>
        <v/>
      </c>
    </row>
    <row r="18" ht="14.25" customFormat="1" customHeight="1" s="12">
      <c r="A18" s="236" t="n"/>
      <c r="B18" s="244" t="inlineStr">
        <is>
          <t>Машины и механизмы</t>
        </is>
      </c>
      <c r="C18" s="305" t="n"/>
      <c r="D18" s="305" t="n"/>
      <c r="E18" s="305" t="n"/>
      <c r="F18" s="305" t="n"/>
      <c r="G18" s="305" t="n"/>
      <c r="H18" s="306" t="n"/>
      <c r="I18" s="151" t="n"/>
      <c r="J18" s="151" t="n"/>
    </row>
    <row r="19" ht="14.25" customFormat="1" customHeight="1" s="12">
      <c r="A19" s="236" t="n"/>
      <c r="B19" s="245" t="inlineStr">
        <is>
          <t>Основные машины и механизмы</t>
        </is>
      </c>
      <c r="C19" s="305" t="n"/>
      <c r="D19" s="305" t="n"/>
      <c r="E19" s="305" t="n"/>
      <c r="F19" s="305" t="n"/>
      <c r="G19" s="305" t="n"/>
      <c r="H19" s="306" t="n"/>
      <c r="I19" s="151" t="n"/>
      <c r="J19" s="151" t="n"/>
    </row>
    <row r="20" ht="25.5" customFormat="1" customHeight="1" s="12">
      <c r="A20" s="236" t="n">
        <v>3</v>
      </c>
      <c r="B20" s="152" t="inlineStr">
        <is>
          <t>91.05.05-015</t>
        </is>
      </c>
      <c r="C20" s="245" t="inlineStr">
        <is>
          <t>Краны на автомобильном ходу, грузоподъемность 16 т</t>
        </is>
      </c>
      <c r="D20" s="236" t="inlineStr">
        <is>
          <t>маш.час</t>
        </is>
      </c>
      <c r="E20" s="309" t="n">
        <v>2.45</v>
      </c>
      <c r="F20" s="247" t="n">
        <v>115.4</v>
      </c>
      <c r="G20" s="27">
        <f>ROUND(E20*F20,2)</f>
        <v/>
      </c>
      <c r="H20" s="154">
        <f>G20/$G$26</f>
        <v/>
      </c>
      <c r="I20" s="27">
        <f>ROUND(F20*'Прил. 10'!$D$12,2)</f>
        <v/>
      </c>
      <c r="J20" s="27">
        <f>ROUND(I20*E20,2)</f>
        <v/>
      </c>
    </row>
    <row r="21" ht="25.5" customFormat="1" customHeight="1" s="12">
      <c r="A21" s="236" t="n">
        <v>4</v>
      </c>
      <c r="B21" s="152" t="inlineStr">
        <is>
          <t>91.14.02-001</t>
        </is>
      </c>
      <c r="C21" s="245" t="inlineStr">
        <is>
          <t>Автомобили бортовые, грузоподъемность до 5 т</t>
        </is>
      </c>
      <c r="D21" s="236" t="inlineStr">
        <is>
          <t>маш.час</t>
        </is>
      </c>
      <c r="E21" s="309" t="n">
        <v>2.45</v>
      </c>
      <c r="F21" s="247" t="n">
        <v>65.70999999999999</v>
      </c>
      <c r="G21" s="27">
        <f>ROUND(E21*F21,2)</f>
        <v/>
      </c>
      <c r="H21" s="154">
        <f>G21/$G$26</f>
        <v/>
      </c>
      <c r="I21" s="27">
        <f>ROUND(F21*'Прил. 10'!$D$12,2)</f>
        <v/>
      </c>
      <c r="J21" s="27">
        <f>ROUND(I21*E21,2)</f>
        <v/>
      </c>
    </row>
    <row r="22" ht="25.5" customFormat="1" customHeight="1" s="12">
      <c r="A22" s="236" t="n">
        <v>5</v>
      </c>
      <c r="B22" s="152" t="inlineStr">
        <is>
          <t>91.06.03-061</t>
        </is>
      </c>
      <c r="C22" s="245" t="inlineStr">
        <is>
          <t>Лебедки электрические тяговым усилием до 12,26 кН (1,25 т)</t>
        </is>
      </c>
      <c r="D22" s="236" t="inlineStr">
        <is>
          <t>маш.час</t>
        </is>
      </c>
      <c r="E22" s="309" t="n">
        <v>20.4</v>
      </c>
      <c r="F22" s="247" t="n">
        <v>3.28</v>
      </c>
      <c r="G22" s="27">
        <f>ROUND(E22*F22,2)</f>
        <v/>
      </c>
      <c r="H22" s="154">
        <f>G22/$G$26</f>
        <v/>
      </c>
      <c r="I22" s="27">
        <f>ROUND(F22*'Прил. 10'!$D$12,2)</f>
        <v/>
      </c>
      <c r="J22" s="27">
        <f>ROUND(I22*E22,2)</f>
        <v/>
      </c>
    </row>
    <row r="23" ht="14.25" customFormat="1" customHeight="1" s="12">
      <c r="A23" s="236" t="n"/>
      <c r="B23" s="236" t="n"/>
      <c r="C23" s="245" t="inlineStr">
        <is>
          <t>Итого основные машины и механизмы</t>
        </is>
      </c>
      <c r="D23" s="236" t="n"/>
      <c r="E23" s="309" t="n"/>
      <c r="F23" s="27" t="n"/>
      <c r="G23" s="27">
        <f>SUM(G20:G22)</f>
        <v/>
      </c>
      <c r="H23" s="248">
        <f>G23/G26</f>
        <v/>
      </c>
      <c r="I23" s="156" t="n"/>
      <c r="J23" s="27">
        <f>SUM(J20:J22)</f>
        <v/>
      </c>
    </row>
    <row r="24" outlineLevel="1" ht="25.5" customFormat="1" customHeight="1" s="12">
      <c r="A24" s="236" t="n">
        <v>6</v>
      </c>
      <c r="B24" s="152" t="inlineStr">
        <is>
          <t>91.06.01-003</t>
        </is>
      </c>
      <c r="C24" s="245" t="inlineStr">
        <is>
          <t>Домкраты гидравлические, грузоподъемность 63-100 т</t>
        </is>
      </c>
      <c r="D24" s="236" t="inlineStr">
        <is>
          <t>маш.час</t>
        </is>
      </c>
      <c r="E24" s="309" t="n">
        <v>20.4</v>
      </c>
      <c r="F24" s="247" t="n">
        <v>0.9</v>
      </c>
      <c r="G24" s="27">
        <f>ROUND(E24*F24,2)</f>
        <v/>
      </c>
      <c r="H24" s="154">
        <f>G24/$G$26</f>
        <v/>
      </c>
      <c r="I24" s="27">
        <f>ROUND(F24*'Прил. 10'!$D$12,2)</f>
        <v/>
      </c>
      <c r="J24" s="27">
        <f>ROUND(I24*E24,2)</f>
        <v/>
      </c>
    </row>
    <row r="25" ht="14.25" customFormat="1" customHeight="1" s="12">
      <c r="A25" s="236" t="n"/>
      <c r="B25" s="236" t="n"/>
      <c r="C25" s="245" t="inlineStr">
        <is>
          <t>Итого прочие машины и механизмы</t>
        </is>
      </c>
      <c r="D25" s="236" t="n"/>
      <c r="E25" s="246" t="n"/>
      <c r="F25" s="27" t="n"/>
      <c r="G25" s="156">
        <f>SUM(G24:G24)</f>
        <v/>
      </c>
      <c r="H25" s="154">
        <f>G25/G26</f>
        <v/>
      </c>
      <c r="I25" s="27" t="n"/>
      <c r="J25" s="27">
        <f>SUM(J24:J24)</f>
        <v/>
      </c>
    </row>
    <row r="26" ht="25.5" customFormat="1" customHeight="1" s="12">
      <c r="A26" s="236" t="n"/>
      <c r="B26" s="236" t="n"/>
      <c r="C26" s="244" t="inlineStr">
        <is>
          <t>Итого по разделу «Машины и механизмы»</t>
        </is>
      </c>
      <c r="D26" s="236" t="n"/>
      <c r="E26" s="246" t="n"/>
      <c r="F26" s="27" t="n"/>
      <c r="G26" s="27">
        <f>G25+G23</f>
        <v/>
      </c>
      <c r="H26" s="157" t="n">
        <v>1</v>
      </c>
      <c r="I26" s="158" t="n"/>
      <c r="J26" s="159">
        <f>J25+J23</f>
        <v/>
      </c>
    </row>
    <row r="27" ht="14.25" customFormat="1" customHeight="1" s="12">
      <c r="A27" s="236" t="n"/>
      <c r="B27" s="244" t="inlineStr">
        <is>
          <t>Оборудование</t>
        </is>
      </c>
      <c r="C27" s="305" t="n"/>
      <c r="D27" s="305" t="n"/>
      <c r="E27" s="305" t="n"/>
      <c r="F27" s="305" t="n"/>
      <c r="G27" s="305" t="n"/>
      <c r="H27" s="306" t="n"/>
      <c r="I27" s="151" t="n"/>
      <c r="J27" s="151" t="n"/>
    </row>
    <row r="28">
      <c r="A28" s="236" t="n"/>
      <c r="B28" s="245" t="inlineStr">
        <is>
          <t>Основное оборудование</t>
        </is>
      </c>
      <c r="C28" s="305" t="n"/>
      <c r="D28" s="305" t="n"/>
      <c r="E28" s="305" t="n"/>
      <c r="F28" s="305" t="n"/>
      <c r="G28" s="305" t="n"/>
      <c r="H28" s="306" t="n"/>
      <c r="I28" s="151" t="n"/>
      <c r="J28" s="151" t="n"/>
    </row>
    <row r="29" ht="25.5" customFormat="1" customHeight="1" s="12">
      <c r="A29" s="236" t="n">
        <v>7</v>
      </c>
      <c r="B29" s="236" t="inlineStr">
        <is>
          <t>62.4.02.02-0041</t>
        </is>
      </c>
      <c r="C29" s="245" t="inlineStr">
        <is>
          <t>Источник резервного питания, марка: "РИП 12" исп. 06</t>
        </is>
      </c>
      <c r="D29" s="236" t="inlineStr">
        <is>
          <t>шт</t>
        </is>
      </c>
      <c r="E29" s="310" t="n">
        <v>6</v>
      </c>
      <c r="F29" s="247" t="n">
        <v>1105.2</v>
      </c>
      <c r="G29" s="27">
        <f>ROUND(E29*F29,2)</f>
        <v/>
      </c>
      <c r="H29" s="154">
        <f>G29/$G$44</f>
        <v/>
      </c>
      <c r="I29" s="27">
        <f>ROUND(F29*'Прил. 10'!$D$14,2)</f>
        <v/>
      </c>
      <c r="J29" s="27">
        <f>ROUND(I29*E29,2)</f>
        <v/>
      </c>
    </row>
    <row r="30" ht="38.25" customFormat="1" customHeight="1" s="12">
      <c r="A30" s="236" t="n">
        <v>8</v>
      </c>
      <c r="B30" s="236" t="inlineStr">
        <is>
          <t>61.2.02.01-1004</t>
        </is>
      </c>
      <c r="C30" s="245" t="inlineStr">
        <is>
          <t>Извещатель пожарный дымовой ДИП-34А (ИП 212-34А) оптико-электронный адресно-аналоговый в комплекте с базой (розеткой)</t>
        </is>
      </c>
      <c r="D30" s="236" t="inlineStr">
        <is>
          <t>шт</t>
        </is>
      </c>
      <c r="E30" s="310" t="n">
        <v>39</v>
      </c>
      <c r="F30" s="247" t="n">
        <v>116.52</v>
      </c>
      <c r="G30" s="27">
        <f>ROUND(E30*F30,2)</f>
        <v/>
      </c>
      <c r="H30" s="154">
        <f>G30/$G$44</f>
        <v/>
      </c>
      <c r="I30" s="27">
        <f>ROUND(F30*'Прил. 10'!$D$14,2)</f>
        <v/>
      </c>
      <c r="J30" s="27">
        <f>ROUND(I30*E30,2)</f>
        <v/>
      </c>
    </row>
    <row r="31" ht="63.75" customFormat="1" customHeight="1" s="12">
      <c r="A31" s="236" t="n">
        <v>9</v>
      </c>
      <c r="B31" s="236" t="inlineStr">
        <is>
          <t>61.2.02.02-0001</t>
        </is>
      </c>
      <c r="C31" s="245" t="inlineStr">
        <is>
          <t>Извещатель адресный пожарный тепловой интеллектуальный ИП101-24А-A1R максимально-дифференциальный «Leonardo-Т», без базы (прим. марка "С2000-ИП")</t>
        </is>
      </c>
      <c r="D31" s="236" t="inlineStr">
        <is>
          <t>10 шт</t>
        </is>
      </c>
      <c r="E31" s="310" t="n">
        <v>2</v>
      </c>
      <c r="F31" s="247" t="n">
        <v>2188.6</v>
      </c>
      <c r="G31" s="27">
        <f>ROUND(E31*F31,2)</f>
        <v/>
      </c>
      <c r="H31" s="154">
        <f>G31/$G$44</f>
        <v/>
      </c>
      <c r="I31" s="27">
        <f>ROUND(F31*'Прил. 10'!$D$14,2)</f>
        <v/>
      </c>
      <c r="J31" s="27">
        <f>ROUND(I31*E31,2)</f>
        <v/>
      </c>
    </row>
    <row r="32" ht="14.25" customFormat="1" customHeight="1" s="12">
      <c r="A32" s="236" t="n">
        <v>10</v>
      </c>
      <c r="B32" s="236" t="inlineStr">
        <is>
          <t>61.2.02.01-0095</t>
        </is>
      </c>
      <c r="C32" s="245" t="inlineStr">
        <is>
          <t>Извещатель пожарный дымовой: ИПДЛ</t>
        </is>
      </c>
      <c r="D32" s="236" t="inlineStr">
        <is>
          <t>10 шт</t>
        </is>
      </c>
      <c r="E32" s="310" t="n">
        <v>0.7</v>
      </c>
      <c r="F32" s="247" t="n">
        <v>3463.94</v>
      </c>
      <c r="G32" s="27">
        <f>ROUND(E32*F32,2)</f>
        <v/>
      </c>
      <c r="H32" s="154">
        <f>G32/$G$44</f>
        <v/>
      </c>
      <c r="I32" s="27">
        <f>ROUND(F32*'Прил. 10'!$D$14,2)</f>
        <v/>
      </c>
      <c r="J32" s="27">
        <f>ROUND(I32*E32,2)</f>
        <v/>
      </c>
    </row>
    <row r="33" ht="38.25" customFormat="1" customHeight="1" s="12">
      <c r="A33" s="236" t="n">
        <v>11</v>
      </c>
      <c r="B33" s="236" t="inlineStr">
        <is>
          <t>61.2.04.05-0018</t>
        </is>
      </c>
      <c r="C33" s="245" t="inlineStr">
        <is>
          <t>Оповещатель охранно-пожарный звуковой, тип СВИРЕЛЬ-2 исп.00 6-15В/600мА</t>
        </is>
      </c>
      <c r="D33" s="236" t="inlineStr">
        <is>
          <t>шт</t>
        </is>
      </c>
      <c r="E33" s="310" t="n">
        <v>11</v>
      </c>
      <c r="F33" s="247" t="n">
        <v>187</v>
      </c>
      <c r="G33" s="27">
        <f>ROUND(E33*F33,2)</f>
        <v/>
      </c>
      <c r="H33" s="154">
        <f>G33/$G$44</f>
        <v/>
      </c>
      <c r="I33" s="27">
        <f>ROUND(F33*'Прил. 10'!$D$14,2)</f>
        <v/>
      </c>
      <c r="J33" s="27">
        <f>ROUND(I33*E33,2)</f>
        <v/>
      </c>
    </row>
    <row r="34" ht="14.25" customFormat="1" customHeight="1" s="12">
      <c r="A34" s="236" t="n">
        <v>12</v>
      </c>
      <c r="B34" s="236" t="inlineStr">
        <is>
          <t>61.2.04.07-0008</t>
        </is>
      </c>
      <c r="C34" s="245" t="inlineStr">
        <is>
          <t>Оповещатель световой МОЛНИЯ-12(24)</t>
        </is>
      </c>
      <c r="D34" s="236" t="inlineStr">
        <is>
          <t>шт</t>
        </is>
      </c>
      <c r="E34" s="310" t="n">
        <v>47</v>
      </c>
      <c r="F34" s="247" t="n">
        <v>38.38</v>
      </c>
      <c r="G34" s="27">
        <f>ROUND(E34*F34,2)</f>
        <v/>
      </c>
      <c r="H34" s="154">
        <f>G34/$G$44</f>
        <v/>
      </c>
      <c r="I34" s="27">
        <f>ROUND(F34*'Прил. 10'!$D$14,2)</f>
        <v/>
      </c>
      <c r="J34" s="27">
        <f>ROUND(I34*E34,2)</f>
        <v/>
      </c>
    </row>
    <row r="35" ht="25.5" customFormat="1" customHeight="1" s="12">
      <c r="A35" s="236" t="n">
        <v>13</v>
      </c>
      <c r="B35" s="236" t="inlineStr">
        <is>
          <t>61.2.07.02-0034</t>
        </is>
      </c>
      <c r="C35" s="245" t="inlineStr">
        <is>
          <t>Блок контрольно-пусковой, марка "С2000-КПБ"</t>
        </is>
      </c>
      <c r="D35" s="236" t="inlineStr">
        <is>
          <t>шт</t>
        </is>
      </c>
      <c r="E35" s="310" t="n">
        <v>7</v>
      </c>
      <c r="F35" s="247" t="n">
        <v>243.85</v>
      </c>
      <c r="G35" s="27">
        <f>ROUND(E35*F35,2)</f>
        <v/>
      </c>
      <c r="H35" s="154">
        <f>G35/$G$44</f>
        <v/>
      </c>
      <c r="I35" s="27">
        <f>ROUND(F35*'Прил. 10'!$D$14,2)</f>
        <v/>
      </c>
      <c r="J35" s="27">
        <f>ROUND(I35*E35,2)</f>
        <v/>
      </c>
    </row>
    <row r="36" ht="140.25" customFormat="1" customHeight="1" s="12">
      <c r="A36" s="236" t="n">
        <v>14</v>
      </c>
      <c r="B36" s="236" t="inlineStr">
        <is>
          <t>61.2.07.02-0042</t>
        </is>
      </c>
      <c r="C36" s="245" t="inlineStr">
        <is>
          <t>Блок контроля и индикации для работы в составе интегрированной системе охраны совместно с пультом контроля и управления, ручного управления 60 разделами системы и отображения с помощью встроенных индикаторов и звуковой сигнализации, количество кнопок для управления разделами 60, напряжение питания от 10.2 до 28 В, потребляемый ток, в дежурном режиме 200 мА</t>
        </is>
      </c>
      <c r="D36" s="236" t="inlineStr">
        <is>
          <t>шт</t>
        </is>
      </c>
      <c r="E36" s="310" t="n">
        <v>2</v>
      </c>
      <c r="F36" s="247" t="n">
        <v>726.24</v>
      </c>
      <c r="G36" s="27">
        <f>ROUND(E36*F36,2)</f>
        <v/>
      </c>
      <c r="H36" s="154">
        <f>G36/$G$44</f>
        <v/>
      </c>
      <c r="I36" s="27">
        <f>ROUND(F36*'Прил. 10'!$D$14,2)</f>
        <v/>
      </c>
      <c r="J36" s="27">
        <f>ROUND(I36*E36,2)</f>
        <v/>
      </c>
    </row>
    <row r="37">
      <c r="A37" s="236" t="n"/>
      <c r="B37" s="236" t="n"/>
      <c r="C37" s="245" t="inlineStr">
        <is>
          <t>Итого основное оборудование</t>
        </is>
      </c>
      <c r="D37" s="236" t="n"/>
      <c r="E37" s="309" t="n"/>
      <c r="F37" s="247" t="n"/>
      <c r="G37" s="27">
        <f>SUM(G29:G36)</f>
        <v/>
      </c>
      <c r="H37" s="154">
        <f>G37/$G$44</f>
        <v/>
      </c>
      <c r="I37" s="156" t="n"/>
      <c r="J37" s="27">
        <f>SUM(J29:J36)</f>
        <v/>
      </c>
    </row>
    <row r="38" ht="25.5" customFormat="1" customHeight="1" s="12">
      <c r="A38" s="236" t="n">
        <v>15</v>
      </c>
      <c r="B38" s="236" t="inlineStr">
        <is>
          <t>61.2.07.04-0002</t>
        </is>
      </c>
      <c r="C38" s="245" t="inlineStr">
        <is>
          <t>Контроллер двухпроводной линии связи, марка "С2000-КДЛ"</t>
        </is>
      </c>
      <c r="D38" s="236" t="inlineStr">
        <is>
          <t>шт</t>
        </is>
      </c>
      <c r="E38" s="310" t="n">
        <v>8</v>
      </c>
      <c r="F38" s="247" t="n">
        <v>175.63</v>
      </c>
      <c r="G38" s="27">
        <f>ROUND(E38*F38,2)</f>
        <v/>
      </c>
      <c r="H38" s="154">
        <f>G38/$G$44</f>
        <v/>
      </c>
      <c r="I38" s="27">
        <f>ROUND(F38*'Прил. 10'!$D$14,2)</f>
        <v/>
      </c>
      <c r="J38" s="27">
        <f>ROUND(I38*E38,2)</f>
        <v/>
      </c>
    </row>
    <row r="39" ht="25.5" customFormat="1" customHeight="1" s="12">
      <c r="A39" s="236" t="n">
        <v>16</v>
      </c>
      <c r="B39" s="236" t="inlineStr">
        <is>
          <t>61.2.02.03-0025</t>
        </is>
      </c>
      <c r="C39" s="245" t="inlineStr">
        <is>
          <t>Извещатель пожарный ручной: ИПР-513-3 исп. 02</t>
        </is>
      </c>
      <c r="D39" s="236" t="inlineStr">
        <is>
          <t>10 шт</t>
        </is>
      </c>
      <c r="E39" s="310" t="n">
        <v>2.8</v>
      </c>
      <c r="F39" s="247" t="n">
        <v>410.04</v>
      </c>
      <c r="G39" s="27">
        <f>ROUND(E39*F39,2)</f>
        <v/>
      </c>
      <c r="H39" s="154">
        <f>G39/$G$44</f>
        <v/>
      </c>
      <c r="I39" s="27">
        <f>ROUND(F39*'Прил. 10'!$D$14,2)</f>
        <v/>
      </c>
      <c r="J39" s="27">
        <f>ROUND(I39*E39,2)</f>
        <v/>
      </c>
    </row>
    <row r="40" ht="51" customFormat="1" customHeight="1" s="12">
      <c r="A40" s="236" t="n">
        <v>17</v>
      </c>
      <c r="B40" s="236" t="inlineStr">
        <is>
          <t>61.2.07.02-0051</t>
        </is>
      </c>
      <c r="C40" s="245" t="inlineStr">
        <is>
          <t>Блоки разветвительно-изолирующие типа БРИЗ, для участка двухпроводной линии с коротким замыканием, размер не более 56х38х20 мм</t>
        </is>
      </c>
      <c r="D40" s="236" t="inlineStr">
        <is>
          <t>шт</t>
        </is>
      </c>
      <c r="E40" s="310" t="n">
        <v>10</v>
      </c>
      <c r="F40" s="247" t="n">
        <v>68.81999999999999</v>
      </c>
      <c r="G40" s="27">
        <f>ROUND(E40*F40,2)</f>
        <v/>
      </c>
      <c r="H40" s="154">
        <f>G40/$G$44</f>
        <v/>
      </c>
      <c r="I40" s="27">
        <f>ROUND(F40*'Прил. 10'!$D$14,2)</f>
        <v/>
      </c>
      <c r="J40" s="27">
        <f>ROUND(I40*E40,2)</f>
        <v/>
      </c>
    </row>
    <row r="41" ht="25.5" customFormat="1" customHeight="1" s="12">
      <c r="A41" s="236" t="n">
        <v>18</v>
      </c>
      <c r="B41" s="236" t="inlineStr">
        <is>
          <t>61.2.04.10-0005</t>
        </is>
      </c>
      <c r="C41" s="245" t="inlineStr">
        <is>
          <t>Пульт контроля и управления охранно-пожарный, марка "С2000"</t>
        </is>
      </c>
      <c r="D41" s="236" t="inlineStr">
        <is>
          <t>шт</t>
        </is>
      </c>
      <c r="E41" s="310" t="n">
        <v>1</v>
      </c>
      <c r="F41" s="247" t="n">
        <v>367.7</v>
      </c>
      <c r="G41" s="27">
        <f>ROUND(E41*F41,2)</f>
        <v/>
      </c>
      <c r="H41" s="154">
        <f>G41/$G$44</f>
        <v/>
      </c>
      <c r="I41" s="27">
        <f>ROUND(F41*'Прил. 10'!$D$14,2)</f>
        <v/>
      </c>
      <c r="J41" s="27">
        <f>ROUND(I41*E41,2)</f>
        <v/>
      </c>
    </row>
    <row r="42" ht="38.25" customFormat="1" customHeight="1" s="12">
      <c r="A42" s="236" t="n">
        <v>19</v>
      </c>
      <c r="B42" s="236" t="inlineStr">
        <is>
          <t>61.2.07.06-0005</t>
        </is>
      </c>
      <c r="C42" s="245" t="inlineStr">
        <is>
          <t>Расширитель адресный ("адресная метка"), марка "С2000-АР2" (прим. "С2000-АР8")</t>
        </is>
      </c>
      <c r="D42" s="236" t="inlineStr">
        <is>
          <t>100 шт</t>
        </is>
      </c>
      <c r="E42" s="310" t="n">
        <v>0.04</v>
      </c>
      <c r="F42" s="247" t="n">
        <v>5459</v>
      </c>
      <c r="G42" s="27">
        <f>ROUND(E42*F42,2)</f>
        <v/>
      </c>
      <c r="H42" s="154">
        <f>G42/$G$44</f>
        <v/>
      </c>
      <c r="I42" s="27">
        <f>ROUND(F42*'Прил. 10'!$D$14,2)</f>
        <v/>
      </c>
      <c r="J42" s="27">
        <f>ROUND(I42*E42,2)</f>
        <v/>
      </c>
    </row>
    <row r="43">
      <c r="A43" s="236" t="n"/>
      <c r="B43" s="236" t="n"/>
      <c r="C43" s="245" t="inlineStr">
        <is>
          <t>Итого прочее оборудование</t>
        </is>
      </c>
      <c r="D43" s="236" t="n"/>
      <c r="E43" s="309" t="n"/>
      <c r="F43" s="247" t="n"/>
      <c r="G43" s="27">
        <f>SUM(G38:G42)</f>
        <v/>
      </c>
      <c r="H43" s="154">
        <f>G43/$G$44</f>
        <v/>
      </c>
      <c r="I43" s="156" t="n"/>
      <c r="J43" s="27">
        <f>SUM(J38:J42)</f>
        <v/>
      </c>
    </row>
    <row r="44">
      <c r="A44" s="236" t="n"/>
      <c r="B44" s="236" t="n"/>
      <c r="C44" s="244" t="inlineStr">
        <is>
          <t>Итого по разделу «Оборудование»</t>
        </is>
      </c>
      <c r="D44" s="236" t="n"/>
      <c r="E44" s="246" t="n"/>
      <c r="F44" s="247" t="n"/>
      <c r="G44" s="27">
        <f>G37+G43</f>
        <v/>
      </c>
      <c r="H44" s="248">
        <f>H37+H43</f>
        <v/>
      </c>
      <c r="I44" s="156" t="n"/>
      <c r="J44" s="27">
        <f>J37+J43</f>
        <v/>
      </c>
    </row>
    <row r="45" ht="25.5" customHeight="1" s="190">
      <c r="A45" s="236" t="n"/>
      <c r="B45" s="236" t="n"/>
      <c r="C45" s="245" t="inlineStr">
        <is>
          <t>в том числе технологическое оборудование</t>
        </is>
      </c>
      <c r="D45" s="236" t="n"/>
      <c r="E45" s="310" t="n"/>
      <c r="F45" s="247" t="n"/>
      <c r="G45" s="27">
        <f>'Прил.6 Расчет ОБ'!G25</f>
        <v/>
      </c>
      <c r="H45" s="248" t="n"/>
      <c r="I45" s="156" t="n"/>
      <c r="J45" s="27">
        <f>ROUND(G45*'Прил. 10'!D14,2)</f>
        <v/>
      </c>
    </row>
    <row r="46" ht="14.25" customFormat="1" customHeight="1" s="12">
      <c r="A46" s="236" t="n"/>
      <c r="B46" s="244" t="inlineStr">
        <is>
          <t>Материалы</t>
        </is>
      </c>
      <c r="C46" s="305" t="n"/>
      <c r="D46" s="305" t="n"/>
      <c r="E46" s="305" t="n"/>
      <c r="F46" s="305" t="n"/>
      <c r="G46" s="305" t="n"/>
      <c r="H46" s="306" t="n"/>
      <c r="I46" s="151" t="n"/>
      <c r="J46" s="151" t="n"/>
    </row>
    <row r="47" ht="14.25" customFormat="1" customHeight="1" s="12">
      <c r="A47" s="237" t="n"/>
      <c r="B47" s="240" t="inlineStr">
        <is>
          <t>Основные материалы</t>
        </is>
      </c>
      <c r="C47" s="311" t="n"/>
      <c r="D47" s="311" t="n"/>
      <c r="E47" s="311" t="n"/>
      <c r="F47" s="311" t="n"/>
      <c r="G47" s="311" t="n"/>
      <c r="H47" s="312" t="n"/>
      <c r="I47" s="162" t="n"/>
      <c r="J47" s="162" t="n"/>
    </row>
    <row r="48" ht="25.5" customFormat="1" customHeight="1" s="12">
      <c r="A48" s="236" t="n">
        <v>20</v>
      </c>
      <c r="B48" s="236" t="inlineStr">
        <is>
          <t>21.1.08.01-0315</t>
        </is>
      </c>
      <c r="C48" s="245" t="inlineStr">
        <is>
          <t>Кабель пожарной сигнализации КПСЭнг(A)-FRLS 2х2х1</t>
        </is>
      </c>
      <c r="D48" s="236" t="inlineStr">
        <is>
          <t>1000 м</t>
        </is>
      </c>
      <c r="E48" s="310" t="n">
        <v>0.8</v>
      </c>
      <c r="F48" s="247" t="n">
        <v>8018.05</v>
      </c>
      <c r="G48" s="27">
        <f>ROUND(E48*F48,2)</f>
        <v/>
      </c>
      <c r="H48" s="154">
        <f>G48/$G$65</f>
        <v/>
      </c>
      <c r="I48" s="27">
        <f>ROUND(F48*'Прил. 10'!$D$13,2)</f>
        <v/>
      </c>
      <c r="J48" s="27">
        <f>ROUND(I48*E48,2)</f>
        <v/>
      </c>
    </row>
    <row r="49" ht="25.5" customFormat="1" customHeight="1" s="12">
      <c r="A49" s="236" t="n">
        <v>21</v>
      </c>
      <c r="B49" s="236" t="inlineStr">
        <is>
          <t>01.7.15.07-0012</t>
        </is>
      </c>
      <c r="C49" s="245" t="inlineStr">
        <is>
          <t>Дюбели пластмассовые с шурупами, размер 12х70 мм</t>
        </is>
      </c>
      <c r="D49" s="236" t="inlineStr">
        <is>
          <t>100 шт</t>
        </is>
      </c>
      <c r="E49" s="310" t="n">
        <v>11.77</v>
      </c>
      <c r="F49" s="247" t="n">
        <v>83</v>
      </c>
      <c r="G49" s="27">
        <f>ROUND(E49*F49,2)</f>
        <v/>
      </c>
      <c r="H49" s="154">
        <f>G49/$G$65</f>
        <v/>
      </c>
      <c r="I49" s="27">
        <f>ROUND(F49*'Прил. 10'!$D$13,2)</f>
        <v/>
      </c>
      <c r="J49" s="27">
        <f>ROUND(I49*E49,2)</f>
        <v/>
      </c>
    </row>
    <row r="50" ht="25.5" customFormat="1" customHeight="1" s="12">
      <c r="A50" s="236" t="n">
        <v>22</v>
      </c>
      <c r="B50" s="236" t="inlineStr">
        <is>
          <t>10.3.02.03-0012</t>
        </is>
      </c>
      <c r="C50" s="245" t="inlineStr">
        <is>
          <t>Припои оловянно-свинцовые бессурьмянистые, марка ПОС40</t>
        </is>
      </c>
      <c r="D50" s="236" t="inlineStr">
        <is>
          <t>т</t>
        </is>
      </c>
      <c r="E50" s="310" t="n">
        <v>0.004756</v>
      </c>
      <c r="F50" s="247" t="n">
        <v>65750</v>
      </c>
      <c r="G50" s="27">
        <f>ROUND(E50*F50,2)</f>
        <v/>
      </c>
      <c r="H50" s="154">
        <f>G50/$G$65</f>
        <v/>
      </c>
      <c r="I50" s="27">
        <f>ROUND(F50*'Прил. 10'!$D$13,2)</f>
        <v/>
      </c>
      <c r="J50" s="27">
        <f>ROUND(I50*E50,2)</f>
        <v/>
      </c>
    </row>
    <row r="51" ht="14.25" customFormat="1" customHeight="1" s="12">
      <c r="A51" s="238" t="n"/>
      <c r="B51" s="164" t="n"/>
      <c r="C51" s="165" t="inlineStr">
        <is>
          <t>Итого основные материалы</t>
        </is>
      </c>
      <c r="D51" s="238" t="n"/>
      <c r="E51" s="313" t="n"/>
      <c r="F51" s="159" t="n"/>
      <c r="G51" s="159">
        <f>SUM(G48:G50)</f>
        <v/>
      </c>
      <c r="H51" s="154">
        <f>G51/$G$65</f>
        <v/>
      </c>
      <c r="I51" s="27" t="n"/>
      <c r="J51" s="159">
        <f>SUM(J48:J50)</f>
        <v/>
      </c>
      <c r="K51" s="24" t="n"/>
      <c r="L51" s="24" t="n"/>
    </row>
    <row r="52" hidden="1" outlineLevel="1" ht="25.5" customFormat="1" customHeight="1" s="12">
      <c r="A52" s="236" t="n">
        <v>23</v>
      </c>
      <c r="B52" s="236" t="inlineStr">
        <is>
          <t>10.3.02.03-0011</t>
        </is>
      </c>
      <c r="C52" s="245" t="inlineStr">
        <is>
          <t>Припои оловянно-свинцовые бессурьмянистые, марка ПОС30</t>
        </is>
      </c>
      <c r="D52" s="236" t="inlineStr">
        <is>
          <t>т</t>
        </is>
      </c>
      <c r="E52" s="310" t="n">
        <v>0.00425</v>
      </c>
      <c r="F52" s="247" t="n">
        <v>68050</v>
      </c>
      <c r="G52" s="27">
        <f>ROUND(E52*F52,2)</f>
        <v/>
      </c>
      <c r="H52" s="154">
        <f>G52/$G$65</f>
        <v/>
      </c>
      <c r="I52" s="27">
        <f>ROUND(F52*'Прил. 10'!$D$13,2)</f>
        <v/>
      </c>
      <c r="J52" s="27">
        <f>ROUND(I52*E52,2)</f>
        <v/>
      </c>
    </row>
    <row r="53" hidden="1" outlineLevel="1" ht="25.5" customFormat="1" customHeight="1" s="12">
      <c r="A53" s="236" t="n">
        <v>24</v>
      </c>
      <c r="B53" s="236" t="inlineStr">
        <is>
          <t>21.1.08.01-0313</t>
        </is>
      </c>
      <c r="C53" s="245" t="inlineStr">
        <is>
          <t>Кабель пожарной сигнализации КПСЭнг(A)-FRLS 1х2х1,5</t>
        </is>
      </c>
      <c r="D53" s="236" t="inlineStr">
        <is>
          <t>1000 м</t>
        </is>
      </c>
      <c r="E53" s="310" t="n">
        <v>0.05</v>
      </c>
      <c r="F53" s="247" t="n">
        <v>5545.45</v>
      </c>
      <c r="G53" s="27">
        <f>ROUND(E53*F53,2)</f>
        <v/>
      </c>
      <c r="H53" s="154">
        <f>G53/$G$65</f>
        <v/>
      </c>
      <c r="I53" s="27">
        <f>ROUND(F53*'Прил. 10'!$D$13,2)</f>
        <v/>
      </c>
      <c r="J53" s="27">
        <f>ROUND(I53*E53,2)</f>
        <v/>
      </c>
    </row>
    <row r="54" hidden="1" outlineLevel="1" ht="25.5" customFormat="1" customHeight="1" s="12">
      <c r="A54" s="236" t="n">
        <v>25</v>
      </c>
      <c r="B54" s="236" t="inlineStr">
        <is>
          <t>999-9950</t>
        </is>
      </c>
      <c r="C54" s="245" t="inlineStr">
        <is>
          <t>Вспомогательные ненормируемые ресурсы (2% от Оплаты труда рабочих)</t>
        </is>
      </c>
      <c r="D54" s="236" t="inlineStr">
        <is>
          <t>руб</t>
        </is>
      </c>
      <c r="E54" s="310" t="n">
        <v>213.705</v>
      </c>
      <c r="F54" s="247" t="n">
        <v>1</v>
      </c>
      <c r="G54" s="27">
        <f>ROUND(E54*F54,2)</f>
        <v/>
      </c>
      <c r="H54" s="154">
        <f>G54/$G$65</f>
        <v/>
      </c>
      <c r="I54" s="27">
        <f>ROUND(F54*'Прил. 10'!$D$13,2)</f>
        <v/>
      </c>
      <c r="J54" s="27">
        <f>ROUND(I54*E54,2)</f>
        <v/>
      </c>
    </row>
    <row r="55" hidden="1" outlineLevel="1" ht="14.25" customFormat="1" customHeight="1" s="12">
      <c r="A55" s="236" t="n">
        <v>26</v>
      </c>
      <c r="B55" s="236" t="inlineStr">
        <is>
          <t>21.2.03.09-0105</t>
        </is>
      </c>
      <c r="C55" s="245" t="inlineStr">
        <is>
          <t>Провод силовой ПРТО 1х1,5-660</t>
        </is>
      </c>
      <c r="D55" s="236" t="inlineStr">
        <is>
          <t>1000 м</t>
        </is>
      </c>
      <c r="E55" s="310" t="n">
        <v>0.05</v>
      </c>
      <c r="F55" s="247" t="n">
        <v>1819.3</v>
      </c>
      <c r="G55" s="27">
        <f>ROUND(E55*F55,2)</f>
        <v/>
      </c>
      <c r="H55" s="154">
        <f>G55/$G$65</f>
        <v/>
      </c>
      <c r="I55" s="27">
        <f>ROUND(F55*'Прил. 10'!$D$13,2)</f>
        <v/>
      </c>
      <c r="J55" s="27">
        <f>ROUND(I55*E55,2)</f>
        <v/>
      </c>
    </row>
    <row r="56" hidden="1" outlineLevel="1" ht="14.25" customFormat="1" customHeight="1" s="12">
      <c r="A56" s="236" t="n">
        <v>27</v>
      </c>
      <c r="B56" s="236" t="inlineStr">
        <is>
          <t>22.2.02.23-0011</t>
        </is>
      </c>
      <c r="C56" s="245" t="inlineStr">
        <is>
          <t>Глухари</t>
        </is>
      </c>
      <c r="D56" s="236" t="inlineStr">
        <is>
          <t>100 шт</t>
        </is>
      </c>
      <c r="E56" s="310" t="n">
        <v>0.11</v>
      </c>
      <c r="F56" s="247" t="n">
        <v>164</v>
      </c>
      <c r="G56" s="27">
        <f>ROUND(E56*F56,2)</f>
        <v/>
      </c>
      <c r="H56" s="154">
        <f>G56/$G$65</f>
        <v/>
      </c>
      <c r="I56" s="27">
        <f>ROUND(F56*'Прил. 10'!$D$13,2)</f>
        <v/>
      </c>
      <c r="J56" s="27">
        <f>ROUND(I56*E56,2)</f>
        <v/>
      </c>
    </row>
    <row r="57" hidden="1" outlineLevel="1" ht="38.25" customFormat="1" customHeight="1" s="12">
      <c r="A57" s="236" t="n">
        <v>28</v>
      </c>
      <c r="B57" s="236" t="inlineStr">
        <is>
          <t>01.7.06.05-0042</t>
        </is>
      </c>
      <c r="C57" s="245" t="inlineStr">
        <is>
          <t>Лента липкая изоляционная на поликасиновом компаунде, ширина 20-30 мм, толщина от 0,14 до 0,19 мм</t>
        </is>
      </c>
      <c r="D57" s="236" t="inlineStr">
        <is>
          <t>кг</t>
        </is>
      </c>
      <c r="E57" s="310" t="n">
        <v>0.15</v>
      </c>
      <c r="F57" s="247" t="n">
        <v>91.29000000000001</v>
      </c>
      <c r="G57" s="27">
        <f>ROUND(E57*F57,2)</f>
        <v/>
      </c>
      <c r="H57" s="154">
        <f>G57/$G$65</f>
        <v/>
      </c>
      <c r="I57" s="27">
        <f>ROUND(F57*'Прил. 10'!$D$13,2)</f>
        <v/>
      </c>
      <c r="J57" s="27">
        <f>ROUND(I57*E57,2)</f>
        <v/>
      </c>
    </row>
    <row r="58" hidden="1" outlineLevel="1" ht="14.25" customFormat="1" customHeight="1" s="12">
      <c r="A58" s="236" t="n">
        <v>29</v>
      </c>
      <c r="B58" s="236" t="inlineStr">
        <is>
          <t>01.7.15.03-0042</t>
        </is>
      </c>
      <c r="C58" s="245" t="inlineStr">
        <is>
          <t>Болты с гайками и шайбами строительные</t>
        </is>
      </c>
      <c r="D58" s="236" t="inlineStr">
        <is>
          <t>кг</t>
        </is>
      </c>
      <c r="E58" s="310" t="n">
        <v>1.5</v>
      </c>
      <c r="F58" s="247" t="n">
        <v>9.039999999999999</v>
      </c>
      <c r="G58" s="27">
        <f>ROUND(E58*F58,2)</f>
        <v/>
      </c>
      <c r="H58" s="154">
        <f>G58/$G$65</f>
        <v/>
      </c>
      <c r="I58" s="27">
        <f>ROUND(F58*'Прил. 10'!$D$13,2)</f>
        <v/>
      </c>
      <c r="J58" s="27">
        <f>ROUND(I58*E58,2)</f>
        <v/>
      </c>
    </row>
    <row r="59" hidden="1" outlineLevel="1" ht="14.25" customFormat="1" customHeight="1" s="12">
      <c r="A59" s="236" t="n">
        <v>30</v>
      </c>
      <c r="B59" s="236" t="inlineStr">
        <is>
          <t>01.3.05.17-0002</t>
        </is>
      </c>
      <c r="C59" s="245" t="inlineStr">
        <is>
          <t>Канифоль сосновая</t>
        </is>
      </c>
      <c r="D59" s="236" t="inlineStr">
        <is>
          <t>кг</t>
        </is>
      </c>
      <c r="E59" s="310" t="n">
        <v>0.3018</v>
      </c>
      <c r="F59" s="247" t="n">
        <v>27.74</v>
      </c>
      <c r="G59" s="27">
        <f>ROUND(E59*F59,2)</f>
        <v/>
      </c>
      <c r="H59" s="154">
        <f>G59/$G$65</f>
        <v/>
      </c>
      <c r="I59" s="27">
        <f>ROUND(F59*'Прил. 10'!$D$13,2)</f>
        <v/>
      </c>
      <c r="J59" s="27">
        <f>ROUND(I59*E59,2)</f>
        <v/>
      </c>
    </row>
    <row r="60" hidden="1" outlineLevel="1" ht="14.25" customFormat="1" customHeight="1" s="12">
      <c r="A60" s="236" t="n">
        <v>31</v>
      </c>
      <c r="B60" s="236" t="inlineStr">
        <is>
          <t>01.7.06.07-0002</t>
        </is>
      </c>
      <c r="C60" s="245" t="inlineStr">
        <is>
          <t>Лента монтажная, тип ЛМ-5</t>
        </is>
      </c>
      <c r="D60" s="236" t="inlineStr">
        <is>
          <t>10 м</t>
        </is>
      </c>
      <c r="E60" s="310" t="n">
        <v>0.8159999999999999</v>
      </c>
      <c r="F60" s="247" t="n">
        <v>6.9</v>
      </c>
      <c r="G60" s="27">
        <f>ROUND(E60*F60,2)</f>
        <v/>
      </c>
      <c r="H60" s="154">
        <f>G60/$G$65</f>
        <v/>
      </c>
      <c r="I60" s="27">
        <f>ROUND(F60*'Прил. 10'!$D$13,2)</f>
        <v/>
      </c>
      <c r="J60" s="27">
        <f>ROUND(I60*E60,2)</f>
        <v/>
      </c>
    </row>
    <row r="61" hidden="1" outlineLevel="1" ht="14.25" customFormat="1" customHeight="1" s="12">
      <c r="A61" s="236" t="n">
        <v>32</v>
      </c>
      <c r="B61" s="236" t="inlineStr">
        <is>
          <t>14.4.03.03-0002</t>
        </is>
      </c>
      <c r="C61" s="245" t="inlineStr">
        <is>
          <t>Лак битумный БТ-123</t>
        </is>
      </c>
      <c r="D61" s="236" t="inlineStr">
        <is>
          <t>т</t>
        </is>
      </c>
      <c r="E61" s="310" t="n">
        <v>0.00051</v>
      </c>
      <c r="F61" s="247" t="n">
        <v>7826.9</v>
      </c>
      <c r="G61" s="27">
        <f>ROUND(E61*F61,2)</f>
        <v/>
      </c>
      <c r="H61" s="154">
        <f>G61/$G$65</f>
        <v/>
      </c>
      <c r="I61" s="27">
        <f>ROUND(F61*'Прил. 10'!$D$13,2)</f>
        <v/>
      </c>
      <c r="J61" s="27">
        <f>ROUND(I61*E61,2)</f>
        <v/>
      </c>
    </row>
    <row r="62" hidden="1" outlineLevel="1" ht="14.25" customFormat="1" customHeight="1" s="12">
      <c r="A62" s="236" t="n">
        <v>33</v>
      </c>
      <c r="B62" s="236" t="inlineStr">
        <is>
          <t>03.1.01.01-0002</t>
        </is>
      </c>
      <c r="C62" s="245" t="inlineStr">
        <is>
          <t>Гипс строительный Г-3</t>
        </is>
      </c>
      <c r="D62" s="236" t="inlineStr">
        <is>
          <t>т</t>
        </is>
      </c>
      <c r="E62" s="310" t="n">
        <v>0.0052</v>
      </c>
      <c r="F62" s="247" t="n">
        <v>729.98</v>
      </c>
      <c r="G62" s="27">
        <f>ROUND(E62*F62,2)</f>
        <v/>
      </c>
      <c r="H62" s="154">
        <f>G62/$G$65</f>
        <v/>
      </c>
      <c r="I62" s="27">
        <f>ROUND(F62*'Прил. 10'!$D$13,2)</f>
        <v/>
      </c>
      <c r="J62" s="27">
        <f>ROUND(I62*E62,2)</f>
        <v/>
      </c>
    </row>
    <row r="63" hidden="1" outlineLevel="1" ht="14.25" customFormat="1" customHeight="1" s="12">
      <c r="A63" s="236" t="n">
        <v>34</v>
      </c>
      <c r="B63" s="236" t="inlineStr">
        <is>
          <t>14.1.04.02-0002</t>
        </is>
      </c>
      <c r="C63" s="245" t="inlineStr">
        <is>
          <t>Клей 88-СА</t>
        </is>
      </c>
      <c r="D63" s="236" t="inlineStr">
        <is>
          <t>кг</t>
        </is>
      </c>
      <c r="E63" s="310" t="n">
        <v>0.09</v>
      </c>
      <c r="F63" s="247" t="n">
        <v>28.93</v>
      </c>
      <c r="G63" s="27">
        <f>ROUND(E63*F63,2)</f>
        <v/>
      </c>
      <c r="H63" s="154">
        <f>G63/$G$65</f>
        <v/>
      </c>
      <c r="I63" s="27">
        <f>ROUND(F63*'Прил. 10'!$D$13,2)</f>
        <v/>
      </c>
      <c r="J63" s="27">
        <f>ROUND(I63*E63,2)</f>
        <v/>
      </c>
    </row>
    <row r="64" collapsed="1" ht="14.25" customFormat="1" customHeight="1" s="12">
      <c r="A64" s="236" t="n"/>
      <c r="B64" s="236" t="n"/>
      <c r="C64" s="245" t="inlineStr">
        <is>
          <t>Итого прочие материалы</t>
        </is>
      </c>
      <c r="D64" s="236" t="n"/>
      <c r="E64" s="246" t="n"/>
      <c r="F64" s="247" t="n"/>
      <c r="G64" s="27">
        <f>SUM(G52:G63)</f>
        <v/>
      </c>
      <c r="H64" s="154">
        <f>G64/$G$65</f>
        <v/>
      </c>
      <c r="I64" s="27" t="n"/>
      <c r="J64" s="27">
        <f>SUM(J52:J63)</f>
        <v/>
      </c>
    </row>
    <row r="65" ht="14.25" customFormat="1" customHeight="1" s="12">
      <c r="A65" s="236" t="n"/>
      <c r="B65" s="236" t="n"/>
      <c r="C65" s="244" t="inlineStr">
        <is>
          <t>Итого по разделу «Материалы»</t>
        </is>
      </c>
      <c r="D65" s="236" t="n"/>
      <c r="E65" s="246" t="n"/>
      <c r="F65" s="247" t="n"/>
      <c r="G65" s="27">
        <f>G51+G64</f>
        <v/>
      </c>
      <c r="H65" s="248">
        <f>G65/$G$65</f>
        <v/>
      </c>
      <c r="I65" s="27" t="n"/>
      <c r="J65" s="27">
        <f>J51+J64</f>
        <v/>
      </c>
    </row>
    <row r="66" ht="14.25" customFormat="1" customHeight="1" s="12">
      <c r="A66" s="236" t="n"/>
      <c r="B66" s="236" t="n"/>
      <c r="C66" s="245" t="inlineStr">
        <is>
          <t>ИТОГО ПО РМ</t>
        </is>
      </c>
      <c r="D66" s="236" t="n"/>
      <c r="E66" s="246" t="n"/>
      <c r="F66" s="247" t="n"/>
      <c r="G66" s="27">
        <f>G15+G26+G65</f>
        <v/>
      </c>
      <c r="H66" s="248" t="n"/>
      <c r="I66" s="27" t="n"/>
      <c r="J66" s="27">
        <f>J15+J26+J65</f>
        <v/>
      </c>
    </row>
    <row r="67" ht="14.25" customFormat="1" customHeight="1" s="12">
      <c r="A67" s="236" t="n"/>
      <c r="B67" s="236" t="n"/>
      <c r="C67" s="245" t="inlineStr">
        <is>
          <t>Накладные расходы</t>
        </is>
      </c>
      <c r="D67" s="167">
        <f>ROUND(G67/(G$17+$G$15),2)</f>
        <v/>
      </c>
      <c r="E67" s="246" t="n"/>
      <c r="F67" s="247" t="n"/>
      <c r="G67" s="27" t="n">
        <v>9805.540000000001</v>
      </c>
      <c r="H67" s="248" t="n"/>
      <c r="I67" s="27" t="n"/>
      <c r="J67" s="27">
        <f>ROUND(D67*(J15+J17),2)</f>
        <v/>
      </c>
    </row>
    <row r="68" ht="14.25" customFormat="1" customHeight="1" s="12">
      <c r="A68" s="236" t="n"/>
      <c r="B68" s="236" t="n"/>
      <c r="C68" s="245" t="inlineStr">
        <is>
          <t>Сметная прибыль</t>
        </is>
      </c>
      <c r="D68" s="167">
        <f>ROUND(G68/(G$15+G$17),2)</f>
        <v/>
      </c>
      <c r="E68" s="246" t="n"/>
      <c r="F68" s="247" t="n"/>
      <c r="G68" s="27" t="n">
        <v>5035.44</v>
      </c>
      <c r="H68" s="248" t="n"/>
      <c r="I68" s="27" t="n"/>
      <c r="J68" s="27">
        <f>ROUND(D68*(J15+J17),2)</f>
        <v/>
      </c>
    </row>
    <row r="69" ht="14.25" customFormat="1" customHeight="1" s="12">
      <c r="A69" s="236" t="n"/>
      <c r="B69" s="236" t="n"/>
      <c r="C69" s="245" t="inlineStr">
        <is>
          <t>Итого СМР (с НР и СП)</t>
        </is>
      </c>
      <c r="D69" s="236" t="n"/>
      <c r="E69" s="246" t="n"/>
      <c r="F69" s="247" t="n"/>
      <c r="G69" s="27">
        <f>G15+G26+G65+G67+G68</f>
        <v/>
      </c>
      <c r="H69" s="248" t="n"/>
      <c r="I69" s="27" t="n"/>
      <c r="J69" s="27">
        <f>J15+J26+J65+J67+J68</f>
        <v/>
      </c>
    </row>
    <row r="70" ht="14.25" customFormat="1" customHeight="1" s="12">
      <c r="A70" s="236" t="n"/>
      <c r="B70" s="236" t="n"/>
      <c r="C70" s="245" t="inlineStr">
        <is>
          <t>ВСЕГО СМР + ОБОРУДОВАНИЕ</t>
        </is>
      </c>
      <c r="D70" s="236" t="n"/>
      <c r="E70" s="246" t="n"/>
      <c r="F70" s="247" t="n"/>
      <c r="G70" s="27">
        <f>G69+G44</f>
        <v/>
      </c>
      <c r="H70" s="248" t="n"/>
      <c r="I70" s="27" t="n"/>
      <c r="J70" s="27">
        <f>J69+J44</f>
        <v/>
      </c>
    </row>
    <row r="71" ht="34.5" customFormat="1" customHeight="1" s="12">
      <c r="A71" s="236" t="n"/>
      <c r="B71" s="236" t="n"/>
      <c r="C71" s="245" t="inlineStr">
        <is>
          <t>ИТОГО ПОКАЗАТЕЛЬ НА ЕД. ИЗМ.</t>
        </is>
      </c>
      <c r="D71" s="236" t="inlineStr">
        <is>
          <t>м2</t>
        </is>
      </c>
      <c r="E71" s="314" t="n">
        <v>646.75</v>
      </c>
      <c r="F71" s="247" t="n"/>
      <c r="G71" s="27">
        <f>G70/E71</f>
        <v/>
      </c>
      <c r="H71" s="248" t="n"/>
      <c r="I71" s="27" t="n"/>
      <c r="J71" s="27">
        <f>J70/E71</f>
        <v/>
      </c>
    </row>
    <row r="73" ht="14.25" customFormat="1" customHeight="1" s="12">
      <c r="A73" s="4" t="inlineStr">
        <is>
          <t>Составил ______________________    Д.Ю. Нефедова</t>
        </is>
      </c>
    </row>
    <row r="74" ht="14.25" customFormat="1" customHeight="1" s="12">
      <c r="A74" s="168" t="inlineStr">
        <is>
          <t xml:space="preserve">                         (подпись, инициалы, фамилия)</t>
        </is>
      </c>
    </row>
    <row r="75" ht="14.25" customFormat="1" customHeight="1" s="12">
      <c r="A75" s="4" t="n"/>
    </row>
    <row r="76" ht="14.25" customFormat="1" customHeight="1" s="12">
      <c r="A76" s="4" t="inlineStr">
        <is>
          <t>Проверил ______________________        А.В. Костянецкая</t>
        </is>
      </c>
    </row>
    <row r="77" ht="14.25" customFormat="1" customHeight="1" s="12">
      <c r="A77" s="168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C10:C11"/>
    <mergeCell ref="H2:J2"/>
    <mergeCell ref="E10:E11"/>
    <mergeCell ref="A7:H7"/>
    <mergeCell ref="B47:H47"/>
    <mergeCell ref="B16:H16"/>
    <mergeCell ref="B10:B11"/>
    <mergeCell ref="B46:H46"/>
    <mergeCell ref="B18:H18"/>
    <mergeCell ref="B27:H27"/>
    <mergeCell ref="D6:J6"/>
    <mergeCell ref="A10:A11"/>
    <mergeCell ref="A8:H8"/>
    <mergeCell ref="D10:D11"/>
    <mergeCell ref="B13:H13"/>
    <mergeCell ref="I10:J10"/>
    <mergeCell ref="B19:H19"/>
    <mergeCell ref="H10:H11"/>
    <mergeCell ref="B28:H28"/>
  </mergeCells>
  <pageMargins left="0.62992125984252" right="0.23622047244094" top="0.74803149606299" bottom="0.74803149606299" header="0.31496062992126" footer="0.31496062992126"/>
  <pageSetup orientation="portrait" paperSize="9" scale="57" fitToHeight="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32"/>
  <sheetViews>
    <sheetView view="pageBreakPreview" topLeftCell="A19" workbookViewId="0">
      <selection activeCell="B28" sqref="B28"/>
    </sheetView>
  </sheetViews>
  <sheetFormatPr baseColWidth="8" defaultRowHeight="15"/>
  <cols>
    <col width="5.7109375" customWidth="1" style="190" min="1" max="1"/>
    <col width="17.5703125" customWidth="1" style="190" min="2" max="2"/>
    <col width="39.140625" customWidth="1" style="190" min="3" max="3"/>
    <col width="10.7109375" customWidth="1" style="190" min="4" max="4"/>
    <col width="13.85546875" customWidth="1" style="190" min="5" max="5"/>
    <col width="13.28515625" customWidth="1" style="190" min="6" max="6"/>
    <col width="14.140625" customWidth="1" style="190" min="7" max="7"/>
  </cols>
  <sheetData>
    <row r="1">
      <c r="A1" s="253" t="inlineStr">
        <is>
          <t>Приложение №6</t>
        </is>
      </c>
    </row>
    <row r="2" ht="21.75" customHeight="1" s="190">
      <c r="A2" s="253" t="n"/>
      <c r="B2" s="253" t="n"/>
      <c r="C2" s="253" t="n"/>
      <c r="D2" s="253" t="n"/>
      <c r="E2" s="253" t="n"/>
      <c r="F2" s="253" t="n"/>
      <c r="G2" s="253" t="n"/>
    </row>
    <row r="3">
      <c r="A3" s="211" t="inlineStr">
        <is>
          <t>Расчет стоимости оборудования</t>
        </is>
      </c>
    </row>
    <row r="4" ht="25.5" customHeight="1" s="190">
      <c r="A4" s="214" t="inlineStr">
        <is>
          <t>Наименование разрабатываемого показателя УНЦ — Комплекс систем безопасности ПС. Система пожарной и охранной сигнализации</t>
        </is>
      </c>
    </row>
    <row r="5">
      <c r="A5" s="4" t="n"/>
      <c r="B5" s="4" t="n"/>
      <c r="C5" s="4" t="n"/>
      <c r="D5" s="4" t="n"/>
      <c r="E5" s="4" t="n"/>
      <c r="F5" s="4" t="n"/>
      <c r="G5" s="4" t="n"/>
    </row>
    <row r="6" ht="30" customHeight="1" s="190">
      <c r="A6" s="258" t="inlineStr">
        <is>
          <t>№ пп.</t>
        </is>
      </c>
      <c r="B6" s="258" t="inlineStr">
        <is>
          <t>Код ресурса</t>
        </is>
      </c>
      <c r="C6" s="258" t="inlineStr">
        <is>
          <t>Наименование</t>
        </is>
      </c>
      <c r="D6" s="258" t="inlineStr">
        <is>
          <t>Ед. изм.</t>
        </is>
      </c>
      <c r="E6" s="236" t="inlineStr">
        <is>
          <t>Кол-во единиц по проектным данным</t>
        </is>
      </c>
      <c r="F6" s="258" t="inlineStr">
        <is>
          <t>Сметная стоимость в ценах на 01.01.2000 (руб.)</t>
        </is>
      </c>
      <c r="G6" s="306" t="n"/>
    </row>
    <row r="7">
      <c r="A7" s="308" t="n"/>
      <c r="B7" s="308" t="n"/>
      <c r="C7" s="308" t="n"/>
      <c r="D7" s="308" t="n"/>
      <c r="E7" s="308" t="n"/>
      <c r="F7" s="236" t="inlineStr">
        <is>
          <t>на ед. изм.</t>
        </is>
      </c>
      <c r="G7" s="236" t="inlineStr">
        <is>
          <t>общая</t>
        </is>
      </c>
    </row>
    <row r="8">
      <c r="A8" s="236" t="n">
        <v>1</v>
      </c>
      <c r="B8" s="236" t="n">
        <v>2</v>
      </c>
      <c r="C8" s="236" t="n">
        <v>3</v>
      </c>
      <c r="D8" s="236" t="n">
        <v>4</v>
      </c>
      <c r="E8" s="236" t="n">
        <v>5</v>
      </c>
      <c r="F8" s="236" t="n">
        <v>6</v>
      </c>
      <c r="G8" s="236" t="n">
        <v>7</v>
      </c>
    </row>
    <row r="9" ht="15" customHeight="1" s="190">
      <c r="A9" s="106" t="n"/>
      <c r="B9" s="245" t="inlineStr">
        <is>
          <t>ИНЖЕНЕРНОЕ ОБОРУДОВАНИЕ</t>
        </is>
      </c>
      <c r="C9" s="305" t="n"/>
      <c r="D9" s="305" t="n"/>
      <c r="E9" s="305" t="n"/>
      <c r="F9" s="305" t="n"/>
      <c r="G9" s="306" t="n"/>
    </row>
    <row r="10" ht="27" customHeight="1" s="190">
      <c r="A10" s="236" t="n"/>
      <c r="B10" s="244" t="n"/>
      <c r="C10" s="245" t="inlineStr">
        <is>
          <t>ИТОГО ИНЖЕНЕРНОЕ ОБОРУДОВАНИЕ</t>
        </is>
      </c>
      <c r="D10" s="244" t="n"/>
      <c r="E10" s="169" t="n"/>
      <c r="F10" s="247" t="n"/>
      <c r="G10" s="27" t="n">
        <v>0</v>
      </c>
    </row>
    <row r="11">
      <c r="A11" s="236" t="n"/>
      <c r="B11" s="245" t="inlineStr">
        <is>
          <t>ТЕХНОЛОГИЧЕСКОЕ ОБОРУДОВАНИЕ</t>
        </is>
      </c>
      <c r="C11" s="305" t="n"/>
      <c r="D11" s="305" t="n"/>
      <c r="E11" s="305" t="n"/>
      <c r="F11" s="305" t="n"/>
      <c r="G11" s="306" t="n"/>
    </row>
    <row r="12" ht="25.5" customFormat="1" customHeight="1" s="192">
      <c r="A12" s="236" t="n">
        <v>1</v>
      </c>
      <c r="B12" s="245">
        <f>'Прил.5 Расчет СМР и ОБ'!B29</f>
        <v/>
      </c>
      <c r="C12" s="245">
        <f>'Прил.5 Расчет СМР и ОБ'!C29</f>
        <v/>
      </c>
      <c r="D12" s="236">
        <f>'Прил.5 Расчет СМР и ОБ'!D29</f>
        <v/>
      </c>
      <c r="E12" s="310">
        <f>'Прил.5 Расчет СМР и ОБ'!E29</f>
        <v/>
      </c>
      <c r="F12" s="247">
        <f>'Прил.5 Расчет СМР и ОБ'!F29</f>
        <v/>
      </c>
      <c r="G12" s="27">
        <f>ROUND(E12*F12,2)</f>
        <v/>
      </c>
    </row>
    <row r="13" ht="38.25" customFormat="1" customHeight="1" s="192">
      <c r="A13" s="236" t="n">
        <v>2</v>
      </c>
      <c r="B13" s="245">
        <f>'Прил.5 Расчет СМР и ОБ'!B30</f>
        <v/>
      </c>
      <c r="C13" s="245">
        <f>'Прил.5 Расчет СМР и ОБ'!C30</f>
        <v/>
      </c>
      <c r="D13" s="236">
        <f>'Прил.5 Расчет СМР и ОБ'!D30</f>
        <v/>
      </c>
      <c r="E13" s="310">
        <f>'Прил.5 Расчет СМР и ОБ'!E30</f>
        <v/>
      </c>
      <c r="F13" s="247">
        <f>'Прил.5 Расчет СМР и ОБ'!F30</f>
        <v/>
      </c>
      <c r="G13" s="27">
        <f>ROUND(E13*F13,2)</f>
        <v/>
      </c>
    </row>
    <row r="14" ht="63.75" customFormat="1" customHeight="1" s="192">
      <c r="A14" s="236" t="n">
        <v>3</v>
      </c>
      <c r="B14" s="245">
        <f>'Прил.5 Расчет СМР и ОБ'!B31</f>
        <v/>
      </c>
      <c r="C14" s="245">
        <f>'Прил.5 Расчет СМР и ОБ'!C31</f>
        <v/>
      </c>
      <c r="D14" s="236">
        <f>'Прил.5 Расчет СМР и ОБ'!D31</f>
        <v/>
      </c>
      <c r="E14" s="310">
        <f>'Прил.5 Расчет СМР и ОБ'!E31</f>
        <v/>
      </c>
      <c r="F14" s="247">
        <f>'Прил.5 Расчет СМР и ОБ'!F31</f>
        <v/>
      </c>
      <c r="G14" s="27">
        <f>ROUND(E14*F14,2)</f>
        <v/>
      </c>
    </row>
    <row r="15" ht="15.75" customFormat="1" customHeight="1" s="192">
      <c r="A15" s="236" t="n">
        <v>4</v>
      </c>
      <c r="B15" s="245">
        <f>'Прил.5 Расчет СМР и ОБ'!B32</f>
        <v/>
      </c>
      <c r="C15" s="245">
        <f>'Прил.5 Расчет СМР и ОБ'!C32</f>
        <v/>
      </c>
      <c r="D15" s="236">
        <f>'Прил.5 Расчет СМР и ОБ'!D32</f>
        <v/>
      </c>
      <c r="E15" s="310">
        <f>'Прил.5 Расчет СМР и ОБ'!E32</f>
        <v/>
      </c>
      <c r="F15" s="247">
        <f>'Прил.5 Расчет СМР и ОБ'!F32</f>
        <v/>
      </c>
      <c r="G15" s="27">
        <f>ROUND(E15*F15,2)</f>
        <v/>
      </c>
    </row>
    <row r="16" ht="38.25" customFormat="1" customHeight="1" s="192">
      <c r="A16" s="236" t="n">
        <v>5</v>
      </c>
      <c r="B16" s="245">
        <f>'Прил.5 Расчет СМР и ОБ'!B33</f>
        <v/>
      </c>
      <c r="C16" s="245">
        <f>'Прил.5 Расчет СМР и ОБ'!C33</f>
        <v/>
      </c>
      <c r="D16" s="236">
        <f>'Прил.5 Расчет СМР и ОБ'!D33</f>
        <v/>
      </c>
      <c r="E16" s="310">
        <f>'Прил.5 Расчет СМР и ОБ'!E33</f>
        <v/>
      </c>
      <c r="F16" s="247">
        <f>'Прил.5 Расчет СМР и ОБ'!F33</f>
        <v/>
      </c>
      <c r="G16" s="27">
        <f>ROUND(E16*F16,2)</f>
        <v/>
      </c>
    </row>
    <row r="17" ht="15.75" customFormat="1" customHeight="1" s="192">
      <c r="A17" s="236" t="n">
        <v>6</v>
      </c>
      <c r="B17" s="245">
        <f>'Прил.5 Расчет СМР и ОБ'!B34</f>
        <v/>
      </c>
      <c r="C17" s="245">
        <f>'Прил.5 Расчет СМР и ОБ'!C34</f>
        <v/>
      </c>
      <c r="D17" s="236">
        <f>'Прил.5 Расчет СМР и ОБ'!D34</f>
        <v/>
      </c>
      <c r="E17" s="310">
        <f>'Прил.5 Расчет СМР и ОБ'!E34</f>
        <v/>
      </c>
      <c r="F17" s="247">
        <f>'Прил.5 Расчет СМР и ОБ'!F34</f>
        <v/>
      </c>
      <c r="G17" s="27">
        <f>ROUND(E17*F17,2)</f>
        <v/>
      </c>
    </row>
    <row r="18" ht="25.5" customFormat="1" customHeight="1" s="192">
      <c r="A18" s="236" t="n">
        <v>7</v>
      </c>
      <c r="B18" s="245">
        <f>'Прил.5 Расчет СМР и ОБ'!B35</f>
        <v/>
      </c>
      <c r="C18" s="245">
        <f>'Прил.5 Расчет СМР и ОБ'!C35</f>
        <v/>
      </c>
      <c r="D18" s="236">
        <f>'Прил.5 Расчет СМР и ОБ'!D35</f>
        <v/>
      </c>
      <c r="E18" s="310">
        <f>'Прил.5 Расчет СМР и ОБ'!E35</f>
        <v/>
      </c>
      <c r="F18" s="247">
        <f>'Прил.5 Расчет СМР и ОБ'!F35</f>
        <v/>
      </c>
      <c r="G18" s="27">
        <f>ROUND(E18*F18,2)</f>
        <v/>
      </c>
    </row>
    <row r="19" ht="140.25" customFormat="1" customHeight="1" s="192">
      <c r="A19" s="236" t="n">
        <v>8</v>
      </c>
      <c r="B19" s="245">
        <f>'Прил.5 Расчет СМР и ОБ'!B36</f>
        <v/>
      </c>
      <c r="C19" s="245">
        <f>'Прил.5 Расчет СМР и ОБ'!C36</f>
        <v/>
      </c>
      <c r="D19" s="236">
        <f>'Прил.5 Расчет СМР и ОБ'!D36</f>
        <v/>
      </c>
      <c r="E19" s="310">
        <f>'Прил.5 Расчет СМР и ОБ'!E36</f>
        <v/>
      </c>
      <c r="F19" s="247">
        <f>'Прил.5 Расчет СМР и ОБ'!F36</f>
        <v/>
      </c>
      <c r="G19" s="27">
        <f>ROUND(E19*F19,2)</f>
        <v/>
      </c>
    </row>
    <row r="20" ht="25.5" customFormat="1" customHeight="1" s="192">
      <c r="A20" s="236" t="n">
        <v>9</v>
      </c>
      <c r="B20" s="245">
        <f>'Прил.5 Расчет СМР и ОБ'!B38</f>
        <v/>
      </c>
      <c r="C20" s="245">
        <f>'Прил.5 Расчет СМР и ОБ'!C38</f>
        <v/>
      </c>
      <c r="D20" s="236">
        <f>'Прил.5 Расчет СМР и ОБ'!D38</f>
        <v/>
      </c>
      <c r="E20" s="310">
        <f>'Прил.5 Расчет СМР и ОБ'!E38</f>
        <v/>
      </c>
      <c r="F20" s="247">
        <f>'Прил.5 Расчет СМР и ОБ'!F38</f>
        <v/>
      </c>
      <c r="G20" s="27">
        <f>ROUND(E20*F20,2)</f>
        <v/>
      </c>
    </row>
    <row r="21" ht="25.5" customFormat="1" customHeight="1" s="192">
      <c r="A21" s="236" t="n">
        <v>10</v>
      </c>
      <c r="B21" s="245">
        <f>'Прил.5 Расчет СМР и ОБ'!B39</f>
        <v/>
      </c>
      <c r="C21" s="245">
        <f>'Прил.5 Расчет СМР и ОБ'!C39</f>
        <v/>
      </c>
      <c r="D21" s="236">
        <f>'Прил.5 Расчет СМР и ОБ'!D39</f>
        <v/>
      </c>
      <c r="E21" s="310">
        <f>'Прил.5 Расчет СМР и ОБ'!E39</f>
        <v/>
      </c>
      <c r="F21" s="247">
        <f>'Прил.5 Расчет СМР и ОБ'!F39</f>
        <v/>
      </c>
      <c r="G21" s="27">
        <f>ROUND(E21*F21,2)</f>
        <v/>
      </c>
    </row>
    <row r="22" ht="51" customFormat="1" customHeight="1" s="192">
      <c r="A22" s="236" t="n">
        <v>11</v>
      </c>
      <c r="B22" s="245">
        <f>'Прил.5 Расчет СМР и ОБ'!B40</f>
        <v/>
      </c>
      <c r="C22" s="245">
        <f>'Прил.5 Расчет СМР и ОБ'!C40</f>
        <v/>
      </c>
      <c r="D22" s="236">
        <f>'Прил.5 Расчет СМР и ОБ'!D40</f>
        <v/>
      </c>
      <c r="E22" s="310">
        <f>'Прил.5 Расчет СМР и ОБ'!E40</f>
        <v/>
      </c>
      <c r="F22" s="247">
        <f>'Прил.5 Расчет СМР и ОБ'!F40</f>
        <v/>
      </c>
      <c r="G22" s="27">
        <f>ROUND(E22*F22,2)</f>
        <v/>
      </c>
    </row>
    <row r="23" ht="25.5" customFormat="1" customHeight="1" s="192">
      <c r="A23" s="236" t="n">
        <v>12</v>
      </c>
      <c r="B23" s="245">
        <f>'Прил.5 Расчет СМР и ОБ'!B41</f>
        <v/>
      </c>
      <c r="C23" s="245">
        <f>'Прил.5 Расчет СМР и ОБ'!C41</f>
        <v/>
      </c>
      <c r="D23" s="236">
        <f>'Прил.5 Расчет СМР и ОБ'!D41</f>
        <v/>
      </c>
      <c r="E23" s="310">
        <f>'Прил.5 Расчет СМР и ОБ'!E41</f>
        <v/>
      </c>
      <c r="F23" s="247">
        <f>'Прил.5 Расчет СМР и ОБ'!F41</f>
        <v/>
      </c>
      <c r="G23" s="27">
        <f>ROUND(E23*F23,2)</f>
        <v/>
      </c>
    </row>
    <row r="24" ht="38.25" customFormat="1" customHeight="1" s="192">
      <c r="A24" s="236" t="n">
        <v>13</v>
      </c>
      <c r="B24" s="245">
        <f>'Прил.5 Расчет СМР и ОБ'!B42</f>
        <v/>
      </c>
      <c r="C24" s="245">
        <f>'Прил.5 Расчет СМР и ОБ'!C42</f>
        <v/>
      </c>
      <c r="D24" s="236">
        <f>'Прил.5 Расчет СМР и ОБ'!D42</f>
        <v/>
      </c>
      <c r="E24" s="310">
        <f>'Прил.5 Расчет СМР и ОБ'!E42</f>
        <v/>
      </c>
      <c r="F24" s="247">
        <f>'Прил.5 Расчет СМР и ОБ'!F42</f>
        <v/>
      </c>
      <c r="G24" s="27">
        <f>ROUND(E24*F24,2)</f>
        <v/>
      </c>
    </row>
    <row r="25" ht="25.5" customHeight="1" s="190">
      <c r="A25" s="236" t="n"/>
      <c r="B25" s="245" t="n"/>
      <c r="C25" s="245" t="inlineStr">
        <is>
          <t>ИТОГО ТЕХНОЛОГИЧЕСКОЕ ОБОРУДОВАНИЕ</t>
        </is>
      </c>
      <c r="D25" s="245" t="n"/>
      <c r="E25" s="257" t="n"/>
      <c r="F25" s="247" t="n"/>
      <c r="G25" s="27">
        <f>SUM(G12:G24)</f>
        <v/>
      </c>
    </row>
    <row r="26" ht="19.5" customHeight="1" s="190">
      <c r="A26" s="236" t="n"/>
      <c r="B26" s="245" t="n"/>
      <c r="C26" s="245" t="inlineStr">
        <is>
          <t>Всего по разделу «Оборудование»</t>
        </is>
      </c>
      <c r="D26" s="245" t="n"/>
      <c r="E26" s="257" t="n"/>
      <c r="F26" s="247" t="n"/>
      <c r="G26" s="27">
        <f>G10+G25</f>
        <v/>
      </c>
    </row>
    <row r="27">
      <c r="A27" s="25" t="n"/>
      <c r="B27" s="170" t="n"/>
      <c r="C27" s="25" t="n"/>
      <c r="D27" s="25" t="n"/>
      <c r="E27" s="25" t="n"/>
      <c r="F27" s="25" t="n"/>
      <c r="G27" s="25" t="n"/>
    </row>
    <row r="28">
      <c r="A28" s="4" t="inlineStr">
        <is>
          <t>Составил ______________________    Д.Ю. Нефедова</t>
        </is>
      </c>
      <c r="B28" s="12" t="n"/>
      <c r="C28" s="12" t="n"/>
      <c r="D28" s="25" t="n"/>
      <c r="E28" s="25" t="n"/>
      <c r="F28" s="25" t="n"/>
      <c r="G28" s="25" t="n"/>
    </row>
    <row r="29">
      <c r="A29" s="168" t="inlineStr">
        <is>
          <t xml:space="preserve">                         (подпись, инициалы, фамилия)</t>
        </is>
      </c>
      <c r="B29" s="12" t="n"/>
      <c r="C29" s="12" t="n"/>
      <c r="D29" s="25" t="n"/>
      <c r="E29" s="25" t="n"/>
      <c r="F29" s="25" t="n"/>
      <c r="G29" s="25" t="n"/>
    </row>
    <row r="30">
      <c r="A30" s="4" t="n"/>
      <c r="B30" s="12" t="n"/>
      <c r="C30" s="12" t="n"/>
      <c r="D30" s="25" t="n"/>
      <c r="E30" s="25" t="n"/>
      <c r="F30" s="25" t="n"/>
      <c r="G30" s="25" t="n"/>
    </row>
    <row r="31">
      <c r="A31" s="4" t="inlineStr">
        <is>
          <t>Проверил ______________________        А.В. Костянецкая</t>
        </is>
      </c>
      <c r="B31" s="12" t="n"/>
      <c r="C31" s="12" t="n"/>
      <c r="D31" s="25" t="n"/>
      <c r="E31" s="25" t="n"/>
      <c r="F31" s="25" t="n"/>
      <c r="G31" s="25" t="n"/>
    </row>
    <row r="32">
      <c r="A32" s="168" t="inlineStr">
        <is>
          <t xml:space="preserve">                        (подпись, инициалы, фамилия)</t>
        </is>
      </c>
      <c r="B32" s="12" t="n"/>
      <c r="C32" s="12" t="n"/>
      <c r="D32" s="25" t="n"/>
      <c r="E32" s="25" t="n"/>
      <c r="F32" s="25" t="n"/>
      <c r="G32" s="25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C14" sqref="C14"/>
    </sheetView>
  </sheetViews>
  <sheetFormatPr baseColWidth="8" defaultRowHeight="15"/>
  <cols>
    <col width="12.7109375" customWidth="1" style="190" min="1" max="1"/>
    <col width="16.42578125" customWidth="1" style="190" min="2" max="2"/>
    <col width="37.140625" customWidth="1" style="190" min="3" max="3"/>
    <col width="49" customWidth="1" style="190" min="4" max="4"/>
    <col width="9.140625" customWidth="1" style="190" min="5" max="5"/>
  </cols>
  <sheetData>
    <row r="1" ht="15.75" customHeight="1" s="190">
      <c r="A1" s="192" t="n"/>
      <c r="B1" s="192" t="n"/>
      <c r="C1" s="192" t="n"/>
      <c r="D1" s="192" t="inlineStr">
        <is>
          <t>Приложение №7</t>
        </is>
      </c>
    </row>
    <row r="2" ht="15.75" customHeight="1" s="190">
      <c r="A2" s="192" t="n"/>
      <c r="B2" s="192" t="n"/>
      <c r="C2" s="192" t="n"/>
      <c r="D2" s="192" t="n"/>
    </row>
    <row r="3" ht="15.75" customHeight="1" s="190">
      <c r="A3" s="192" t="n"/>
      <c r="B3" s="140" t="inlineStr">
        <is>
          <t>Расчет показателя УНЦ</t>
        </is>
      </c>
      <c r="C3" s="192" t="n"/>
      <c r="D3" s="192" t="n"/>
    </row>
    <row r="4" ht="15.75" customHeight="1" s="190">
      <c r="A4" s="192" t="n"/>
      <c r="B4" s="192" t="n"/>
      <c r="C4" s="192" t="n"/>
      <c r="D4" s="192" t="n"/>
    </row>
    <row r="5" ht="31.5" customHeight="1" s="190">
      <c r="A5" s="259" t="inlineStr">
        <is>
          <t xml:space="preserve">Наименование разрабатываемого показателя УНЦ - </t>
        </is>
      </c>
      <c r="D5" s="259">
        <f>'Прил.5 Расчет СМР и ОБ'!D6:J6</f>
        <v/>
      </c>
    </row>
    <row r="6" ht="15.75" customHeight="1" s="190">
      <c r="A6" s="192" t="inlineStr">
        <is>
          <t>Единица измерения  — 1 ед</t>
        </is>
      </c>
      <c r="B6" s="192" t="n"/>
      <c r="C6" s="192" t="n"/>
      <c r="D6" s="192" t="n"/>
    </row>
    <row r="7" ht="15.75" customHeight="1" s="190">
      <c r="A7" s="192" t="n"/>
      <c r="B7" s="192" t="n"/>
      <c r="C7" s="192" t="n"/>
      <c r="D7" s="192" t="n"/>
    </row>
    <row r="8">
      <c r="A8" s="225" t="inlineStr">
        <is>
          <t>Код показателя</t>
        </is>
      </c>
      <c r="B8" s="225" t="inlineStr">
        <is>
          <t>Наименование показателя</t>
        </is>
      </c>
      <c r="C8" s="225" t="inlineStr">
        <is>
          <t>Наименование РМ, входящих в состав показателя</t>
        </is>
      </c>
      <c r="D8" s="225" t="inlineStr">
        <is>
          <t>Норматив цены на 01.01.2023, тыс.руб.</t>
        </is>
      </c>
    </row>
    <row r="9">
      <c r="A9" s="308" t="n"/>
      <c r="B9" s="308" t="n"/>
      <c r="C9" s="308" t="n"/>
      <c r="D9" s="308" t="n"/>
    </row>
    <row r="10" ht="15.75" customHeight="1" s="190">
      <c r="A10" s="225" t="n">
        <v>1</v>
      </c>
      <c r="B10" s="225" t="n">
        <v>2</v>
      </c>
      <c r="C10" s="225" t="n">
        <v>3</v>
      </c>
      <c r="D10" s="225" t="n">
        <v>4</v>
      </c>
    </row>
    <row r="11" ht="63" customHeight="1" s="190">
      <c r="A11" s="225" t="inlineStr">
        <is>
          <t>И15-08</t>
        </is>
      </c>
      <c r="B11" s="225" t="inlineStr">
        <is>
          <t xml:space="preserve">УНЦ комплекса систем безопасности ПС </t>
        </is>
      </c>
      <c r="C11" s="189">
        <f>D5</f>
        <v/>
      </c>
      <c r="D11" s="198">
        <f>'Прил.4 РМ'!C41/1000</f>
        <v/>
      </c>
    </row>
    <row r="13">
      <c r="A13" s="4" t="inlineStr">
        <is>
          <t>Составил ______________________      Д.Ю. Нефедова</t>
        </is>
      </c>
      <c r="B13" s="12" t="n"/>
      <c r="C13" s="12" t="n"/>
      <c r="D13" s="25" t="n"/>
    </row>
    <row r="14">
      <c r="A14" s="168" t="inlineStr">
        <is>
          <t xml:space="preserve">                         (подпись, инициалы, фамилия)</t>
        </is>
      </c>
      <c r="B14" s="12" t="n"/>
      <c r="C14" s="12" t="n"/>
      <c r="D14" s="25" t="n"/>
    </row>
    <row r="15">
      <c r="A15" s="4" t="n"/>
      <c r="B15" s="12" t="n"/>
      <c r="C15" s="12" t="n"/>
      <c r="D15" s="25" t="n"/>
    </row>
    <row r="16">
      <c r="A16" s="4" t="inlineStr">
        <is>
          <t>Проверил ______________________        А.В. Костянецкая</t>
        </is>
      </c>
      <c r="B16" s="12" t="n"/>
      <c r="C16" s="12" t="n"/>
      <c r="D16" s="25" t="n"/>
    </row>
    <row r="17">
      <c r="A17" s="168" t="inlineStr">
        <is>
          <t xml:space="preserve">                        (подпись, инициалы, фамилия)</t>
        </is>
      </c>
      <c r="B17" s="12" t="n"/>
      <c r="C17" s="12" t="n"/>
      <c r="D17" s="25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5" fitToHeight="0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4:E31"/>
  <sheetViews>
    <sheetView view="pageBreakPreview" zoomScale="60" zoomScaleNormal="85" workbookViewId="0">
      <selection activeCell="B25" sqref="B25"/>
    </sheetView>
  </sheetViews>
  <sheetFormatPr baseColWidth="8" defaultRowHeight="15"/>
  <cols>
    <col width="9.140625" customWidth="1" style="190" min="1" max="1"/>
    <col width="40.7109375" customWidth="1" style="190" min="2" max="2"/>
    <col width="37" customWidth="1" style="190" min="3" max="3"/>
    <col width="32" customWidth="1" style="190" min="4" max="4"/>
    <col width="9.140625" customWidth="1" style="190" min="5" max="5"/>
  </cols>
  <sheetData>
    <row r="4" ht="15.75" customHeight="1" s="190">
      <c r="B4" s="218" t="inlineStr">
        <is>
          <t>Приложение № 10</t>
        </is>
      </c>
    </row>
    <row r="5" ht="18.75" customHeight="1" s="190">
      <c r="B5" s="171" t="n"/>
    </row>
    <row r="6" ht="15.75" customHeight="1" s="190">
      <c r="B6" s="219" t="inlineStr">
        <is>
          <t>Используемые индексы изменений сметной стоимости и нормы сопутствующих затрат</t>
        </is>
      </c>
    </row>
    <row r="7">
      <c r="B7" s="260" t="n"/>
    </row>
    <row r="8">
      <c r="B8" s="260" t="n"/>
      <c r="C8" s="260" t="n"/>
      <c r="D8" s="260" t="n"/>
      <c r="E8" s="260" t="n"/>
    </row>
    <row r="9" ht="47.25" customHeight="1" s="190">
      <c r="B9" s="225" t="inlineStr">
        <is>
          <t>Наименование индекса / норм сопутствующих затрат</t>
        </is>
      </c>
      <c r="C9" s="225" t="inlineStr">
        <is>
          <t>Дата применения и обоснование индекса / норм сопутствующих затрат</t>
        </is>
      </c>
      <c r="D9" s="225" t="inlineStr">
        <is>
          <t>Размер индекса / норма сопутствующих затрат</t>
        </is>
      </c>
    </row>
    <row r="10" ht="15.75" customHeight="1" s="190">
      <c r="B10" s="225" t="n">
        <v>1</v>
      </c>
      <c r="C10" s="225" t="n">
        <v>2</v>
      </c>
      <c r="D10" s="225" t="n">
        <v>3</v>
      </c>
    </row>
    <row r="11" ht="45" customHeight="1" s="190">
      <c r="B11" s="225" t="inlineStr">
        <is>
          <t xml:space="preserve">Индекс изменения сметной стоимости на 1 квартал 2023 года. ОЗП </t>
        </is>
      </c>
      <c r="C11" s="225" t="inlineStr">
        <is>
          <t>Письмо Минстроя России от 30.03.2023г. №17106-ИФ/09 прил.1</t>
        </is>
      </c>
      <c r="D11" s="225" t="n">
        <v>44.29</v>
      </c>
    </row>
    <row r="12" ht="29.25" customHeight="1" s="190">
      <c r="B12" s="225" t="inlineStr">
        <is>
          <t>Индекс изменения сметной стоимости на 1 квартал 2023 года. ЭМ</t>
        </is>
      </c>
      <c r="C12" s="225" t="inlineStr">
        <is>
          <t>Письмо Минстроя России от 30.03.2023г. №17106-ИФ/09 прил.1</t>
        </is>
      </c>
      <c r="D12" s="225" t="n">
        <v>13.47</v>
      </c>
    </row>
    <row r="13" ht="29.25" customHeight="1" s="190">
      <c r="B13" s="225" t="inlineStr">
        <is>
          <t>Индекс изменения сметной стоимости на 1 квартал 2023 года. МАТ</t>
        </is>
      </c>
      <c r="C13" s="225" t="inlineStr">
        <is>
          <t>Письмо Минстроя России от 30.03.2023г. №17106-ИФ/09 прил.1</t>
        </is>
      </c>
      <c r="D13" s="225" t="n">
        <v>8.039999999999999</v>
      </c>
    </row>
    <row r="14" ht="30.75" customHeight="1" s="190">
      <c r="B14" s="225" t="inlineStr">
        <is>
          <t>Индекс изменения сметной стоимости на 1 квартал 2023 года. ОБ</t>
        </is>
      </c>
      <c r="C14" s="120" t="inlineStr">
        <is>
          <t>Письмо Минстроя России от 23.02.2023г. №9791-ИФ/09 прил.6</t>
        </is>
      </c>
      <c r="D14" s="225" t="n">
        <v>6.26</v>
      </c>
    </row>
    <row r="15" ht="89.25" customHeight="1" s="190">
      <c r="B15" s="225" t="inlineStr">
        <is>
          <t>Временные здания и сооружения</t>
        </is>
      </c>
      <c r="C15" s="225" t="inlineStr">
        <is>
          <t xml:space="preserve">п.22 Приложения №1 Методики определения затрат на строительство временных зданий и сооружений   по приказу Минстроя РФ №332/пр от 19.06.2020  </t>
        </is>
      </c>
      <c r="D15" s="173" t="n">
        <v>0.039</v>
      </c>
    </row>
    <row r="16" ht="78.75" customHeight="1" s="190">
      <c r="B16" s="225" t="inlineStr">
        <is>
          <t>Дополнительные затраты при производстве строительно-монтажных работ в зимнее время</t>
        </is>
      </c>
      <c r="C16" s="225" t="inlineStr">
        <is>
      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6" s="173" t="n">
        <v>0.021</v>
      </c>
    </row>
    <row r="17" ht="34.5" customHeight="1" s="190">
      <c r="B17" s="225" t="inlineStr">
        <is>
          <t>Пусконаладочные работы*</t>
        </is>
      </c>
      <c r="C17" s="225" t="n"/>
      <c r="D17" s="225" t="inlineStr">
        <is>
          <t>Расчет</t>
        </is>
      </c>
    </row>
    <row r="18" ht="31.5" customHeight="1" s="190">
      <c r="B18" s="225" t="inlineStr">
        <is>
          <t>Строительный контроль</t>
        </is>
      </c>
      <c r="C18" s="225" t="inlineStr">
        <is>
          <t>Постановление Правительства РФ от 21.06.10 г. № 468</t>
        </is>
      </c>
      <c r="D18" s="173" t="n">
        <v>0.0214</v>
      </c>
    </row>
    <row r="19" ht="31.5" customHeight="1" s="190">
      <c r="B19" s="225" t="inlineStr">
        <is>
          <t>Авторский надзор - 0,2%</t>
        </is>
      </c>
      <c r="C19" s="225" t="inlineStr">
        <is>
          <t>Приказ от 4.08.2020 № 421/пр п.173</t>
        </is>
      </c>
      <c r="D19" s="173" t="n">
        <v>0.002</v>
      </c>
    </row>
    <row r="20" ht="24" customHeight="1" s="190">
      <c r="B20" s="225" t="inlineStr">
        <is>
          <t>Непредвиденные расходы</t>
        </is>
      </c>
      <c r="C20" s="225" t="inlineStr">
        <is>
          <t>Приказ от 4.08.2020 № 421/пр п.179</t>
        </is>
      </c>
      <c r="D20" s="173" t="n">
        <v>0.03</v>
      </c>
    </row>
    <row r="21" ht="18.75" customHeight="1" s="190">
      <c r="B21" s="174" t="n"/>
    </row>
    <row r="22" ht="18.75" customHeight="1" s="190">
      <c r="B22" s="174" t="n"/>
    </row>
    <row r="23" ht="18.75" customHeight="1" s="190">
      <c r="B23" s="174" t="n"/>
    </row>
    <row r="24" ht="18.75" customHeight="1" s="190">
      <c r="B24" s="174" t="n"/>
    </row>
    <row r="27">
      <c r="B27" s="4" t="inlineStr">
        <is>
          <t>Составил ______________________        Д.Ю. Нефедова</t>
        </is>
      </c>
      <c r="C27" s="12" t="n"/>
    </row>
    <row r="28">
      <c r="B28" s="168" t="inlineStr">
        <is>
          <t xml:space="preserve">                         (подпись, инициалы, фамилия)</t>
        </is>
      </c>
      <c r="C28" s="12" t="n"/>
    </row>
    <row r="29">
      <c r="B29" s="4" t="n"/>
      <c r="C29" s="12" t="n"/>
    </row>
    <row r="30">
      <c r="B30" s="4" t="inlineStr">
        <is>
          <t>Проверил ______________________        А.В. Костянецкая</t>
        </is>
      </c>
      <c r="C30" s="12" t="n"/>
    </row>
    <row r="31">
      <c r="B31" s="168" t="inlineStr">
        <is>
          <t xml:space="preserve">                        (подпись, инициалы, фамилия)</t>
        </is>
      </c>
      <c r="C31" s="12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scale="7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G13"/>
  <sheetViews>
    <sheetView tabSelected="1" view="pageBreakPreview" topLeftCell="A10" zoomScale="60" zoomScaleNormal="100" workbookViewId="0">
      <selection activeCell="G10" sqref="G1:G1048576"/>
    </sheetView>
  </sheetViews>
  <sheetFormatPr baseColWidth="8" defaultColWidth="9.140625" defaultRowHeight="15"/>
  <cols>
    <col width="44.85546875" customWidth="1" style="190" min="2" max="2"/>
    <col width="13" customWidth="1" style="190" min="3" max="3"/>
    <col width="22.85546875" customWidth="1" style="190" min="4" max="4"/>
    <col width="21.5703125" customWidth="1" style="190" min="5" max="5"/>
    <col width="43.85546875" customWidth="1" style="190" min="6" max="6"/>
  </cols>
  <sheetData>
    <row r="1" s="190"/>
    <row r="2" ht="17.25" customHeight="1" s="190">
      <c r="A2" s="219" t="inlineStr">
        <is>
          <t>Расчет размера средств на оплату труда рабочих-строителей в текущем уровне цен (ФОТр.тек.)</t>
        </is>
      </c>
    </row>
    <row r="3" s="190"/>
    <row r="4" ht="18" customHeight="1" s="190">
      <c r="A4" s="191" t="inlineStr">
        <is>
          <t>Составлен в уровне цен на 01.01.2023 г.</t>
        </is>
      </c>
      <c r="B4" s="192" t="n"/>
      <c r="C4" s="192" t="n"/>
      <c r="D4" s="192" t="n"/>
      <c r="E4" s="192" t="n"/>
      <c r="F4" s="192" t="n"/>
      <c r="G4" s="192" t="n"/>
    </row>
    <row r="5" ht="15.75" customHeight="1" s="190">
      <c r="A5" s="193" t="inlineStr">
        <is>
          <t>№ пп.</t>
        </is>
      </c>
      <c r="B5" s="193" t="inlineStr">
        <is>
          <t>Наименование элемента</t>
        </is>
      </c>
      <c r="C5" s="193" t="inlineStr">
        <is>
          <t>Обозначение</t>
        </is>
      </c>
      <c r="D5" s="193" t="inlineStr">
        <is>
          <t>Формула</t>
        </is>
      </c>
      <c r="E5" s="193" t="inlineStr">
        <is>
          <t>Величина элемента</t>
        </is>
      </c>
      <c r="F5" s="193" t="inlineStr">
        <is>
          <t>Наименования обосновывающих документов</t>
        </is>
      </c>
      <c r="G5" s="192" t="n"/>
    </row>
    <row r="6" ht="15.75" customHeight="1" s="190">
      <c r="A6" s="193" t="n">
        <v>1</v>
      </c>
      <c r="B6" s="193" t="n">
        <v>2</v>
      </c>
      <c r="C6" s="193" t="n">
        <v>3</v>
      </c>
      <c r="D6" s="193" t="n">
        <v>4</v>
      </c>
      <c r="E6" s="193" t="n">
        <v>5</v>
      </c>
      <c r="F6" s="193" t="n">
        <v>6</v>
      </c>
      <c r="G6" s="192" t="n"/>
    </row>
    <row r="7" ht="110.25" customHeight="1" s="190">
      <c r="A7" s="194" t="inlineStr">
        <is>
          <t>1.1</t>
        </is>
      </c>
      <c r="B7" s="199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25" t="inlineStr">
        <is>
          <t>С1ср</t>
        </is>
      </c>
      <c r="D7" s="225" t="inlineStr">
        <is>
          <t>-</t>
        </is>
      </c>
      <c r="E7" s="197" t="n">
        <v>47872.94</v>
      </c>
      <c r="F7" s="199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92" t="n"/>
    </row>
    <row r="8" ht="31.5" customHeight="1" s="190">
      <c r="A8" s="194" t="inlineStr">
        <is>
          <t>1.2</t>
        </is>
      </c>
      <c r="B8" s="199" t="inlineStr">
        <is>
          <t>Среднегодовое нормативное число часов работы одного рабочего в месяц, часы (ч.)</t>
        </is>
      </c>
      <c r="C8" s="225" t="inlineStr">
        <is>
          <t>tср</t>
        </is>
      </c>
      <c r="D8" s="225" t="inlineStr">
        <is>
          <t>1973ч/12мес.</t>
        </is>
      </c>
      <c r="E8" s="198">
        <f>1973/12</f>
        <v/>
      </c>
      <c r="F8" s="199" t="inlineStr">
        <is>
          <t>Производственный календарь 2023 год
(40-часов.неделя)</t>
        </is>
      </c>
      <c r="G8" s="201" t="n"/>
    </row>
    <row r="9" ht="15.75" customHeight="1" s="190">
      <c r="A9" s="194" t="inlineStr">
        <is>
          <t>1.3</t>
        </is>
      </c>
      <c r="B9" s="199" t="inlineStr">
        <is>
          <t>Коэффициент увеличения</t>
        </is>
      </c>
      <c r="C9" s="225" t="inlineStr">
        <is>
          <t>Кув</t>
        </is>
      </c>
      <c r="D9" s="225" t="inlineStr">
        <is>
          <t>-</t>
        </is>
      </c>
      <c r="E9" s="198" t="n">
        <v>1</v>
      </c>
      <c r="F9" s="199" t="n"/>
      <c r="G9" s="201" t="n"/>
    </row>
    <row r="10" ht="15.75" customHeight="1" s="190">
      <c r="A10" s="194" t="inlineStr">
        <is>
          <t>1.4</t>
        </is>
      </c>
      <c r="B10" s="199" t="inlineStr">
        <is>
          <t>Средний разряд работ</t>
        </is>
      </c>
      <c r="C10" s="225" t="n"/>
      <c r="D10" s="225" t="n"/>
      <c r="E10" s="315" t="n">
        <v>4</v>
      </c>
      <c r="F10" s="199" t="inlineStr">
        <is>
          <t>РТМ</t>
        </is>
      </c>
      <c r="G10" s="201" t="n"/>
    </row>
    <row r="11" ht="78.75" customHeight="1" s="190">
      <c r="A11" s="194" t="inlineStr">
        <is>
          <t>1.5</t>
        </is>
      </c>
      <c r="B11" s="199" t="inlineStr">
        <is>
          <t>Тарифный коэффициент среднего разряда работ</t>
        </is>
      </c>
      <c r="C11" s="225" t="inlineStr">
        <is>
          <t>КТ</t>
        </is>
      </c>
      <c r="D11" s="225" t="inlineStr">
        <is>
          <t>-</t>
        </is>
      </c>
      <c r="E11" s="316" t="n">
        <v>1.34</v>
      </c>
      <c r="F11" s="199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92" t="n"/>
    </row>
    <row r="12" ht="78.75" customHeight="1" s="190">
      <c r="A12" s="194" t="inlineStr">
        <is>
          <t>1.6</t>
        </is>
      </c>
      <c r="B12" s="204" t="inlineStr">
        <is>
          <t>Коэффициент инфляции, определяемый поквартально</t>
        </is>
      </c>
      <c r="C12" s="225" t="inlineStr">
        <is>
          <t>Кинф</t>
        </is>
      </c>
      <c r="D12" s="225" t="inlineStr">
        <is>
          <t>-</t>
        </is>
      </c>
      <c r="E12" s="317" t="n">
        <v>1.139</v>
      </c>
      <c r="F12" s="20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01" t="n"/>
    </row>
    <row r="13" ht="63" customHeight="1" s="190">
      <c r="A13" s="194" t="inlineStr">
        <is>
          <t>1.7</t>
        </is>
      </c>
      <c r="B13" s="208" t="inlineStr">
        <is>
          <t>Размер средств на оплату труда рабочих-строителей в текущем уровне цен (ФОТр.тек.), руб/чел.-ч</t>
        </is>
      </c>
      <c r="C13" s="225" t="inlineStr">
        <is>
          <t>ФОТр.тек.</t>
        </is>
      </c>
      <c r="D13" s="225" t="inlineStr">
        <is>
          <t>(С1ср/tср*КТ*Т*Кув)*Кинф</t>
        </is>
      </c>
      <c r="E13" s="209">
        <f>((E7*E9/E8)*E11)*E12</f>
        <v/>
      </c>
      <c r="F13" s="199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92" t="n"/>
    </row>
  </sheetData>
  <mergeCells count="1">
    <mergeCell ref="A2:F2"/>
  </mergeCells>
  <pageMargins left="0.7" right="0.7" top="0.75" bottom="0.75" header="0.3" footer="0.3"/>
  <pageSetup orientation="portrait" scale="58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2025-01-24T12:01:55Z</dcterms:modified>
  <cp:lastModifiedBy>Nikolay Ivanov</cp:lastModifiedBy>
  <cp:lastPrinted>2023-11-30T13:40:46Z</cp:lastPrinted>
</cp:coreProperties>
</file>