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ОБ'!$A$1:$J$90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color rgb="FFFF0000"/>
      <sz val="11"/>
    </font>
    <font>
      <name val="Arial"/>
      <b val="1"/>
      <color rgb="FF000000"/>
      <sz val="11"/>
    </font>
    <font>
      <name val="Arial"/>
      <color rgb="FFC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10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2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4" fontId="6" fillId="0" borderId="1" applyAlignment="1" pivotButton="0" quotePrefix="1" xfId="0">
      <alignment horizontal="center" vertical="center"/>
    </xf>
    <xf numFmtId="168" fontId="6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2" fillId="0" borderId="0" pivotButton="0" quotePrefix="0" xfId="0"/>
    <xf numFmtId="4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70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vertical="center" wrapText="1"/>
    </xf>
    <xf numFmtId="0" fontId="10" fillId="0" borderId="2" applyAlignment="1" pivotButton="0" quotePrefix="0" xfId="0">
      <alignment vertical="center" wrapText="1"/>
    </xf>
    <xf numFmtId="2" fontId="10" fillId="0" borderId="2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2" fontId="10" fillId="0" borderId="1" applyAlignment="1" pivotButton="0" quotePrefix="0" xfId="0">
      <alignment vertical="center" wrapText="1"/>
    </xf>
    <xf numFmtId="49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168" fontId="6" fillId="0" borderId="0" pivotButton="0" quotePrefix="0" xfId="0"/>
    <xf numFmtId="43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9" pivotButton="0" quotePrefix="0" xfId="0"/>
    <xf numFmtId="166" fontId="1" fillId="0" borderId="0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70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2" zoomScale="60" zoomScaleNormal="85" workbookViewId="0">
      <selection activeCell="C28" sqref="C28"/>
    </sheetView>
  </sheetViews>
  <sheetFormatPr baseColWidth="8" defaultRowHeight="15.75"/>
  <cols>
    <col width="9.140625" customWidth="1" style="184" min="1" max="2"/>
    <col width="36.85546875" customWidth="1" style="184" min="3" max="3"/>
    <col width="36.5703125" customWidth="1" style="184" min="4" max="4"/>
    <col width="14.28515625" customWidth="1" style="182" min="5" max="5"/>
    <col width="12.140625" customWidth="1" style="182" min="6" max="6"/>
    <col width="12.28515625" customWidth="1" style="182" min="7" max="7"/>
    <col width="15" customWidth="1" style="182" min="8" max="8"/>
    <col width="9.140625" customWidth="1" style="182" min="9" max="9"/>
  </cols>
  <sheetData>
    <row r="1">
      <c r="E1" s="184" t="n"/>
      <c r="F1" s="184" t="n"/>
      <c r="G1" s="184" t="n"/>
      <c r="H1" s="184" t="n"/>
      <c r="I1" s="184" t="n"/>
    </row>
    <row r="2">
      <c r="E2" s="184" t="n"/>
      <c r="F2" s="184" t="n"/>
      <c r="G2" s="184" t="n"/>
      <c r="H2" s="184" t="n"/>
      <c r="I2" s="184" t="n"/>
    </row>
    <row r="3">
      <c r="B3" s="220" t="inlineStr">
        <is>
          <t>Приложение № 1</t>
        </is>
      </c>
      <c r="E3" s="184" t="n"/>
      <c r="F3" s="184" t="n"/>
      <c r="G3" s="184" t="n"/>
      <c r="H3" s="184" t="n"/>
      <c r="I3" s="184" t="n"/>
    </row>
    <row r="4">
      <c r="B4" s="221" t="inlineStr">
        <is>
          <t>Сравнительная таблица отбора объекта-представителя</t>
        </is>
      </c>
      <c r="E4" s="184" t="n"/>
      <c r="F4" s="184" t="n"/>
      <c r="G4" s="184" t="n"/>
      <c r="H4" s="184" t="n"/>
      <c r="I4" s="184" t="n"/>
    </row>
    <row r="5" ht="66" customHeight="1" s="182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84" t="n"/>
      <c r="F5" s="184" t="n"/>
      <c r="G5" s="184" t="n"/>
      <c r="H5" s="184" t="n"/>
      <c r="I5" s="184" t="n"/>
    </row>
    <row r="6">
      <c r="B6" s="109" t="n"/>
      <c r="C6" s="109" t="n"/>
      <c r="D6" s="109" t="n"/>
      <c r="E6" s="184" t="n"/>
      <c r="F6" s="184" t="n"/>
      <c r="G6" s="184" t="n"/>
      <c r="H6" s="184" t="n"/>
      <c r="I6" s="184" t="n"/>
    </row>
    <row r="7" ht="57" customHeight="1" s="182">
      <c r="B7" s="219">
        <f>_xlfn.CONCAT(TEXT('Прил.5 Расчет СМР и ОБ'!A6,0)," - ",TEXT('Прил.5 Расчет СМР и ОБ'!D6,0))</f>
        <v/>
      </c>
      <c r="E7" s="110" t="n"/>
      <c r="F7" s="184" t="n"/>
      <c r="G7" s="184" t="n"/>
      <c r="H7" s="184" t="n"/>
      <c r="I7" s="184" t="n"/>
    </row>
    <row r="8" ht="15.75" customHeight="1" s="182">
      <c r="B8" s="107" t="inlineStr">
        <is>
          <t>Сопоставимый уровень цен: 4 кв. 2013 г.</t>
        </is>
      </c>
      <c r="C8" s="107" t="n"/>
      <c r="D8" s="225" t="n"/>
      <c r="E8" s="184" t="n"/>
      <c r="F8" s="184" t="n"/>
      <c r="G8" s="184" t="n"/>
      <c r="H8" s="184" t="n"/>
      <c r="I8" s="184" t="n"/>
    </row>
    <row r="9" ht="15.75" customHeight="1" s="182">
      <c r="B9" s="219" t="inlineStr">
        <is>
          <t>Единица измерения  — 1 м периметра ПС</t>
        </is>
      </c>
      <c r="E9" s="110" t="n"/>
      <c r="F9" s="184" t="n"/>
      <c r="G9" s="184" t="n"/>
      <c r="H9" s="184" t="n"/>
      <c r="I9" s="184" t="n"/>
    </row>
    <row r="10">
      <c r="B10" s="219" t="n"/>
      <c r="E10" s="184" t="n"/>
      <c r="F10" s="184" t="n"/>
      <c r="G10" s="184" t="n"/>
      <c r="H10" s="184" t="n"/>
      <c r="I10" s="184" t="n"/>
    </row>
    <row r="11">
      <c r="B11" s="226" t="inlineStr">
        <is>
          <t>№ п/п</t>
        </is>
      </c>
      <c r="C11" s="226" t="inlineStr">
        <is>
          <t>Параметр</t>
        </is>
      </c>
      <c r="D11" s="226" t="inlineStr">
        <is>
          <t>Объект-представитель 1</t>
        </is>
      </c>
      <c r="E11" s="110" t="n"/>
      <c r="F11" s="184" t="n"/>
      <c r="G11" s="184" t="n"/>
      <c r="H11" s="184" t="n"/>
      <c r="I11" s="184" t="n"/>
    </row>
    <row r="12" ht="31.5" customHeight="1" s="182">
      <c r="B12" s="226" t="n">
        <v>1</v>
      </c>
      <c r="C12" s="211" t="inlineStr">
        <is>
          <t>Наименование объекта-представителя</t>
        </is>
      </c>
      <c r="D12" s="226" t="inlineStr">
        <is>
          <t>ПС 220кВ Губернская (МЭС Западной Сибири)</t>
        </is>
      </c>
      <c r="E12" s="184" t="n"/>
      <c r="F12" s="184" t="n"/>
      <c r="G12" s="184" t="n"/>
      <c r="H12" s="184" t="n"/>
      <c r="I12" s="184" t="n"/>
    </row>
    <row r="13" ht="31.5" customHeight="1" s="182">
      <c r="B13" s="226" t="n">
        <v>2</v>
      </c>
      <c r="C13" s="211" t="inlineStr">
        <is>
          <t>Наименование субъекта Российской Федерации</t>
        </is>
      </c>
      <c r="D13" s="226" t="inlineStr">
        <is>
          <t>Тюменская область</t>
        </is>
      </c>
      <c r="E13" s="184" t="n"/>
      <c r="F13" s="184" t="n"/>
      <c r="G13" s="184" t="n"/>
      <c r="H13" s="184" t="n"/>
      <c r="I13" s="184" t="n"/>
    </row>
    <row r="14">
      <c r="B14" s="226" t="n">
        <v>3</v>
      </c>
      <c r="C14" s="211" t="inlineStr">
        <is>
          <t>Климатический район и подрайон</t>
        </is>
      </c>
      <c r="D14" s="226" t="inlineStr">
        <is>
          <t>IВ</t>
        </is>
      </c>
      <c r="E14" s="184" t="n"/>
      <c r="F14" s="184" t="n"/>
      <c r="G14" s="184" t="n"/>
      <c r="H14" s="184" t="n"/>
      <c r="I14" s="184" t="n"/>
    </row>
    <row r="15">
      <c r="B15" s="226" t="n">
        <v>4</v>
      </c>
      <c r="C15" s="211" t="inlineStr">
        <is>
          <t>Мощность объекта</t>
        </is>
      </c>
      <c r="D15" s="226" t="n">
        <v>730</v>
      </c>
      <c r="E15" s="184" t="n"/>
      <c r="F15" s="184" t="n"/>
      <c r="G15" s="184" t="n"/>
      <c r="H15" s="184" t="n"/>
      <c r="I15" s="184" t="n"/>
    </row>
    <row r="16" ht="100.5" customHeight="1" s="182">
      <c r="B16" s="226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Шкаф периметральный
Блок обработки
Блок связи БС
Блок ввода-вывода БВВ
Извещатель инфракрасный</t>
        </is>
      </c>
      <c r="E16" s="184" t="n"/>
      <c r="F16" s="184" t="n"/>
      <c r="G16" s="184" t="n"/>
      <c r="H16" s="184" t="n"/>
      <c r="I16" s="184" t="n"/>
    </row>
    <row r="17" ht="82.5" customHeight="1" s="182">
      <c r="B17" s="226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3">
        <f>SUM(D18:D21)</f>
        <v/>
      </c>
      <c r="E17" s="114" t="n"/>
      <c r="F17" s="184" t="n"/>
      <c r="G17" s="184" t="n"/>
      <c r="H17" s="184" t="n"/>
      <c r="I17" s="184" t="n"/>
    </row>
    <row r="18">
      <c r="B18" s="115" t="inlineStr">
        <is>
          <t>6.1</t>
        </is>
      </c>
      <c r="C18" s="211" t="inlineStr">
        <is>
          <t>строительно-монтажные работы</t>
        </is>
      </c>
      <c r="D18" s="113" t="n">
        <v>962.7064</v>
      </c>
      <c r="E18" s="184" t="n"/>
      <c r="F18" s="184" t="n"/>
      <c r="G18" s="184" t="n"/>
      <c r="H18" s="184" t="n"/>
      <c r="I18" s="184" t="n"/>
    </row>
    <row r="19">
      <c r="B19" s="115" t="inlineStr">
        <is>
          <t>6.2</t>
        </is>
      </c>
      <c r="C19" s="211" t="inlineStr">
        <is>
          <t>оборудование и инвентарь</t>
        </is>
      </c>
      <c r="D19" s="113">
        <f>2356.78</f>
        <v/>
      </c>
      <c r="E19" s="184" t="n"/>
      <c r="F19" s="184" t="n"/>
      <c r="G19" s="184" t="n"/>
      <c r="H19" s="184" t="n"/>
      <c r="I19" s="184" t="n"/>
    </row>
    <row r="20">
      <c r="B20" s="115" t="inlineStr">
        <is>
          <t>6.3</t>
        </is>
      </c>
      <c r="C20" s="211" t="inlineStr">
        <is>
          <t>пусконаладочные работы</t>
        </is>
      </c>
      <c r="D20" s="113" t="inlineStr">
        <is>
          <t>-</t>
        </is>
      </c>
      <c r="E20" s="184" t="n"/>
      <c r="F20" s="184" t="n"/>
      <c r="G20" s="184" t="n"/>
      <c r="H20" s="184" t="n"/>
      <c r="I20" s="184" t="n"/>
    </row>
    <row r="21">
      <c r="B21" s="115" t="inlineStr">
        <is>
          <t>6.4</t>
        </is>
      </c>
      <c r="C21" s="116" t="inlineStr">
        <is>
          <t>прочие и лимитированные затраты</t>
        </is>
      </c>
      <c r="D21" s="258" t="inlineStr">
        <is>
          <t>-</t>
        </is>
      </c>
      <c r="E21" s="184" t="n"/>
      <c r="F21" s="184" t="n"/>
      <c r="G21" s="184" t="n"/>
      <c r="H21" s="184" t="n"/>
      <c r="I21" s="184" t="n"/>
    </row>
    <row r="22">
      <c r="B22" s="226" t="n">
        <v>7</v>
      </c>
      <c r="C22" s="116" t="inlineStr">
        <is>
          <t>Сопоставимый уровень цен</t>
        </is>
      </c>
      <c r="D22" s="226" t="inlineStr">
        <is>
          <t>4 кв. 2013 г.</t>
        </is>
      </c>
      <c r="E22" s="114" t="n"/>
      <c r="F22" s="184" t="n"/>
      <c r="G22" s="184" t="n"/>
      <c r="H22" s="184" t="n"/>
      <c r="I22" s="184" t="n"/>
    </row>
    <row r="23" ht="119.25" customHeight="1" s="182">
      <c r="B23" s="226" t="n">
        <v>8</v>
      </c>
      <c r="C23" s="1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84" t="n"/>
      <c r="F23" s="184" t="n"/>
      <c r="G23" s="184" t="n"/>
      <c r="H23" s="184" t="n"/>
      <c r="I23" s="184" t="n"/>
    </row>
    <row r="24" ht="47.25" customHeight="1" s="182">
      <c r="B24" s="226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42">
        <f>D23/D15</f>
        <v/>
      </c>
      <c r="E24" s="114" t="n"/>
      <c r="F24" s="184" t="n"/>
      <c r="G24" s="184" t="n"/>
      <c r="H24" s="184" t="n"/>
      <c r="I24" s="184" t="n"/>
    </row>
    <row r="25">
      <c r="B25" s="226" t="n">
        <v>10</v>
      </c>
      <c r="C25" s="211" t="inlineStr">
        <is>
          <t>Примечание</t>
        </is>
      </c>
      <c r="D25" s="211" t="n"/>
      <c r="E25" s="184" t="n"/>
      <c r="F25" s="184" t="n"/>
      <c r="G25" s="184" t="n"/>
      <c r="H25" s="184" t="n"/>
      <c r="I25" s="184" t="n"/>
    </row>
    <row r="26">
      <c r="B26" s="222" t="n"/>
      <c r="C26" s="120" t="n"/>
      <c r="D26" s="120" t="n"/>
      <c r="E26" s="184" t="n"/>
      <c r="F26" s="184" t="n"/>
      <c r="G26" s="184" t="n"/>
      <c r="H26" s="184" t="n"/>
      <c r="I26" s="184" t="n"/>
    </row>
    <row r="27">
      <c r="B27" s="107" t="n"/>
      <c r="E27" s="184" t="n"/>
      <c r="F27" s="184" t="n"/>
      <c r="G27" s="184" t="n"/>
      <c r="H27" s="184" t="n"/>
      <c r="I27" s="184" t="n"/>
    </row>
    <row r="28">
      <c r="B28" s="184" t="inlineStr">
        <is>
          <t>Составил ______________________        Е.А. Князева</t>
        </is>
      </c>
      <c r="E28" s="184" t="n"/>
      <c r="F28" s="184" t="n"/>
      <c r="G28" s="184" t="n"/>
      <c r="H28" s="184" t="n"/>
      <c r="I28" s="184" t="n"/>
    </row>
    <row r="29" ht="22.5" customHeight="1" s="182">
      <c r="B29" s="131" t="inlineStr">
        <is>
          <t xml:space="preserve">                         (подпись, инициалы, фамилия)</t>
        </is>
      </c>
      <c r="E29" s="184" t="n"/>
      <c r="F29" s="184" t="n"/>
      <c r="G29" s="184" t="n"/>
      <c r="H29" s="184" t="n"/>
      <c r="I29" s="184" t="n"/>
    </row>
    <row r="30">
      <c r="E30" s="184" t="n"/>
      <c r="F30" s="184" t="n"/>
      <c r="G30" s="184" t="n"/>
      <c r="H30" s="184" t="n"/>
      <c r="I30" s="184" t="n"/>
    </row>
    <row r="31">
      <c r="B31" s="184" t="inlineStr">
        <is>
          <t>Проверил ______________________        А.В. Костянецкая</t>
        </is>
      </c>
      <c r="E31" s="184" t="n"/>
      <c r="F31" s="184" t="n"/>
      <c r="G31" s="184" t="n"/>
      <c r="H31" s="184" t="n"/>
      <c r="I31" s="184" t="n"/>
    </row>
    <row r="32" ht="22.5" customHeight="1" s="182">
      <c r="B32" s="131" t="inlineStr">
        <is>
          <t xml:space="preserve">                        (подпись, инициалы, фамилия)</t>
        </is>
      </c>
      <c r="E32" s="184" t="n"/>
      <c r="F32" s="184" t="n"/>
      <c r="G32" s="184" t="n"/>
      <c r="H32" s="184" t="n"/>
      <c r="I32" s="184" t="n"/>
    </row>
    <row r="33">
      <c r="E33" s="184" t="n"/>
      <c r="F33" s="184" t="n"/>
      <c r="G33" s="184" t="n"/>
      <c r="H33" s="184" t="n"/>
      <c r="I33" s="184" t="n"/>
    </row>
    <row r="34">
      <c r="E34" s="184" t="n"/>
      <c r="F34" s="184" t="n"/>
      <c r="G34" s="184" t="n"/>
      <c r="H34" s="184" t="n"/>
      <c r="I34" s="184" t="n"/>
    </row>
    <row r="35">
      <c r="E35" s="184" t="n"/>
      <c r="F35" s="184" t="n"/>
      <c r="G35" s="184" t="n"/>
      <c r="H35" s="184" t="n"/>
      <c r="I35" s="184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1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view="pageBreakPreview" zoomScale="60" zoomScaleNormal="90" workbookViewId="0">
      <selection activeCell="C15" sqref="C15"/>
    </sheetView>
  </sheetViews>
  <sheetFormatPr baseColWidth="8" defaultRowHeight="1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9.140625" customWidth="1" style="182" min="11" max="11"/>
  </cols>
  <sheetData>
    <row r="1" ht="15.75" customHeight="1" s="182">
      <c r="A1" s="184" t="n"/>
      <c r="B1" s="184" t="n"/>
      <c r="C1" s="184" t="n"/>
      <c r="D1" s="184" t="n"/>
      <c r="E1" s="184" t="n"/>
      <c r="F1" s="184" t="n"/>
      <c r="G1" s="184" t="n"/>
      <c r="H1" s="184" t="n"/>
      <c r="I1" s="184" t="n"/>
      <c r="J1" s="184" t="n"/>
    </row>
    <row r="2" ht="15.75" customHeight="1" s="182">
      <c r="A2" s="184" t="n"/>
      <c r="B2" s="184" t="n"/>
      <c r="C2" s="184" t="n"/>
      <c r="D2" s="184" t="n"/>
      <c r="E2" s="184" t="n"/>
      <c r="F2" s="184" t="n"/>
      <c r="G2" s="184" t="n"/>
      <c r="H2" s="184" t="n"/>
      <c r="I2" s="184" t="n"/>
      <c r="J2" s="184" t="n"/>
    </row>
    <row r="3" ht="15.75" customHeight="1" s="182">
      <c r="A3" s="184" t="n"/>
      <c r="B3" s="220" t="inlineStr">
        <is>
          <t>Приложение № 2</t>
        </is>
      </c>
    </row>
    <row r="4" ht="15.75" customHeight="1" s="182">
      <c r="A4" s="184" t="n"/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A5" s="184" t="n"/>
      <c r="B5" s="109" t="n"/>
      <c r="C5" s="109" t="n"/>
      <c r="D5" s="109" t="n"/>
      <c r="E5" s="109" t="n"/>
      <c r="F5" s="109" t="n"/>
      <c r="G5" s="109" t="n"/>
      <c r="H5" s="109" t="n"/>
      <c r="I5" s="109" t="n"/>
      <c r="J5" s="109" t="n"/>
    </row>
    <row r="6" ht="15.75" customHeight="1" s="182">
      <c r="A6" s="184" t="n"/>
      <c r="B6" s="225">
        <f>'Прил.1 Сравнит табл'!B7</f>
        <v/>
      </c>
    </row>
    <row r="7" ht="15.75" customHeight="1" s="182">
      <c r="A7" s="184" t="n"/>
      <c r="B7" s="219">
        <f>'Прил.1 Сравнит табл'!B9</f>
        <v/>
      </c>
    </row>
    <row r="8" ht="15.75" customHeight="1" s="182">
      <c r="A8" s="184" t="n"/>
      <c r="B8" s="219" t="n"/>
      <c r="C8" s="184" t="n"/>
      <c r="D8" s="184" t="n"/>
      <c r="E8" s="184" t="n"/>
      <c r="F8" s="184" t="n"/>
      <c r="G8" s="184" t="n"/>
      <c r="H8" s="184" t="n"/>
      <c r="I8" s="184" t="n"/>
      <c r="J8" s="184" t="n"/>
    </row>
    <row r="9" ht="15.75" customHeight="1" s="182">
      <c r="A9" s="184" t="n"/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82">
      <c r="A10" s="184" t="n"/>
      <c r="B10" s="261" t="n"/>
      <c r="C10" s="261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4 кв. 2013г., тыс. руб.</t>
        </is>
      </c>
      <c r="G10" s="259" t="n"/>
      <c r="H10" s="259" t="n"/>
      <c r="I10" s="259" t="n"/>
      <c r="J10" s="260" t="n"/>
    </row>
    <row r="11" ht="66.59999999999999" customHeight="1" s="182">
      <c r="A11" s="184" t="n"/>
      <c r="B11" s="262" t="n"/>
      <c r="C11" s="262" t="n"/>
      <c r="D11" s="262" t="n"/>
      <c r="E11" s="262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8.45" customHeight="1" s="182">
      <c r="A12" s="184" t="n"/>
      <c r="B12" s="226" t="n">
        <v>1</v>
      </c>
      <c r="C12" s="226" t="inlineStr">
        <is>
          <t>Шкаф периметральный
Блок обработки
Блок связи БС
Блок ввода-вывода БВВ
Извещатель инфракрасный</t>
        </is>
      </c>
      <c r="D12" s="217" t="inlineStr">
        <is>
          <t>02-10-01</t>
        </is>
      </c>
      <c r="E12" s="211" t="inlineStr">
        <is>
          <t xml:space="preserve"> РД ПС 220 кВ Губернская. Противоаварийная автоматика</t>
        </is>
      </c>
      <c r="F12" s="211" t="n"/>
      <c r="G12" s="212" t="n">
        <v>962.7064</v>
      </c>
      <c r="H12" s="212">
        <f>2356.78</f>
        <v/>
      </c>
      <c r="I12" s="212" t="n"/>
      <c r="J12" s="212">
        <f>SUM(F12:I12)</f>
        <v/>
      </c>
    </row>
    <row r="13" ht="15.75" customHeight="1" s="182">
      <c r="A13" s="184" t="n"/>
      <c r="B13" s="223" t="inlineStr">
        <is>
          <t>Всего по объекту:</t>
        </is>
      </c>
      <c r="C13" s="263" t="n"/>
      <c r="D13" s="263" t="n"/>
      <c r="E13" s="264" t="n"/>
      <c r="F13" s="213" t="n"/>
      <c r="G13" s="214">
        <f>G12</f>
        <v/>
      </c>
      <c r="H13" s="214">
        <f>H12</f>
        <v/>
      </c>
      <c r="I13" s="214" t="n"/>
      <c r="J13" s="212">
        <f>SUM(F13:I13)</f>
        <v/>
      </c>
    </row>
    <row r="14" ht="15.75" customHeight="1" s="182">
      <c r="A14" s="184" t="n"/>
      <c r="B14" s="224" t="inlineStr">
        <is>
          <t>Всего по объекту в сопоставимом уровне цен 4 кв. 2013г:</t>
        </is>
      </c>
      <c r="C14" s="259" t="n"/>
      <c r="D14" s="259" t="n"/>
      <c r="E14" s="260" t="n"/>
      <c r="F14" s="215" t="n"/>
      <c r="G14" s="216">
        <f>G13</f>
        <v/>
      </c>
      <c r="H14" s="216">
        <f>H13</f>
        <v/>
      </c>
      <c r="I14" s="216" t="n"/>
      <c r="J14" s="212">
        <f>SUM(F14:I14)</f>
        <v/>
      </c>
    </row>
    <row r="15" ht="15.75" customHeight="1" s="182">
      <c r="A15" s="184" t="n"/>
      <c r="B15" s="184" t="n"/>
      <c r="C15" s="184" t="n"/>
      <c r="D15" s="184" t="n"/>
      <c r="E15" s="184" t="n"/>
      <c r="F15" s="184" t="n"/>
      <c r="G15" s="184" t="n"/>
      <c r="H15" s="184" t="n"/>
      <c r="I15" s="184" t="n"/>
      <c r="J15" s="184" t="n"/>
    </row>
    <row r="17" ht="15.75" customHeight="1" s="182">
      <c r="B17" s="184" t="inlineStr">
        <is>
          <t>Составил ______________________        Е.А. Князева</t>
        </is>
      </c>
      <c r="C17" s="184" t="n"/>
      <c r="D17" s="184" t="n"/>
    </row>
    <row r="18" ht="22.5" customHeight="1" s="182">
      <c r="B18" s="131" t="inlineStr">
        <is>
          <t xml:space="preserve">                         (подпись, инициалы, фамилия)</t>
        </is>
      </c>
      <c r="C18" s="184" t="n"/>
      <c r="D18" s="184" t="n"/>
    </row>
    <row r="19" ht="15.75" customHeight="1" s="182">
      <c r="B19" s="184" t="n"/>
      <c r="C19" s="184" t="n"/>
      <c r="D19" s="184" t="n"/>
    </row>
    <row r="20" ht="15.75" customHeight="1" s="182">
      <c r="B20" s="184" t="inlineStr">
        <is>
          <t>Проверил ______________________        А.В. Костянецкая</t>
        </is>
      </c>
      <c r="C20" s="184" t="n"/>
      <c r="D20" s="184" t="n"/>
    </row>
    <row r="21" ht="22.5" customHeight="1" s="182">
      <c r="B21" s="131" t="inlineStr">
        <is>
          <t xml:space="preserve">                        (подпись, инициалы, фамилия)</t>
        </is>
      </c>
      <c r="C21" s="184" t="n"/>
      <c r="D21" s="18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5"/>
  <sheetViews>
    <sheetView view="pageBreakPreview" topLeftCell="A52" zoomScale="85" workbookViewId="0">
      <selection activeCell="C71" sqref="C71"/>
    </sheetView>
  </sheetViews>
  <sheetFormatPr baseColWidth="8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16.140625" customWidth="1" style="184" min="7" max="7"/>
    <col width="16.7109375" customWidth="1" style="184" min="8" max="8"/>
    <col width="4.85546875" customWidth="1" style="184" min="9" max="9"/>
    <col width="14.140625" customWidth="1" style="184" min="10" max="10"/>
    <col width="13" customWidth="1" style="182" min="11" max="11"/>
    <col width="9.140625" customWidth="1" style="182" min="12" max="13"/>
  </cols>
  <sheetData>
    <row r="1">
      <c r="K1" s="184" t="n"/>
    </row>
    <row r="2">
      <c r="A2" s="220" t="inlineStr">
        <is>
          <t xml:space="preserve">Приложение № 3 </t>
        </is>
      </c>
      <c r="K2" s="184" t="n"/>
    </row>
    <row r="3">
      <c r="A3" s="221" t="inlineStr">
        <is>
          <t>Объектная ресурсная ведомость</t>
        </is>
      </c>
      <c r="K3" s="184" t="n"/>
    </row>
    <row r="4" ht="18.75" customHeight="1" s="182">
      <c r="A4" s="219" t="n"/>
      <c r="K4" s="184" t="n"/>
    </row>
    <row r="5">
      <c r="A5" s="225">
        <f>'Прил.1 Сравнит табл'!B7</f>
        <v/>
      </c>
      <c r="K5" s="184" t="n"/>
    </row>
    <row r="6" s="182">
      <c r="A6" s="225" t="n"/>
      <c r="B6" s="225" t="n"/>
      <c r="C6" s="225" t="n"/>
      <c r="D6" s="225" t="n"/>
      <c r="E6" s="225" t="n"/>
      <c r="F6" s="225" t="n"/>
      <c r="G6" s="225" t="n"/>
      <c r="H6" s="225" t="n"/>
      <c r="I6" s="184" t="n"/>
      <c r="J6" s="184" t="n"/>
      <c r="K6" s="184" t="n"/>
    </row>
    <row r="7" s="182">
      <c r="A7" s="225" t="n"/>
      <c r="B7" s="225" t="n"/>
      <c r="C7" s="225" t="n"/>
      <c r="D7" s="225" t="n"/>
      <c r="E7" s="225" t="n"/>
      <c r="F7" s="225" t="n"/>
      <c r="G7" s="225" t="n"/>
      <c r="H7" s="225" t="n"/>
      <c r="I7" s="184" t="n"/>
      <c r="J7" s="184" t="n"/>
      <c r="K7" s="184" t="n"/>
    </row>
    <row r="8">
      <c r="A8" s="225" t="n"/>
      <c r="B8" s="225" t="n"/>
      <c r="C8" s="225" t="n"/>
      <c r="D8" s="225" t="n"/>
      <c r="E8" s="225" t="n"/>
      <c r="F8" s="225" t="n"/>
      <c r="G8" s="225" t="n"/>
      <c r="H8" s="225" t="n"/>
      <c r="K8" s="184" t="n"/>
    </row>
    <row r="9" ht="15.75" customHeight="1" s="182">
      <c r="A9" s="226" t="inlineStr">
        <is>
          <t>п/п</t>
        </is>
      </c>
      <c r="B9" s="226" t="inlineStr">
        <is>
          <t>№ЛСР</t>
        </is>
      </c>
      <c r="C9" s="226" t="inlineStr">
        <is>
          <t>Код ресурса</t>
        </is>
      </c>
      <c r="D9" s="226" t="inlineStr">
        <is>
          <t>Наименование ресурса</t>
        </is>
      </c>
      <c r="E9" s="226" t="inlineStr">
        <is>
          <t>Ед. изм.</t>
        </is>
      </c>
      <c r="F9" s="226" t="inlineStr">
        <is>
          <t>Кол-во единиц по данным объекта-представителя</t>
        </is>
      </c>
      <c r="G9" s="226" t="inlineStr">
        <is>
          <t>Сметная стоимость в ценах на 01.01.2000 (руб.)</t>
        </is>
      </c>
      <c r="H9" s="260" t="n"/>
      <c r="K9" s="184" t="n"/>
    </row>
    <row r="10">
      <c r="A10" s="262" t="n"/>
      <c r="B10" s="262" t="n"/>
      <c r="C10" s="262" t="n"/>
      <c r="D10" s="262" t="n"/>
      <c r="E10" s="262" t="n"/>
      <c r="F10" s="262" t="n"/>
      <c r="G10" s="226" t="inlineStr">
        <is>
          <t>на ед.изм.</t>
        </is>
      </c>
      <c r="H10" s="226" t="inlineStr">
        <is>
          <t>общая</t>
        </is>
      </c>
      <c r="K10" s="184" t="n"/>
    </row>
    <row r="11">
      <c r="A11" s="227" t="n">
        <v>1</v>
      </c>
      <c r="B11" s="227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227" t="n">
        <v>6</v>
      </c>
      <c r="H11" s="227" t="n">
        <v>7</v>
      </c>
      <c r="I11" s="265" t="n"/>
      <c r="K11" s="184" t="n"/>
    </row>
    <row r="12">
      <c r="A12" s="228" t="inlineStr">
        <is>
          <t>Затраты труда рабочих</t>
        </is>
      </c>
      <c r="B12" s="259" t="n"/>
      <c r="C12" s="259" t="n"/>
      <c r="D12" s="259" t="n"/>
      <c r="E12" s="260" t="n"/>
      <c r="F12" s="124" t="n">
        <v>1176.136</v>
      </c>
      <c r="G12" s="124" t="n"/>
      <c r="H12" s="124">
        <f>SUM(H13:H19)</f>
        <v/>
      </c>
      <c r="I12" s="172" t="n"/>
      <c r="K12" s="172" t="n"/>
    </row>
    <row r="13">
      <c r="A13" s="229" t="n">
        <v>1</v>
      </c>
      <c r="B13" s="147" t="n"/>
      <c r="C13" s="127" t="inlineStr">
        <is>
          <t>1-3-8</t>
        </is>
      </c>
      <c r="D13" s="230" t="inlineStr">
        <is>
          <t>Затраты труда рабочих (ср 3,8)</t>
        </is>
      </c>
      <c r="E13" s="229" t="inlineStr">
        <is>
          <t>чел.-ч</t>
        </is>
      </c>
      <c r="F13" s="229" t="n">
        <v>766.816</v>
      </c>
      <c r="G13" s="129" t="n">
        <v>9.4</v>
      </c>
      <c r="H13" s="129">
        <f>ROUND(F13*G13,2)</f>
        <v/>
      </c>
      <c r="K13" s="184" t="n"/>
    </row>
    <row r="14" ht="15" customHeight="1" s="182">
      <c r="A14" s="229" t="n">
        <v>2</v>
      </c>
      <c r="B14" s="143" t="n"/>
      <c r="C14" s="127" t="inlineStr">
        <is>
          <t>1-4-0</t>
        </is>
      </c>
      <c r="D14" s="230" t="inlineStr">
        <is>
          <t>Затраты труда рабочих (ср 4)</t>
        </is>
      </c>
      <c r="E14" s="229" t="inlineStr">
        <is>
          <t>чел.-ч</t>
        </is>
      </c>
      <c r="F14" s="229" t="n">
        <v>285.44</v>
      </c>
      <c r="G14" s="129" t="n">
        <v>9.619999999999999</v>
      </c>
      <c r="H14" s="129">
        <f>ROUND(F14*G14,2)</f>
        <v/>
      </c>
      <c r="K14" s="184" t="n"/>
    </row>
    <row r="15">
      <c r="A15" s="229" t="n">
        <v>3</v>
      </c>
      <c r="B15" s="143" t="n"/>
      <c r="C15" s="127" t="inlineStr">
        <is>
          <t>1-4-1</t>
        </is>
      </c>
      <c r="D15" s="230" t="inlineStr">
        <is>
          <t>Затраты труда рабочих (ср 4,1)</t>
        </is>
      </c>
      <c r="E15" s="229" t="inlineStr">
        <is>
          <t>чел.-ч</t>
        </is>
      </c>
      <c r="F15" s="229" t="n">
        <v>47.52</v>
      </c>
      <c r="G15" s="129" t="n">
        <v>9.76</v>
      </c>
      <c r="H15" s="129">
        <f>ROUND(F15*G15,2)</f>
        <v/>
      </c>
      <c r="K15" s="184" t="n"/>
    </row>
    <row r="16">
      <c r="A16" s="229" t="n">
        <v>4</v>
      </c>
      <c r="B16" s="143" t="n"/>
      <c r="C16" s="127" t="inlineStr">
        <is>
          <t>1-3-1</t>
        </is>
      </c>
      <c r="D16" s="230" t="inlineStr">
        <is>
          <t>Затраты труда рабочих (ср 3,1)</t>
        </is>
      </c>
      <c r="E16" s="229" t="inlineStr">
        <is>
          <t>чел.-ч</t>
        </is>
      </c>
      <c r="F16" s="229" t="n">
        <v>7.21</v>
      </c>
      <c r="G16" s="129" t="n">
        <v>8.640000000000001</v>
      </c>
      <c r="H16" s="129">
        <f>ROUND(F16*G16,2)</f>
        <v/>
      </c>
      <c r="K16" s="184" t="n"/>
    </row>
    <row r="17">
      <c r="A17" s="229" t="n">
        <v>5</v>
      </c>
      <c r="B17" s="143" t="n"/>
      <c r="C17" s="127" t="inlineStr">
        <is>
          <t>1-3-3</t>
        </is>
      </c>
      <c r="D17" s="230" t="inlineStr">
        <is>
          <t>Затраты труда рабочих (ср 3,3)</t>
        </is>
      </c>
      <c r="E17" s="229" t="inlineStr">
        <is>
          <t>чел.-ч</t>
        </is>
      </c>
      <c r="F17" s="229" t="n">
        <v>5.15</v>
      </c>
      <c r="G17" s="129" t="n">
        <v>8.859999999999999</v>
      </c>
      <c r="H17" s="129">
        <f>ROUND(F17*G17,2)</f>
        <v/>
      </c>
      <c r="K17" s="184" t="n"/>
    </row>
    <row r="18">
      <c r="A18" s="229" t="n">
        <v>6</v>
      </c>
      <c r="B18" s="143" t="n"/>
      <c r="C18" s="127" t="inlineStr">
        <is>
          <t>10-3-1</t>
        </is>
      </c>
      <c r="D18" s="230" t="inlineStr">
        <is>
          <t>Инженер I категории</t>
        </is>
      </c>
      <c r="E18" s="229" t="inlineStr">
        <is>
          <t>чел.-ч</t>
        </is>
      </c>
      <c r="F18" s="229" t="n">
        <v>32</v>
      </c>
      <c r="G18" s="129" t="n">
        <v>15.49</v>
      </c>
      <c r="H18" s="129">
        <f>ROUND(F18*G18,2)</f>
        <v/>
      </c>
      <c r="K18" s="184" t="n"/>
    </row>
    <row r="19">
      <c r="A19" s="229" t="n">
        <v>7</v>
      </c>
      <c r="B19" s="143" t="n"/>
      <c r="C19" s="127" t="inlineStr">
        <is>
          <t>10-3-2</t>
        </is>
      </c>
      <c r="D19" s="230" t="inlineStr">
        <is>
          <t>Инженер II категории</t>
        </is>
      </c>
      <c r="E19" s="229" t="inlineStr">
        <is>
          <t>чел.-ч</t>
        </is>
      </c>
      <c r="F19" s="229" t="n">
        <v>32</v>
      </c>
      <c r="G19" s="129" t="n">
        <v>14.09</v>
      </c>
      <c r="H19" s="129">
        <f>ROUND(F19*G19,2)</f>
        <v/>
      </c>
      <c r="K19" s="184" t="n"/>
    </row>
    <row r="20">
      <c r="A20" s="228" t="inlineStr">
        <is>
          <t>Затраты труда машинистов</t>
        </is>
      </c>
      <c r="B20" s="259" t="n"/>
      <c r="C20" s="259" t="n"/>
      <c r="D20" s="259" t="n"/>
      <c r="E20" s="260" t="n"/>
      <c r="F20" s="228" t="n">
        <v>31.06</v>
      </c>
      <c r="G20" s="124" t="n"/>
      <c r="H20" s="124">
        <f>H21</f>
        <v/>
      </c>
      <c r="K20" s="184" t="n"/>
    </row>
    <row r="21">
      <c r="A21" s="229" t="n">
        <v>8</v>
      </c>
      <c r="B21" s="143" t="n"/>
      <c r="C21" s="137" t="n">
        <v>2</v>
      </c>
      <c r="D21" s="230" t="inlineStr">
        <is>
          <t>Затраты труда машинистов</t>
        </is>
      </c>
      <c r="E21" s="229" t="inlineStr">
        <is>
          <t>чел.-ч</t>
        </is>
      </c>
      <c r="F21" s="229" t="n">
        <v>31.06</v>
      </c>
      <c r="G21" s="129" t="n"/>
      <c r="H21" s="129" t="n">
        <v>389.93</v>
      </c>
      <c r="K21" s="184" t="n"/>
    </row>
    <row r="22">
      <c r="A22" s="228" t="inlineStr">
        <is>
          <t>Машины и механизмы</t>
        </is>
      </c>
      <c r="B22" s="259" t="n"/>
      <c r="C22" s="259" t="n"/>
      <c r="D22" s="259" t="n"/>
      <c r="E22" s="260" t="n"/>
      <c r="F22" s="228" t="n"/>
      <c r="G22" s="124" t="n"/>
      <c r="H22" s="124">
        <f>SUM(H23:H28)</f>
        <v/>
      </c>
      <c r="I22" s="172" t="n"/>
      <c r="J22" s="172" t="n"/>
      <c r="K22" s="172" t="n"/>
    </row>
    <row r="23" ht="31.5" customHeight="1" s="182">
      <c r="A23" s="229" t="n">
        <v>9</v>
      </c>
      <c r="B23" s="143" t="n"/>
      <c r="C23" s="230" t="inlineStr">
        <is>
          <t>91.05.05-015</t>
        </is>
      </c>
      <c r="D23" s="230" t="inlineStr">
        <is>
          <t>Краны на автомобильном ходу, грузоподъемность 16 т</t>
        </is>
      </c>
      <c r="E23" s="229" t="inlineStr">
        <is>
          <t>маш.час</t>
        </is>
      </c>
      <c r="F23" s="229" t="n">
        <v>15.5</v>
      </c>
      <c r="G23" s="129" t="n">
        <v>115.4</v>
      </c>
      <c r="H23" s="129">
        <f>ROUND(F23*G23,2)</f>
        <v/>
      </c>
      <c r="K23" s="184" t="n"/>
    </row>
    <row r="24">
      <c r="A24" s="229" t="n">
        <v>10</v>
      </c>
      <c r="B24" s="143" t="n"/>
      <c r="C24" s="230" t="inlineStr">
        <is>
          <t>91.14.02-001</t>
        </is>
      </c>
      <c r="D24" s="230" t="inlineStr">
        <is>
          <t>Автомобили бортовые, грузоподъемность до 5 т</t>
        </is>
      </c>
      <c r="E24" s="229" t="inlineStr">
        <is>
          <t>маш.час</t>
        </is>
      </c>
      <c r="F24" s="229" t="n">
        <v>15.56</v>
      </c>
      <c r="G24" s="129" t="n">
        <v>65.70999999999999</v>
      </c>
      <c r="H24" s="129">
        <f>ROUND(F24*G24,2)</f>
        <v/>
      </c>
      <c r="I24" s="172" t="n"/>
      <c r="J24" s="172" t="n"/>
      <c r="K24" s="172" t="n"/>
    </row>
    <row r="25" ht="31.5" customHeight="1" s="182">
      <c r="A25" s="229" t="n">
        <v>11</v>
      </c>
      <c r="B25" s="143" t="n"/>
      <c r="C25" s="230" t="inlineStr">
        <is>
          <t>91.06.03-061</t>
        </is>
      </c>
      <c r="D25" s="230" t="inlineStr">
        <is>
          <t>Лебедки электрические тяговым усилием до 12,26 кН (1,25 т)</t>
        </is>
      </c>
      <c r="E25" s="229" t="inlineStr">
        <is>
          <t>маш.час</t>
        </is>
      </c>
      <c r="F25" s="229" t="n">
        <v>185.52</v>
      </c>
      <c r="G25" s="129" t="n">
        <v>3.28</v>
      </c>
      <c r="H25" s="129">
        <f>ROUND(F25*G25,2)</f>
        <v/>
      </c>
      <c r="K25" s="184" t="n"/>
    </row>
    <row r="26" ht="31.5" customHeight="1" s="182">
      <c r="A26" s="229" t="n">
        <v>12</v>
      </c>
      <c r="B26" s="143" t="n"/>
      <c r="C26" s="230" t="inlineStr">
        <is>
          <t>91.06.01-003</t>
        </is>
      </c>
      <c r="D26" s="230" t="inlineStr">
        <is>
          <t>Домкраты гидравлические, грузоподъемность 63-100 т</t>
        </is>
      </c>
      <c r="E26" s="229" t="inlineStr">
        <is>
          <t>маш.час</t>
        </is>
      </c>
      <c r="F26" s="229" t="n">
        <v>185.52</v>
      </c>
      <c r="G26" s="129" t="n">
        <v>0.9</v>
      </c>
      <c r="H26" s="129">
        <f>ROUND(F26*G26,2)</f>
        <v/>
      </c>
      <c r="K26" s="184" t="n"/>
    </row>
    <row r="27" ht="31.5" customHeight="1" s="182">
      <c r="A27" s="229" t="n">
        <v>13</v>
      </c>
      <c r="B27" s="143" t="n"/>
      <c r="C27" s="230" t="inlineStr">
        <is>
          <t>91.17.04-233</t>
        </is>
      </c>
      <c r="D27" s="230" t="inlineStr">
        <is>
          <t>Установки для сварки ручной дуговой (постоянного тока)</t>
        </is>
      </c>
      <c r="E27" s="229" t="inlineStr">
        <is>
          <t>маш.час</t>
        </is>
      </c>
      <c r="F27" s="229" t="n">
        <v>0.2</v>
      </c>
      <c r="G27" s="129" t="n">
        <v>8.1</v>
      </c>
      <c r="H27" s="129">
        <f>ROUND(F27*G27,2)</f>
        <v/>
      </c>
      <c r="K27" s="184" t="n"/>
    </row>
    <row r="28">
      <c r="A28" s="229" t="n">
        <v>14</v>
      </c>
      <c r="B28" s="143" t="n"/>
      <c r="C28" s="230" t="inlineStr">
        <is>
          <t>91.21.19-031</t>
        </is>
      </c>
      <c r="D28" s="230" t="inlineStr">
        <is>
          <t>Станки сверлильные</t>
        </is>
      </c>
      <c r="E28" s="229" t="inlineStr">
        <is>
          <t>маш.час</t>
        </is>
      </c>
      <c r="F28" s="229" t="n">
        <v>0.46</v>
      </c>
      <c r="G28" s="129" t="n">
        <v>2.36</v>
      </c>
      <c r="H28" s="129">
        <f>ROUND(F28*G28,2)</f>
        <v/>
      </c>
      <c r="K28" s="184" t="n"/>
    </row>
    <row r="29">
      <c r="A29" s="228" t="inlineStr">
        <is>
          <t>Оборудование</t>
        </is>
      </c>
      <c r="B29" s="259" t="n"/>
      <c r="C29" s="259" t="n"/>
      <c r="D29" s="259" t="n"/>
      <c r="E29" s="260" t="n"/>
      <c r="F29" s="228" t="n"/>
      <c r="G29" s="124" t="n"/>
      <c r="H29" s="124">
        <f>SUM(H30:H40)</f>
        <v/>
      </c>
      <c r="J29" s="138" t="n"/>
    </row>
    <row r="30">
      <c r="A30" s="229" t="n">
        <v>15</v>
      </c>
      <c r="B30" s="143" t="n"/>
      <c r="C30" s="230" t="inlineStr">
        <is>
          <t>Прайс из СД ОП</t>
        </is>
      </c>
      <c r="D30" s="230" t="inlineStr">
        <is>
          <t>Чувствительный элемент броня(180м) ЧЕБ-2</t>
        </is>
      </c>
      <c r="E30" s="229" t="inlineStr">
        <is>
          <t>шт</t>
        </is>
      </c>
      <c r="F30" s="229" t="n">
        <v>6</v>
      </c>
      <c r="G30" s="129" t="n">
        <v>34762.12</v>
      </c>
      <c r="H30" s="129">
        <f>ROUND(F30*G30,2)</f>
        <v/>
      </c>
    </row>
    <row r="31" ht="31.5" customHeight="1" s="182">
      <c r="A31" s="229" t="n">
        <v>16</v>
      </c>
      <c r="B31" s="143" t="n"/>
      <c r="C31" s="230" t="inlineStr">
        <is>
          <t>Прайс из СД ОП</t>
        </is>
      </c>
      <c r="D31" s="230" t="inlineStr">
        <is>
          <t>Шкаф периметральный RCPA-MM-IP исп.6 размером 600х600х210</t>
        </is>
      </c>
      <c r="E31" s="229" t="inlineStr">
        <is>
          <t>шт</t>
        </is>
      </c>
      <c r="F31" s="229" t="n">
        <v>1</v>
      </c>
      <c r="G31" s="129" t="n">
        <v>94533.14</v>
      </c>
      <c r="H31" s="129">
        <f>ROUND(F31*G31,2)</f>
        <v/>
      </c>
    </row>
    <row r="32">
      <c r="A32" s="229" t="n">
        <v>17</v>
      </c>
      <c r="B32" s="143" t="n"/>
      <c r="C32" s="230" t="inlineStr">
        <is>
          <t>Прайс из СД ОП</t>
        </is>
      </c>
      <c r="D32" s="230" t="inlineStr">
        <is>
          <t>Блок обработки БО размером 200х200мм</t>
        </is>
      </c>
      <c r="E32" s="229" t="inlineStr">
        <is>
          <t>шт</t>
        </is>
      </c>
      <c r="F32" s="229" t="n">
        <v>2</v>
      </c>
      <c r="G32" s="129" t="n">
        <v>46328.83</v>
      </c>
      <c r="H32" s="129">
        <f>ROUND(F32*G32,2)</f>
        <v/>
      </c>
    </row>
    <row r="33">
      <c r="A33" s="229" t="n">
        <v>18</v>
      </c>
      <c r="B33" s="143" t="n"/>
      <c r="C33" s="230" t="inlineStr">
        <is>
          <t>Прайс из СД ОП</t>
        </is>
      </c>
      <c r="D33" s="230" t="inlineStr">
        <is>
          <t>Модуль интеграции с СТН</t>
        </is>
      </c>
      <c r="E33" s="229" t="inlineStr">
        <is>
          <t>шт</t>
        </is>
      </c>
      <c r="F33" s="229" t="n">
        <v>1</v>
      </c>
      <c r="G33" s="129" t="n">
        <v>65606.13</v>
      </c>
      <c r="H33" s="129">
        <f>ROUND(F33*G33,2)</f>
        <v/>
      </c>
    </row>
    <row r="34" ht="31.5" customHeight="1" s="182">
      <c r="A34" s="229" t="n">
        <v>19</v>
      </c>
      <c r="B34" s="143" t="n"/>
      <c r="C34" s="230" t="inlineStr">
        <is>
          <t>Прайс из СД ОП</t>
        </is>
      </c>
      <c r="D34" s="230" t="inlineStr">
        <is>
          <t>Программное обеспечение (сервер) Stratum SM-Plan-S</t>
        </is>
      </c>
      <c r="E34" s="229" t="inlineStr">
        <is>
          <t>шт</t>
        </is>
      </c>
      <c r="F34" s="229" t="n">
        <v>1</v>
      </c>
      <c r="G34" s="129" t="n">
        <v>63581.05</v>
      </c>
      <c r="H34" s="129">
        <f>ROUND(F34*G34,2)</f>
        <v/>
      </c>
    </row>
    <row r="35">
      <c r="A35" s="229" t="n">
        <v>20</v>
      </c>
      <c r="B35" s="143" t="n"/>
      <c r="C35" s="230" t="inlineStr">
        <is>
          <t>Прайс из СД ОП</t>
        </is>
      </c>
      <c r="D35" s="230" t="inlineStr">
        <is>
          <t>Блок связи БС размером 200х200мм</t>
        </is>
      </c>
      <c r="E35" s="229" t="inlineStr">
        <is>
          <t>шт</t>
        </is>
      </c>
      <c r="F35" s="229" t="n">
        <v>2</v>
      </c>
      <c r="G35" s="129" t="n">
        <v>10744.21</v>
      </c>
      <c r="H35" s="129">
        <f>ROUND(F35*G35,2)</f>
        <v/>
      </c>
    </row>
    <row r="36" ht="31.5" customHeight="1" s="182">
      <c r="A36" s="229" t="n">
        <v>21</v>
      </c>
      <c r="B36" s="143" t="n"/>
      <c r="C36" s="230" t="inlineStr">
        <is>
          <t>Прайс из СД ОП</t>
        </is>
      </c>
      <c r="D36" s="230" t="inlineStr">
        <is>
          <t>Блок ввода-вывода БВВ-12 размером 200х200мм</t>
        </is>
      </c>
      <c r="E36" s="229" t="inlineStr">
        <is>
          <t>шт</t>
        </is>
      </c>
      <c r="F36" s="229" t="n">
        <v>2</v>
      </c>
      <c r="G36" s="129" t="n">
        <v>10704.61</v>
      </c>
      <c r="H36" s="129">
        <f>ROUND(F36*G36,2)</f>
        <v/>
      </c>
    </row>
    <row r="37">
      <c r="A37" s="229" t="n">
        <v>22</v>
      </c>
      <c r="B37" s="143" t="n"/>
      <c r="C37" s="230" t="inlineStr">
        <is>
          <t>Прайс из СД ОП</t>
        </is>
      </c>
      <c r="D37" s="230" t="inlineStr">
        <is>
          <t>Извещатель инфракрасный активный МИК-02</t>
        </is>
      </c>
      <c r="E37" s="229" t="inlineStr">
        <is>
          <t>шт</t>
        </is>
      </c>
      <c r="F37" s="229" t="n">
        <v>8</v>
      </c>
      <c r="G37" s="129" t="n">
        <v>1636.18</v>
      </c>
      <c r="H37" s="129">
        <f>ROUND(F37*G37,2)</f>
        <v/>
      </c>
    </row>
    <row r="38" ht="31.5" customHeight="1" s="182">
      <c r="A38" s="229" t="n">
        <v>23</v>
      </c>
      <c r="B38" s="143" t="n"/>
      <c r="C38" s="230" t="inlineStr">
        <is>
          <t>Прайс из СД ОП</t>
        </is>
      </c>
      <c r="D38" s="230" t="inlineStr">
        <is>
          <t>Программное обеспечение (клиент) Stratum SM-S</t>
        </is>
      </c>
      <c r="E38" s="229" t="inlineStr">
        <is>
          <t>шт</t>
        </is>
      </c>
      <c r="F38" s="229" t="n">
        <v>1</v>
      </c>
      <c r="G38" s="129" t="n">
        <v>7736.38</v>
      </c>
      <c r="H38" s="129">
        <f>ROUND(F38*G38,2)</f>
        <v/>
      </c>
    </row>
    <row r="39">
      <c r="A39" s="229" t="n">
        <v>24</v>
      </c>
      <c r="B39" s="143" t="n"/>
      <c r="C39" s="230" t="inlineStr">
        <is>
          <t>Прайс из СД ОП</t>
        </is>
      </c>
      <c r="D39" s="230" t="inlineStr">
        <is>
          <t>Муфта оконечная МО</t>
        </is>
      </c>
      <c r="E39" s="229" t="inlineStr">
        <is>
          <t>шт</t>
        </is>
      </c>
      <c r="F39" s="229" t="n">
        <v>2</v>
      </c>
      <c r="G39" s="129" t="n">
        <v>2635.12</v>
      </c>
      <c r="H39" s="129">
        <f>ROUND(F39*G39,2)</f>
        <v/>
      </c>
    </row>
    <row r="40">
      <c r="A40" s="229" t="n">
        <v>25</v>
      </c>
      <c r="B40" s="143" t="n"/>
      <c r="C40" s="230" t="inlineStr">
        <is>
          <t>Прайс из СД ОП</t>
        </is>
      </c>
      <c r="D40" s="230" t="inlineStr">
        <is>
          <t>Муфта соединительная МС</t>
        </is>
      </c>
      <c r="E40" s="229" t="inlineStr">
        <is>
          <t>шт</t>
        </is>
      </c>
      <c r="F40" s="229" t="n">
        <v>2</v>
      </c>
      <c r="G40" s="129" t="n">
        <v>1857.93</v>
      </c>
      <c r="H40" s="129">
        <f>ROUND(F40*G40,2)</f>
        <v/>
      </c>
    </row>
    <row r="41">
      <c r="A41" s="228" t="inlineStr">
        <is>
          <t>Материалы</t>
        </is>
      </c>
      <c r="B41" s="259" t="n"/>
      <c r="C41" s="259" t="n"/>
      <c r="D41" s="259" t="n"/>
      <c r="E41" s="260" t="n"/>
      <c r="F41" s="228" t="n"/>
      <c r="G41" s="124" t="n"/>
      <c r="H41" s="124">
        <f>SUM(H42:H68)</f>
        <v/>
      </c>
      <c r="J41" s="138" t="n"/>
    </row>
    <row r="42" ht="31.5" customHeight="1" s="182">
      <c r="A42" s="229" t="n">
        <v>26</v>
      </c>
      <c r="B42" s="143" t="n"/>
      <c r="C42" s="230" t="inlineStr">
        <is>
          <t>21.1.06.09-0177</t>
        </is>
      </c>
      <c r="D42" s="230" t="inlineStr">
        <is>
          <t>Кабель силовой с медными жилами ВВГнг(A)-LS 5х4-660</t>
        </is>
      </c>
      <c r="E42" s="229" t="inlineStr">
        <is>
          <t>1000 м</t>
        </is>
      </c>
      <c r="F42" s="229" t="n">
        <v>4.2</v>
      </c>
      <c r="G42" s="129" t="n">
        <v>18047.85</v>
      </c>
      <c r="H42" s="129">
        <f>ROUND(F42*G42,2)</f>
        <v/>
      </c>
    </row>
    <row r="43" ht="31.5" customHeight="1" s="182">
      <c r="A43" s="229" t="n">
        <v>27</v>
      </c>
      <c r="B43" s="143" t="n"/>
      <c r="C43" s="230" t="inlineStr">
        <is>
          <t>21.1.06.09-0152</t>
        </is>
      </c>
      <c r="D43" s="230" t="inlineStr">
        <is>
          <t>Кабель силовой с медными жилами ВВГнг(A)-LS 3х2,5-660</t>
        </is>
      </c>
      <c r="E43" s="229" t="inlineStr">
        <is>
          <t>1000 м</t>
        </is>
      </c>
      <c r="F43" s="229" t="n">
        <v>2.8</v>
      </c>
      <c r="G43" s="129" t="n">
        <v>6920.41</v>
      </c>
      <c r="H43" s="129">
        <f>ROUND(F43*G43,2)</f>
        <v/>
      </c>
    </row>
    <row r="44" ht="47.25" customHeight="1" s="182">
      <c r="A44" s="229" t="n">
        <v>28</v>
      </c>
      <c r="B44" s="143" t="n"/>
      <c r="C44" s="230" t="inlineStr">
        <is>
          <t>24.3.03.05-0031</t>
        </is>
      </c>
      <c r="D44" s="230" t="inlineStr">
        <is>
          <t>Трубы полиэтиленовые гибкие гофрированные тяжелые с протяжкой, номинальный внутренний диаметр 16 мм</t>
        </is>
      </c>
      <c r="E44" s="229" t="inlineStr">
        <is>
          <t>м</t>
        </is>
      </c>
      <c r="F44" s="229" t="n">
        <v>2000</v>
      </c>
      <c r="G44" s="129" t="n">
        <v>3.89</v>
      </c>
      <c r="H44" s="129">
        <f>ROUND(F44*G44,2)</f>
        <v/>
      </c>
    </row>
    <row r="45" ht="78.75" customHeight="1" s="182">
      <c r="A45" s="229" t="n">
        <v>29</v>
      </c>
      <c r="B45" s="143" t="n"/>
      <c r="C45" s="230" t="inlineStr">
        <is>
          <t>01.7.15.10-0056</t>
        </is>
      </c>
      <c r="D45" s="230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45" s="229" t="inlineStr">
        <is>
          <t>10 шт</t>
        </is>
      </c>
      <c r="F45" s="229" t="n">
        <v>256</v>
      </c>
      <c r="G45" s="129" t="n">
        <v>22.61</v>
      </c>
      <c r="H45" s="129">
        <f>ROUND(F45*G45,2)</f>
        <v/>
      </c>
    </row>
    <row r="46" ht="15" customHeight="1" s="182">
      <c r="A46" s="229" t="n">
        <v>30</v>
      </c>
      <c r="B46" s="143" t="n"/>
      <c r="C46" s="230" t="inlineStr">
        <is>
          <t>24.3.03.05-0033</t>
        </is>
      </c>
      <c r="D46" s="230" t="inlineStr">
        <is>
          <t>Трубы полиэтиленовые гибкие гофрированные тяжелые с протяжкой, номинальный внутренний диаметр 25 мм</t>
        </is>
      </c>
      <c r="E46" s="229" t="inlineStr">
        <is>
          <t>м</t>
        </is>
      </c>
      <c r="F46" s="229" t="n">
        <v>600</v>
      </c>
      <c r="G46" s="129" t="n">
        <v>8.369999999999999</v>
      </c>
      <c r="H46" s="129">
        <f>ROUND(F46*G46,2)</f>
        <v/>
      </c>
    </row>
    <row r="47" ht="63" customHeight="1" s="182">
      <c r="A47" s="229" t="n">
        <v>31</v>
      </c>
      <c r="B47" s="143" t="n"/>
      <c r="C47" s="230" t="inlineStr">
        <is>
          <t>23.3.06.02-0010</t>
        </is>
      </c>
      <c r="D47" s="230" t="inlineStr">
        <is>
          <t>Трубы стальные сварные оцинкованные водогазопроводные с резьбой, обыкновенные, номинальный диаметр 100 мм, толщина стенки 4,5 мм</t>
        </is>
      </c>
      <c r="E47" s="229" t="inlineStr">
        <is>
          <t>м</t>
        </is>
      </c>
      <c r="F47" s="229" t="n">
        <v>30.9228925</v>
      </c>
      <c r="G47" s="129" t="n">
        <v>156.98</v>
      </c>
      <c r="H47" s="129">
        <f>ROUND(F47*G47,2)</f>
        <v/>
      </c>
    </row>
    <row r="48" ht="31.5" customHeight="1" s="182">
      <c r="A48" s="229" t="n">
        <v>32</v>
      </c>
      <c r="B48" s="143" t="n"/>
      <c r="C48" s="230" t="inlineStr">
        <is>
          <t>21.1.06.09-0145</t>
        </is>
      </c>
      <c r="D48" s="230" t="inlineStr">
        <is>
          <t>Кабель силовой с медными жилами ВВГнг-LS 2х1,5-660</t>
        </is>
      </c>
      <c r="E48" s="229" t="inlineStr">
        <is>
          <t>1000 м</t>
        </is>
      </c>
      <c r="F48" s="229" t="n">
        <v>0.73</v>
      </c>
      <c r="G48" s="129" t="n">
        <v>3708.36</v>
      </c>
      <c r="H48" s="129">
        <f>ROUND(F48*G48,2)</f>
        <v/>
      </c>
    </row>
    <row r="49" ht="15" customHeight="1" s="182">
      <c r="A49" s="229" t="n">
        <v>33</v>
      </c>
      <c r="B49" s="143" t="n"/>
      <c r="C49" s="230" t="inlineStr">
        <is>
          <t>10.3.02.03-0011</t>
        </is>
      </c>
      <c r="D49" s="230" t="inlineStr">
        <is>
          <t>Припои оловянно-свинцовые бессурьмянистые, марка ПОС30</t>
        </is>
      </c>
      <c r="E49" s="229" t="inlineStr">
        <is>
          <t>т</t>
        </is>
      </c>
      <c r="F49" s="229" t="n">
        <v>0.03865</v>
      </c>
      <c r="G49" s="129" t="n">
        <v>68050</v>
      </c>
      <c r="H49" s="129">
        <f>ROUND(F49*G49,2)</f>
        <v/>
      </c>
    </row>
    <row r="50" ht="31.5" customHeight="1" s="182">
      <c r="A50" s="229" t="n">
        <v>34</v>
      </c>
      <c r="B50" s="143" t="n"/>
      <c r="C50" s="230" t="inlineStr">
        <is>
          <t>21.1.04.01-1006</t>
        </is>
      </c>
      <c r="D50" s="230" t="inlineStr">
        <is>
          <t>Кабель витая пара, категория 5e, ЭКС-ГВПВЭ 4х2х0,51</t>
        </is>
      </c>
      <c r="E50" s="229" t="inlineStr">
        <is>
          <t>1000 м</t>
        </is>
      </c>
      <c r="F50" s="229" t="n">
        <v>0.8</v>
      </c>
      <c r="G50" s="129" t="n">
        <v>2719.53</v>
      </c>
      <c r="H50" s="129">
        <f>ROUND(F50*G50,2)</f>
        <v/>
      </c>
    </row>
    <row r="51" ht="31.5" customHeight="1" s="182">
      <c r="A51" s="229" t="n">
        <v>35</v>
      </c>
      <c r="B51" s="143" t="n"/>
      <c r="C51" s="230" t="inlineStr">
        <is>
          <t>01.7.15.07-0012</t>
        </is>
      </c>
      <c r="D51" s="230" t="inlineStr">
        <is>
          <t>Дюбели пластмассовые с шурупами, размер 12х70 мм</t>
        </is>
      </c>
      <c r="E51" s="229" t="inlineStr">
        <is>
          <t>100 шт</t>
        </is>
      </c>
      <c r="F51" s="229" t="n">
        <v>13.18</v>
      </c>
      <c r="G51" s="129" t="n">
        <v>83</v>
      </c>
      <c r="H51" s="129">
        <f>ROUND(F51*G51,2)</f>
        <v/>
      </c>
    </row>
    <row r="52">
      <c r="A52" s="229" t="n">
        <v>36</v>
      </c>
      <c r="B52" s="143" t="n"/>
      <c r="C52" s="230" t="inlineStr">
        <is>
          <t>14.1.04.02-0002</t>
        </is>
      </c>
      <c r="D52" s="230" t="inlineStr">
        <is>
          <t>Клей 88-СА</t>
        </is>
      </c>
      <c r="E52" s="229" t="inlineStr">
        <is>
          <t>кг</t>
        </is>
      </c>
      <c r="F52" s="229" t="n">
        <v>10.752</v>
      </c>
      <c r="G52" s="129" t="n">
        <v>28.93</v>
      </c>
      <c r="H52" s="129">
        <f>ROUND(F52*G52,2)</f>
        <v/>
      </c>
    </row>
    <row r="53" ht="31.5" customHeight="1" s="182">
      <c r="A53" s="229" t="n">
        <v>37</v>
      </c>
      <c r="B53" s="143" t="n"/>
      <c r="C53" s="230" t="inlineStr">
        <is>
          <t>999-9950</t>
        </is>
      </c>
      <c r="D53" s="230" t="inlineStr">
        <is>
          <t>Вспомогательные ненормируемые ресурсы (2% от Оплаты труда рабочих)</t>
        </is>
      </c>
      <c r="E53" s="229" t="inlineStr">
        <is>
          <t>руб</t>
        </is>
      </c>
      <c r="F53" s="229" t="n">
        <v>229.841</v>
      </c>
      <c r="G53" s="129" t="n">
        <v>1</v>
      </c>
      <c r="H53" s="129">
        <f>ROUND(F53*G53,2)</f>
        <v/>
      </c>
    </row>
    <row r="54">
      <c r="A54" s="229" t="n">
        <v>38</v>
      </c>
      <c r="B54" s="143" t="n"/>
      <c r="C54" s="230" t="inlineStr">
        <is>
          <t>01.7.06.07-0002</t>
        </is>
      </c>
      <c r="D54" s="230" t="inlineStr">
        <is>
          <t>Лента монтажная, тип ЛМ-5</t>
        </is>
      </c>
      <c r="E54" s="229" t="inlineStr">
        <is>
          <t>10 м</t>
        </is>
      </c>
      <c r="F54" s="229" t="n">
        <v>7.4208</v>
      </c>
      <c r="G54" s="129" t="n">
        <v>6.9</v>
      </c>
      <c r="H54" s="129">
        <f>ROUND(F54*G54,2)</f>
        <v/>
      </c>
    </row>
    <row r="55" ht="31.5" customHeight="1" s="182">
      <c r="A55" s="229" t="n">
        <v>39</v>
      </c>
      <c r="B55" s="143" t="n"/>
      <c r="C55" s="230" t="inlineStr">
        <is>
          <t>24.3.01.01-0004</t>
        </is>
      </c>
      <c r="D55" s="230" t="inlineStr">
        <is>
          <t>Трубка электроизоляционная ПВХ-305, диаметр 6-10 мм</t>
        </is>
      </c>
      <c r="E55" s="229" t="inlineStr">
        <is>
          <t>кг</t>
        </is>
      </c>
      <c r="F55" s="229" t="n">
        <v>1.28</v>
      </c>
      <c r="G55" s="129" t="n">
        <v>38.34</v>
      </c>
      <c r="H55" s="129">
        <f>ROUND(F55*G55,2)</f>
        <v/>
      </c>
    </row>
    <row r="56" ht="47.25" customHeight="1" s="182">
      <c r="A56" s="229" t="n">
        <v>40</v>
      </c>
      <c r="B56" s="143" t="n"/>
      <c r="C56" s="230" t="inlineStr">
        <is>
          <t>08.3.06.01-0003</t>
        </is>
      </c>
      <c r="D56" s="23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56" s="229" t="inlineStr">
        <is>
          <t>т</t>
        </is>
      </c>
      <c r="F56" s="229" t="n">
        <v>0.007</v>
      </c>
      <c r="G56" s="129" t="n">
        <v>6834.81</v>
      </c>
      <c r="H56" s="129">
        <f>ROUND(F56*G56,2)</f>
        <v/>
      </c>
    </row>
    <row r="57">
      <c r="A57" s="229" t="n">
        <v>41</v>
      </c>
      <c r="B57" s="143" t="n"/>
      <c r="C57" s="230" t="inlineStr">
        <is>
          <t>07.2.07.13-0171</t>
        </is>
      </c>
      <c r="D57" s="230" t="inlineStr">
        <is>
          <t>Подкладки металлические</t>
        </is>
      </c>
      <c r="E57" s="229" t="inlineStr">
        <is>
          <t>кг</t>
        </is>
      </c>
      <c r="F57" s="229" t="n">
        <v>3</v>
      </c>
      <c r="G57" s="129" t="n">
        <v>12.6</v>
      </c>
      <c r="H57" s="129">
        <f>ROUND(F57*G57,2)</f>
        <v/>
      </c>
    </row>
    <row r="58">
      <c r="A58" s="229" t="n">
        <v>42</v>
      </c>
      <c r="B58" s="143" t="n"/>
      <c r="C58" s="230" t="inlineStr">
        <is>
          <t>14.4.03.03-0002</t>
        </is>
      </c>
      <c r="D58" s="230" t="inlineStr">
        <is>
          <t>Лак битумный БТ-123</t>
        </is>
      </c>
      <c r="E58" s="229" t="inlineStr">
        <is>
          <t>т</t>
        </is>
      </c>
      <c r="F58" s="229" t="n">
        <v>0.004638</v>
      </c>
      <c r="G58" s="129" t="n">
        <v>7826.9</v>
      </c>
      <c r="H58" s="129">
        <f>ROUND(F58*G58,2)</f>
        <v/>
      </c>
    </row>
    <row r="59" ht="31.5" customHeight="1" s="182">
      <c r="A59" s="229" t="n">
        <v>43</v>
      </c>
      <c r="B59" s="143" t="n"/>
      <c r="C59" s="230" t="inlineStr">
        <is>
          <t>10.3.02.03-0012</t>
        </is>
      </c>
      <c r="D59" s="230" t="inlineStr">
        <is>
          <t>Припои оловянно-свинцовые бессурьмянистые, марка ПОС40</t>
        </is>
      </c>
      <c r="E59" s="229" t="inlineStr">
        <is>
          <t>т</t>
        </is>
      </c>
      <c r="F59" s="229" t="n">
        <v>0.0002</v>
      </c>
      <c r="G59" s="129" t="n">
        <v>65750</v>
      </c>
      <c r="H59" s="129">
        <f>ROUND(F59*G59,2)</f>
        <v/>
      </c>
    </row>
    <row r="60" ht="31.5" customHeight="1" s="182">
      <c r="A60" s="229" t="n">
        <v>44</v>
      </c>
      <c r="B60" s="143" t="n"/>
      <c r="C60" s="230" t="inlineStr">
        <is>
          <t>01.7.15.03-0034</t>
        </is>
      </c>
      <c r="D60" s="230" t="inlineStr">
        <is>
          <t>Болты с гайками и шайбами оцинкованные, диаметр 12 мм</t>
        </is>
      </c>
      <c r="E60" s="229" t="inlineStr">
        <is>
          <t>кг</t>
        </is>
      </c>
      <c r="F60" s="229" t="n">
        <v>0.2378</v>
      </c>
      <c r="G60" s="129" t="n">
        <v>25.76</v>
      </c>
      <c r="H60" s="129">
        <f>ROUND(F60*G60,2)</f>
        <v/>
      </c>
    </row>
    <row r="61">
      <c r="A61" s="229" t="n">
        <v>45</v>
      </c>
      <c r="B61" s="143" t="n"/>
      <c r="C61" s="230" t="inlineStr">
        <is>
          <t>03.1.01.01-0002</t>
        </is>
      </c>
      <c r="D61" s="230" t="inlineStr">
        <is>
          <t>Гипс строительный Г-3</t>
        </is>
      </c>
      <c r="E61" s="229" t="inlineStr">
        <is>
          <t>т</t>
        </is>
      </c>
      <c r="F61" s="229" t="n">
        <v>0.0066</v>
      </c>
      <c r="G61" s="129" t="n">
        <v>729.98</v>
      </c>
      <c r="H61" s="129">
        <f>ROUND(F61*G61,2)</f>
        <v/>
      </c>
    </row>
    <row r="62">
      <c r="A62" s="229" t="n">
        <v>46</v>
      </c>
      <c r="B62" s="143" t="n"/>
      <c r="C62" s="230" t="inlineStr">
        <is>
          <t>25.2.02.11-0041</t>
        </is>
      </c>
      <c r="D62" s="230" t="inlineStr">
        <is>
          <t>Рамка для надписей 55х15 мм</t>
        </is>
      </c>
      <c r="E62" s="229" t="inlineStr">
        <is>
          <t>шт</t>
        </is>
      </c>
      <c r="F62" s="229" t="n">
        <v>10</v>
      </c>
      <c r="G62" s="129" t="n">
        <v>0.27</v>
      </c>
      <c r="H62" s="129">
        <f>ROUND(F62*G62,2)</f>
        <v/>
      </c>
    </row>
    <row r="63">
      <c r="A63" s="229" t="n">
        <v>47</v>
      </c>
      <c r="B63" s="143" t="n"/>
      <c r="C63" s="230" t="inlineStr">
        <is>
          <t>01.7.11.07-0032</t>
        </is>
      </c>
      <c r="D63" s="230" t="inlineStr">
        <is>
          <t>Электроды сварочные Э42, диаметр 4 мм</t>
        </is>
      </c>
      <c r="E63" s="229" t="inlineStr">
        <is>
          <t>т</t>
        </is>
      </c>
      <c r="F63" s="229" t="n">
        <v>0.00012</v>
      </c>
      <c r="G63" s="129" t="n">
        <v>10315.01</v>
      </c>
      <c r="H63" s="129">
        <f>ROUND(F63*G63,2)</f>
        <v/>
      </c>
    </row>
    <row r="64">
      <c r="A64" s="229" t="n">
        <v>48</v>
      </c>
      <c r="B64" s="143" t="n"/>
      <c r="C64" s="230" t="inlineStr">
        <is>
          <t>14.4.04.09-0017</t>
        </is>
      </c>
      <c r="D64" s="230" t="inlineStr">
        <is>
          <t>Эмаль ХВ-124, защитная, зеленая</t>
        </is>
      </c>
      <c r="E64" s="229" t="inlineStr">
        <is>
          <t>т</t>
        </is>
      </c>
      <c r="F64" s="229" t="n">
        <v>2e-05</v>
      </c>
      <c r="G64" s="129" t="n">
        <v>28300.4</v>
      </c>
      <c r="H64" s="129">
        <f>ROUND(F64*G64,2)</f>
        <v/>
      </c>
    </row>
    <row r="65">
      <c r="A65" s="229" t="n">
        <v>49</v>
      </c>
      <c r="B65" s="143" t="n"/>
      <c r="C65" s="230" t="inlineStr">
        <is>
          <t>01.3.05.17-0002</t>
        </is>
      </c>
      <c r="D65" s="230" t="inlineStr">
        <is>
          <t>Канифоль сосновая</t>
        </is>
      </c>
      <c r="E65" s="229" t="inlineStr">
        <is>
          <t>кг</t>
        </is>
      </c>
      <c r="F65" s="229" t="n">
        <v>0.016</v>
      </c>
      <c r="G65" s="129" t="n">
        <v>27.74</v>
      </c>
      <c r="H65" s="129">
        <f>ROUND(F65*G65,2)</f>
        <v/>
      </c>
    </row>
    <row r="66">
      <c r="A66" s="229" t="n">
        <v>50</v>
      </c>
      <c r="B66" s="143" t="n"/>
      <c r="C66" s="230" t="inlineStr">
        <is>
          <t>14.4.01.01-0003</t>
        </is>
      </c>
      <c r="D66" s="230" t="inlineStr">
        <is>
          <t>Грунтовка ГФ-021</t>
        </is>
      </c>
      <c r="E66" s="229" t="inlineStr">
        <is>
          <t>т</t>
        </is>
      </c>
      <c r="F66" s="229" t="n">
        <v>1e-05</v>
      </c>
      <c r="G66" s="129" t="n">
        <v>15620</v>
      </c>
      <c r="H66" s="129">
        <f>ROUND(F66*G66,2)</f>
        <v/>
      </c>
    </row>
    <row r="67">
      <c r="A67" s="229" t="n">
        <v>51</v>
      </c>
      <c r="B67" s="143" t="n"/>
      <c r="C67" s="230" t="inlineStr">
        <is>
          <t>14.5.09.07-0030</t>
        </is>
      </c>
      <c r="D67" s="230" t="inlineStr">
        <is>
          <t>Растворитель Р-4</t>
        </is>
      </c>
      <c r="E67" s="229" t="inlineStr">
        <is>
          <t>кг</t>
        </is>
      </c>
      <c r="F67" s="229" t="n">
        <v>0.01</v>
      </c>
      <c r="G67" s="129" t="n">
        <v>9.42</v>
      </c>
      <c r="H67" s="129">
        <f>ROUND(F67*G67,2)</f>
        <v/>
      </c>
    </row>
    <row r="68">
      <c r="A68" s="229" t="n">
        <v>52</v>
      </c>
      <c r="B68" s="143" t="n"/>
      <c r="C68" s="230" t="inlineStr">
        <is>
          <t>14.5.09.11-0102</t>
        </is>
      </c>
      <c r="D68" s="230" t="inlineStr">
        <is>
          <t>Уайт-спирит</t>
        </is>
      </c>
      <c r="E68" s="229" t="inlineStr">
        <is>
          <t>кг</t>
        </is>
      </c>
      <c r="F68" s="229" t="n">
        <v>0.01</v>
      </c>
      <c r="G68" s="129" t="n">
        <v>6.67</v>
      </c>
      <c r="H68" s="129">
        <f>ROUND(F68*G68,2)</f>
        <v/>
      </c>
    </row>
    <row r="69">
      <c r="J69" s="151" t="n"/>
    </row>
    <row r="71">
      <c r="B71" s="184" t="inlineStr">
        <is>
          <t>Составил ______________________        Е.А. Князева</t>
        </is>
      </c>
      <c r="J71" s="151" t="n"/>
    </row>
    <row r="72">
      <c r="B72" s="107" t="inlineStr">
        <is>
          <t xml:space="preserve">                         (подпись, инициалы, фамилия)</t>
        </is>
      </c>
    </row>
    <row r="74">
      <c r="B74" s="184" t="inlineStr">
        <is>
          <t>Проверил ______________________        А.В. Костянецкая</t>
        </is>
      </c>
    </row>
    <row r="75">
      <c r="B75" s="10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9:E29"/>
    <mergeCell ref="A2:H2"/>
    <mergeCell ref="A41:E41"/>
    <mergeCell ref="A5:H5"/>
    <mergeCell ref="G9:H9"/>
    <mergeCell ref="A22:E22"/>
  </mergeCells>
  <pageMargins left="0.7" right="0.7" top="0.75" bottom="0.75" header="0.3" footer="0.3"/>
  <pageSetup orientation="portrait" paperSize="9" scale="49"/>
  <rowBreaks count="1" manualBreakCount="1">
    <brk id="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54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31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9.75" customHeight="1" s="182">
      <c r="B7" s="232">
        <f>'Прил.1 Сравнит табл'!B7</f>
        <v/>
      </c>
    </row>
    <row r="8">
      <c r="B8" s="233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82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ОБ'!J16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ОБ'!J24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ОБ'!J28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ОБ'!J18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ОБ'!J76</f>
        <v/>
      </c>
      <c r="D17" s="33">
        <f>C17/$C$24</f>
        <v/>
      </c>
      <c r="E17" s="33">
        <f>C17/$C$40</f>
        <v/>
      </c>
      <c r="G17" s="266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ОБ'!E80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ОБ'!E79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2">
      <c r="B25" s="31" t="inlineStr">
        <is>
          <t>ВСЕГО стоимость оборудования, в том числе</t>
        </is>
      </c>
      <c r="C25" s="35">
        <f>'Прил.5 Расчет СМР и ОБ'!J42</f>
        <v/>
      </c>
      <c r="D25" s="33" t="n"/>
      <c r="E25" s="33">
        <f>C25/$C$40</f>
        <v/>
      </c>
    </row>
    <row r="26" ht="25.5" customHeight="1" s="182">
      <c r="B26" s="31" t="inlineStr">
        <is>
          <t>стоимость оборудования технологического</t>
        </is>
      </c>
      <c r="C26" s="35">
        <f>'Прил.5 Расчет СМР и ОБ'!J43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2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168" t="n"/>
      <c r="E30" s="33">
        <f>C30/$C$40</f>
        <v/>
      </c>
    </row>
    <row r="31">
      <c r="B31" s="168" t="inlineStr">
        <is>
          <t xml:space="preserve">Пусконаладочные работы </t>
        </is>
      </c>
      <c r="C31" s="169" t="n">
        <v>346520</v>
      </c>
      <c r="D31" s="168" t="n"/>
      <c r="E31" s="33">
        <f>C31/$C$40</f>
        <v/>
      </c>
    </row>
    <row r="32" ht="25.5" customHeight="1" s="182">
      <c r="B32" s="168" t="inlineStr">
        <is>
          <t>Затраты по перевозке работников к месту работы и обратно</t>
        </is>
      </c>
      <c r="C32" s="169" t="n">
        <v>0</v>
      </c>
      <c r="D32" s="168" t="n"/>
      <c r="E32" s="33">
        <f>C32/$C$40</f>
        <v/>
      </c>
      <c r="G32" s="141" t="n"/>
    </row>
    <row r="33" ht="25.5" customHeight="1" s="182">
      <c r="B33" s="168" t="inlineStr">
        <is>
          <t>Затраты, связанные с осуществлением работ вахтовым методом</t>
        </is>
      </c>
      <c r="C33" s="169" t="n">
        <v>0</v>
      </c>
      <c r="D33" s="168" t="n"/>
      <c r="E33" s="33">
        <f>C33/$C$40</f>
        <v/>
      </c>
      <c r="G33" s="141" t="n"/>
    </row>
    <row r="34" ht="51" customHeight="1" s="18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41" t="n"/>
    </row>
    <row r="35" ht="76.5" customHeight="1" s="18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41" t="n"/>
    </row>
    <row r="36" ht="25.5" customHeight="1" s="18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2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2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ОБ'!E83</f>
        <v/>
      </c>
      <c r="D41" s="31" t="n"/>
      <c r="E41" s="31" t="n"/>
    </row>
    <row r="42">
      <c r="B42" s="21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79" t="n"/>
      <c r="D43" s="178" t="n"/>
      <c r="E43" s="178" t="n"/>
    </row>
    <row r="44">
      <c r="B44" s="181" t="inlineStr">
        <is>
          <t xml:space="preserve">                         (подпись, инициалы, фамилия)</t>
        </is>
      </c>
      <c r="C44" s="179" t="n"/>
      <c r="D44" s="178" t="n"/>
      <c r="E44" s="178" t="n"/>
    </row>
    <row r="45">
      <c r="B45" s="178" t="n"/>
      <c r="C45" s="179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79" t="n"/>
      <c r="D46" s="178" t="n"/>
      <c r="E46" s="178" t="n"/>
    </row>
    <row r="47">
      <c r="B47" s="181" t="inlineStr">
        <is>
          <t xml:space="preserve">                        (подпись, инициалы, фамилия)</t>
        </is>
      </c>
      <c r="C47" s="179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90"/>
  <sheetViews>
    <sheetView view="pageBreakPreview" topLeftCell="A76" zoomScaleSheetLayoutView="100" workbookViewId="0">
      <selection activeCell="B87" sqref="B86:B87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2.85546875" customWidth="1" style="179" min="11" max="11"/>
    <col width="10.7109375" customWidth="1" style="179" min="12" max="12"/>
    <col width="10.85546875" customWidth="1" style="179" min="13" max="13"/>
    <col width="9.140625" customWidth="1" style="179" min="14" max="14"/>
    <col width="9.140625" customWidth="1" style="182" min="15" max="15"/>
  </cols>
  <sheetData>
    <row r="2" ht="15.75" customHeight="1" s="182">
      <c r="I2" s="184" t="n"/>
      <c r="J2" s="76" t="inlineStr">
        <is>
          <t>Приложение №5</t>
        </is>
      </c>
    </row>
    <row r="4" ht="12.75" customFormat="1" customHeight="1" s="178">
      <c r="A4" s="231" t="inlineStr">
        <is>
          <t>Расчет стоимости СМР и оборудования</t>
        </is>
      </c>
      <c r="I4" s="231" t="n"/>
      <c r="J4" s="231" t="n"/>
    </row>
    <row r="5" ht="12.75" customFormat="1" customHeight="1" s="178">
      <c r="A5" s="231" t="n"/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</row>
    <row r="6" ht="41.25" customFormat="1" customHeight="1" s="178">
      <c r="A6" s="132" t="inlineStr">
        <is>
          <t>Наименование разрабатываемого показателя УНЦ</t>
        </is>
      </c>
      <c r="B6" s="133" t="n"/>
      <c r="C6" s="133" t="n"/>
      <c r="D6" s="245" t="inlineStr">
        <is>
          <t>Комплекс систем безопасности ПС. Система периметральной сигнализации</t>
        </is>
      </c>
    </row>
    <row r="7" ht="12.75" customFormat="1" customHeight="1" s="178">
      <c r="A7" s="245">
        <f>'Прил.1 Сравнит табл'!B9</f>
        <v/>
      </c>
      <c r="I7" s="232" t="n"/>
      <c r="J7" s="232" t="n"/>
    </row>
    <row r="8" ht="12.75" customFormat="1" customHeight="1" s="178"/>
    <row r="9" ht="27" customHeight="1" s="182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60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60" t="n"/>
    </row>
    <row r="10" ht="28.5" customHeight="1" s="182">
      <c r="A10" s="262" t="n"/>
      <c r="B10" s="262" t="n"/>
      <c r="C10" s="262" t="n"/>
      <c r="D10" s="262" t="n"/>
      <c r="E10" s="262" t="n"/>
      <c r="F10" s="235" t="inlineStr">
        <is>
          <t>на ед. изм.</t>
        </is>
      </c>
      <c r="G10" s="235" t="inlineStr">
        <is>
          <t>общая</t>
        </is>
      </c>
      <c r="H10" s="262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46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42" t="n"/>
      <c r="J12" s="42" t="n"/>
      <c r="L12" s="95" t="n"/>
    </row>
    <row r="13" ht="25.5" customHeight="1" s="182">
      <c r="A13" s="235" t="n">
        <v>1</v>
      </c>
      <c r="B13" s="96" t="inlineStr">
        <is>
          <t>1-3-9</t>
        </is>
      </c>
      <c r="C13" s="234" t="inlineStr">
        <is>
          <t>Затраты труда рабочих-строителей среднего разряда (3,9)</t>
        </is>
      </c>
      <c r="D13" s="235" t="inlineStr">
        <is>
          <t>чел.-ч.</t>
        </is>
      </c>
      <c r="E13" s="267">
        <f>G13/F13</f>
        <v/>
      </c>
      <c r="F13" s="102" t="n">
        <v>9.51</v>
      </c>
      <c r="G13" s="102">
        <f>SUM(Прил.3!H13:H17)</f>
        <v/>
      </c>
      <c r="H13" s="247">
        <f>G13/$G$16</f>
        <v/>
      </c>
      <c r="I13" s="102">
        <f>ФОТр.тек.!E13</f>
        <v/>
      </c>
      <c r="J13" s="102">
        <f>ROUND(I13*E13,2)</f>
        <v/>
      </c>
      <c r="M13" s="155" t="n"/>
    </row>
    <row r="14">
      <c r="A14" s="235" t="n">
        <v>2</v>
      </c>
      <c r="B14" s="96" t="inlineStr">
        <is>
          <t>10-3-1</t>
        </is>
      </c>
      <c r="C14" s="234" t="inlineStr">
        <is>
          <t>Инженер I категории</t>
        </is>
      </c>
      <c r="D14" s="235" t="inlineStr">
        <is>
          <t>чел.-ч</t>
        </is>
      </c>
      <c r="E14" s="267">
        <f>Прил.3!F18</f>
        <v/>
      </c>
      <c r="F14" s="102">
        <f>Прил.3!G18</f>
        <v/>
      </c>
      <c r="G14" s="102">
        <f>Прил.3!H18</f>
        <v/>
      </c>
      <c r="H14" s="247">
        <f>G14/$G$16</f>
        <v/>
      </c>
      <c r="I14" s="102">
        <f>ФОТр.тек.!E21</f>
        <v/>
      </c>
      <c r="J14" s="102">
        <f>ROUND(I14*E14,2)</f>
        <v/>
      </c>
    </row>
    <row r="15">
      <c r="A15" s="235" t="n">
        <v>3</v>
      </c>
      <c r="B15" s="96" t="inlineStr">
        <is>
          <t>10-3-2</t>
        </is>
      </c>
      <c r="C15" s="234" t="inlineStr">
        <is>
          <t>Инженер II категории</t>
        </is>
      </c>
      <c r="D15" s="235" t="inlineStr">
        <is>
          <t>чел.-ч</t>
        </is>
      </c>
      <c r="E15" s="267">
        <f>Прил.3!F19</f>
        <v/>
      </c>
      <c r="F15" s="102">
        <f>Прил.3!G19</f>
        <v/>
      </c>
      <c r="G15" s="102">
        <f>Прил.3!H19</f>
        <v/>
      </c>
      <c r="H15" s="247">
        <f>G15/$G$16</f>
        <v/>
      </c>
      <c r="I15" s="102">
        <f>ФОТр.тек.!E29</f>
        <v/>
      </c>
      <c r="J15" s="102">
        <f>ROUND(I15*E15,2)</f>
        <v/>
      </c>
    </row>
    <row r="16" ht="25.5" customFormat="1" customHeight="1" s="179">
      <c r="A16" s="235" t="n"/>
      <c r="B16" s="235" t="n"/>
      <c r="C16" s="246" t="inlineStr">
        <is>
          <t>Итого по разделу "Затраты труда рабочих-строителей"</t>
        </is>
      </c>
      <c r="D16" s="235" t="inlineStr">
        <is>
          <t>чел.-ч.</t>
        </is>
      </c>
      <c r="E16" s="267">
        <f>SUM(E13:E15)</f>
        <v/>
      </c>
      <c r="F16" s="102" t="n"/>
      <c r="G16" s="102">
        <f>SUM(G13:G15)</f>
        <v/>
      </c>
      <c r="H16" s="247" t="n">
        <v>1</v>
      </c>
      <c r="I16" s="102" t="n"/>
      <c r="J16" s="102">
        <f>SUM(J13:J15)</f>
        <v/>
      </c>
    </row>
    <row r="17" ht="14.25" customFormat="1" customHeight="1" s="179">
      <c r="A17" s="235" t="n"/>
      <c r="B17" s="234" t="inlineStr">
        <is>
          <t>Затраты труда машинистов</t>
        </is>
      </c>
      <c r="C17" s="259" t="n"/>
      <c r="D17" s="259" t="n"/>
      <c r="E17" s="259" t="n"/>
      <c r="F17" s="259" t="n"/>
      <c r="G17" s="259" t="n"/>
      <c r="H17" s="260" t="n"/>
      <c r="I17" s="42" t="n"/>
      <c r="J17" s="42" t="n"/>
    </row>
    <row r="18" ht="14.25" customFormat="1" customHeight="1" s="179">
      <c r="A18" s="235" t="n">
        <v>4</v>
      </c>
      <c r="B18" s="235" t="n">
        <v>2</v>
      </c>
      <c r="C18" s="234" t="inlineStr">
        <is>
          <t>Затраты труда машинистов</t>
        </is>
      </c>
      <c r="D18" s="235" t="inlineStr">
        <is>
          <t>чел.-ч.</t>
        </is>
      </c>
      <c r="E18" s="267">
        <f>Прил.3!F21</f>
        <v/>
      </c>
      <c r="F18" s="102">
        <f>G18/E18</f>
        <v/>
      </c>
      <c r="G18" s="102">
        <f>Прил.3!H21</f>
        <v/>
      </c>
      <c r="H18" s="247" t="n">
        <v>1</v>
      </c>
      <c r="I18" s="102">
        <f>ROUND(F18*Прил.10!D10,2)</f>
        <v/>
      </c>
      <c r="J18" s="102">
        <f>ROUND(I18*E18,2)</f>
        <v/>
      </c>
    </row>
    <row r="19" ht="14.25" customFormat="1" customHeight="1" s="179">
      <c r="A19" s="235" t="n"/>
      <c r="B19" s="246" t="inlineStr">
        <is>
          <t>Машины и механизмы</t>
        </is>
      </c>
      <c r="C19" s="259" t="n"/>
      <c r="D19" s="259" t="n"/>
      <c r="E19" s="259" t="n"/>
      <c r="F19" s="259" t="n"/>
      <c r="G19" s="259" t="n"/>
      <c r="H19" s="260" t="n"/>
      <c r="I19" s="247" t="n"/>
      <c r="J19" s="247" t="n"/>
    </row>
    <row r="20" ht="14.25" customFormat="1" customHeight="1" s="179">
      <c r="A20" s="235" t="n"/>
      <c r="B20" s="234" t="inlineStr">
        <is>
          <t>Основные машины и механизмы</t>
        </is>
      </c>
      <c r="C20" s="259" t="n"/>
      <c r="D20" s="259" t="n"/>
      <c r="E20" s="259" t="n"/>
      <c r="F20" s="259" t="n"/>
      <c r="G20" s="259" t="n"/>
      <c r="H20" s="260" t="n"/>
      <c r="I20" s="42" t="n"/>
      <c r="J20" s="42" t="n"/>
    </row>
    <row r="21" ht="25.5" customFormat="1" customHeight="1" s="179">
      <c r="A21" s="235" t="n">
        <v>5</v>
      </c>
      <c r="B21" s="96" t="inlineStr">
        <is>
          <t>91.05.05-015</t>
        </is>
      </c>
      <c r="C21" s="234" t="inlineStr">
        <is>
          <t>Краны на автомобильном ходу, грузоподъемность 16 т</t>
        </is>
      </c>
      <c r="D21" s="235" t="inlineStr">
        <is>
          <t>маш.час</t>
        </is>
      </c>
      <c r="E21" s="267" t="n">
        <v>15.5</v>
      </c>
      <c r="F21" s="253" t="n">
        <v>115.4</v>
      </c>
      <c r="G21" s="102">
        <f>ROUND(E21*F21,2)</f>
        <v/>
      </c>
      <c r="H21" s="247">
        <f>G21/$G$29</f>
        <v/>
      </c>
      <c r="I21" s="102">
        <f>ROUND(F21*Прил.10!$D$11,2)</f>
        <v/>
      </c>
      <c r="J21" s="102">
        <f>ROUND(I21*E21,2)</f>
        <v/>
      </c>
    </row>
    <row r="22" ht="25.5" customFormat="1" customHeight="1" s="179">
      <c r="A22" s="235" t="n">
        <v>6</v>
      </c>
      <c r="B22" s="96" t="inlineStr">
        <is>
          <t>91.14.02-001</t>
        </is>
      </c>
      <c r="C22" s="234" t="inlineStr">
        <is>
          <t>Автомобили бортовые, грузоподъемность до 5 т</t>
        </is>
      </c>
      <c r="D22" s="235" t="inlineStr">
        <is>
          <t>маш.час</t>
        </is>
      </c>
      <c r="E22" s="267" t="n">
        <v>15.56</v>
      </c>
      <c r="F22" s="253" t="n">
        <v>65.70999999999999</v>
      </c>
      <c r="G22" s="102">
        <f>ROUND(E22*F22,2)</f>
        <v/>
      </c>
      <c r="H22" s="247">
        <f>G22/$G$29</f>
        <v/>
      </c>
      <c r="I22" s="102">
        <f>ROUND(F22*Прил.10!$D$11,2)</f>
        <v/>
      </c>
      <c r="J22" s="102">
        <f>ROUND(I22*E22,2)</f>
        <v/>
      </c>
    </row>
    <row r="23" ht="25.5" customFormat="1" customHeight="1" s="179">
      <c r="A23" s="235" t="n">
        <v>7</v>
      </c>
      <c r="B23" s="96" t="inlineStr">
        <is>
          <t>91.06.03-061</t>
        </is>
      </c>
      <c r="C23" s="234" t="inlineStr">
        <is>
          <t>Лебедки электрические тяговым усилием до 12,26 кН (1,25 т)</t>
        </is>
      </c>
      <c r="D23" s="235" t="inlineStr">
        <is>
          <t>маш.час</t>
        </is>
      </c>
      <c r="E23" s="267" t="n">
        <v>185.52</v>
      </c>
      <c r="F23" s="253" t="n">
        <v>3.28</v>
      </c>
      <c r="G23" s="102">
        <f>ROUND(E23*F23,2)</f>
        <v/>
      </c>
      <c r="H23" s="247">
        <f>G23/$G$29</f>
        <v/>
      </c>
      <c r="I23" s="102">
        <f>ROUND(F23*Прил.10!$D$11,2)</f>
        <v/>
      </c>
      <c r="J23" s="102">
        <f>ROUND(I23*E23,2)</f>
        <v/>
      </c>
    </row>
    <row r="24" ht="14.25" customFormat="1" customHeight="1" s="179">
      <c r="B24" s="235" t="n"/>
      <c r="C24" s="234" t="inlineStr">
        <is>
          <t>Итого основные машины и механизмы</t>
        </is>
      </c>
      <c r="D24" s="235" t="n"/>
      <c r="E24" s="268" t="n"/>
      <c r="F24" s="102" t="n"/>
      <c r="G24" s="102">
        <f>SUM(G21:G23)</f>
        <v/>
      </c>
      <c r="H24" s="247">
        <f>G24/G29</f>
        <v/>
      </c>
      <c r="I24" s="102" t="n"/>
      <c r="J24" s="102">
        <f>SUM(J21:J23)</f>
        <v/>
      </c>
    </row>
    <row r="25" outlineLevel="1" ht="25.5" customFormat="1" customHeight="1" s="179">
      <c r="A25" s="235" t="n">
        <v>8</v>
      </c>
      <c r="B25" s="96" t="inlineStr">
        <is>
          <t>91.06.01-003</t>
        </is>
      </c>
      <c r="C25" s="234" t="inlineStr">
        <is>
          <t>Домкраты гидравлические, грузоподъемность 63-100 т</t>
        </is>
      </c>
      <c r="D25" s="235" t="inlineStr">
        <is>
          <t>маш.час</t>
        </is>
      </c>
      <c r="E25" s="267" t="n">
        <v>185.52</v>
      </c>
      <c r="F25" s="253" t="n">
        <v>0.9</v>
      </c>
      <c r="G25" s="102">
        <f>ROUND(E25*F25,2)</f>
        <v/>
      </c>
      <c r="H25" s="247">
        <f>G25/$G$29</f>
        <v/>
      </c>
      <c r="I25" s="102">
        <f>ROUND(F25*Прил.10!$D$11,2)</f>
        <v/>
      </c>
      <c r="J25" s="102">
        <f>ROUND(I25*E25,2)</f>
        <v/>
      </c>
    </row>
    <row r="26" outlineLevel="1" ht="25.5" customFormat="1" customHeight="1" s="179">
      <c r="A26" s="235" t="n">
        <v>9</v>
      </c>
      <c r="B26" s="96" t="inlineStr">
        <is>
          <t>91.17.04-233</t>
        </is>
      </c>
      <c r="C26" s="234" t="inlineStr">
        <is>
          <t>Установки для сварки ручной дуговой (постоянного тока)</t>
        </is>
      </c>
      <c r="D26" s="235" t="inlineStr">
        <is>
          <t>маш.час</t>
        </is>
      </c>
      <c r="E26" s="267" t="n">
        <v>0.2</v>
      </c>
      <c r="F26" s="253" t="n">
        <v>8.1</v>
      </c>
      <c r="G26" s="102">
        <f>ROUND(E26*F26,2)</f>
        <v/>
      </c>
      <c r="H26" s="247">
        <f>G26/$G$29</f>
        <v/>
      </c>
      <c r="I26" s="102">
        <f>ROUND(F26*Прил.10!$D$11,2)</f>
        <v/>
      </c>
      <c r="J26" s="102">
        <f>ROUND(I26*E26,2)</f>
        <v/>
      </c>
    </row>
    <row r="27" outlineLevel="1" ht="14.25" customFormat="1" customHeight="1" s="179">
      <c r="A27" s="235" t="n">
        <v>10</v>
      </c>
      <c r="B27" s="96" t="inlineStr">
        <is>
          <t>91.21.19-031</t>
        </is>
      </c>
      <c r="C27" s="234" t="inlineStr">
        <is>
          <t>Станки сверлильные</t>
        </is>
      </c>
      <c r="D27" s="235" t="inlineStr">
        <is>
          <t>маш.час</t>
        </is>
      </c>
      <c r="E27" s="267" t="n">
        <v>0.46</v>
      </c>
      <c r="F27" s="253" t="n">
        <v>2.36</v>
      </c>
      <c r="G27" s="102">
        <f>ROUND(E27*F27,2)</f>
        <v/>
      </c>
      <c r="H27" s="247">
        <f>G27/$G$29</f>
        <v/>
      </c>
      <c r="I27" s="102">
        <f>ROUND(F27*Прил.10!$D$11,2)</f>
        <v/>
      </c>
      <c r="J27" s="102">
        <f>ROUND(I27*E27,2)</f>
        <v/>
      </c>
    </row>
    <row r="28" ht="14.25" customFormat="1" customHeight="1" s="179">
      <c r="A28" s="235" t="n"/>
      <c r="B28" s="235" t="n"/>
      <c r="C28" s="234" t="inlineStr">
        <is>
          <t>Итого прочие машины и механизмы</t>
        </is>
      </c>
      <c r="D28" s="235" t="n"/>
      <c r="E28" s="236" t="n"/>
      <c r="F28" s="102" t="n"/>
      <c r="G28" s="102">
        <f>SUM(G25:G27)</f>
        <v/>
      </c>
      <c r="H28" s="247">
        <f>G28/G29</f>
        <v/>
      </c>
      <c r="I28" s="102" t="n"/>
      <c r="J28" s="102">
        <f>SUM(J25:J27)</f>
        <v/>
      </c>
      <c r="K28" s="269" t="n"/>
    </row>
    <row r="29" ht="25.5" customFormat="1" customHeight="1" s="179">
      <c r="A29" s="235" t="n"/>
      <c r="B29" s="248" t="n"/>
      <c r="C29" s="239" t="inlineStr">
        <is>
          <t>Итого по разделу «Машины и механизмы»</t>
        </is>
      </c>
      <c r="D29" s="248" t="n"/>
      <c r="E29" s="59" t="n"/>
      <c r="F29" s="60" t="n"/>
      <c r="G29" s="60">
        <f>G24+G28</f>
        <v/>
      </c>
      <c r="H29" s="61" t="n">
        <v>1</v>
      </c>
      <c r="I29" s="60" t="n"/>
      <c r="J29" s="60">
        <f>J24+J28</f>
        <v/>
      </c>
      <c r="L29" s="154" t="n"/>
      <c r="M29" s="153" t="n"/>
    </row>
    <row r="30" s="182">
      <c r="A30" s="100" t="n"/>
      <c r="B30" s="239" t="inlineStr">
        <is>
          <t xml:space="preserve">Оборудование </t>
        </is>
      </c>
      <c r="C30" s="270" t="n"/>
      <c r="D30" s="270" t="n"/>
      <c r="E30" s="270" t="n"/>
      <c r="F30" s="270" t="n"/>
      <c r="G30" s="270" t="n"/>
      <c r="H30" s="270" t="n"/>
      <c r="I30" s="270" t="n"/>
      <c r="J30" s="271" t="n"/>
      <c r="K30" s="179" t="n"/>
      <c r="L30" s="179" t="n"/>
      <c r="M30" s="179" t="n"/>
      <c r="N30" s="179" t="n"/>
    </row>
    <row r="31" ht="15" customHeight="1" s="182">
      <c r="A31" s="235" t="n"/>
      <c r="B31" s="234" t="inlineStr">
        <is>
          <t>Основное оборудование</t>
        </is>
      </c>
      <c r="C31" s="259" t="n"/>
      <c r="D31" s="259" t="n"/>
      <c r="E31" s="259" t="n"/>
      <c r="F31" s="259" t="n"/>
      <c r="G31" s="259" t="n"/>
      <c r="H31" s="259" t="n"/>
      <c r="I31" s="259" t="n"/>
      <c r="J31" s="260" t="n"/>
      <c r="K31" s="179" t="n"/>
      <c r="L31" s="179" t="n"/>
      <c r="M31" s="179" t="n"/>
      <c r="N31" s="179" t="n"/>
    </row>
    <row r="32" ht="25.5" customHeight="1" s="182">
      <c r="A32" s="235" t="n">
        <v>11</v>
      </c>
      <c r="B32" s="96" t="inlineStr">
        <is>
          <t>Прайс из СД ОП</t>
        </is>
      </c>
      <c r="C32" s="234" t="inlineStr">
        <is>
          <t>Чувствительный элемент броня(180м) ЧЕБ-2</t>
        </is>
      </c>
      <c r="D32" s="235" t="inlineStr">
        <is>
          <t>шт</t>
        </is>
      </c>
      <c r="E32" s="267" t="n">
        <v>6</v>
      </c>
      <c r="F32" s="237">
        <f>ROUND(I32/Прил.10!$D$13,2)</f>
        <v/>
      </c>
      <c r="G32" s="102">
        <f>ROUND(E32*F32,2)</f>
        <v/>
      </c>
      <c r="H32" s="247">
        <f>G32/$G$42</f>
        <v/>
      </c>
      <c r="I32" s="102">
        <f>6.26*34762.12</f>
        <v/>
      </c>
      <c r="J32" s="102">
        <f>ROUND(I32*E32,2)</f>
        <v/>
      </c>
      <c r="K32" s="179" t="n"/>
      <c r="L32" s="179" t="n"/>
      <c r="N32" s="179" t="n"/>
    </row>
    <row r="33" s="182">
      <c r="A33" s="235" t="n">
        <v>12</v>
      </c>
      <c r="B33" s="96" t="inlineStr">
        <is>
          <t>61.3.05.04-0002</t>
        </is>
      </c>
      <c r="C33" s="234" t="inlineStr">
        <is>
          <t>Сервер HP ProLiant DL360</t>
        </is>
      </c>
      <c r="D33" s="235" t="inlineStr">
        <is>
          <t>компл</t>
        </is>
      </c>
      <c r="E33" s="267" t="n">
        <v>1</v>
      </c>
      <c r="F33" s="237" t="n">
        <v>167693</v>
      </c>
      <c r="G33" s="102">
        <f>ROUND(E33*F33,2)</f>
        <v/>
      </c>
      <c r="H33" s="247">
        <f>G33/$G$42</f>
        <v/>
      </c>
      <c r="I33" s="102">
        <f>ROUND(F33*Прил.10!$D$13,2)</f>
        <v/>
      </c>
      <c r="J33" s="102">
        <f>ROUND(I33*E33,2)</f>
        <v/>
      </c>
      <c r="K33" s="179" t="n"/>
      <c r="L33" s="179" t="n"/>
      <c r="N33" s="179" t="n"/>
    </row>
    <row r="34" ht="63.75" customHeight="1" s="182">
      <c r="A34" s="235" t="n">
        <v>13</v>
      </c>
      <c r="B34" s="96" t="inlineStr">
        <is>
          <t>62.1.02.10-0124</t>
        </is>
      </c>
      <c r="C34" s="234" t="inlineStr">
        <is>
      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      </is>
      </c>
      <c r="D34" s="235" t="inlineStr">
        <is>
          <t>компл</t>
        </is>
      </c>
      <c r="E34" s="267" t="n">
        <v>1</v>
      </c>
      <c r="F34" s="237" t="n">
        <v>123565.7</v>
      </c>
      <c r="G34" s="102">
        <f>ROUND(E34*F34,2)</f>
        <v/>
      </c>
      <c r="H34" s="247">
        <f>G34/$G$42</f>
        <v/>
      </c>
      <c r="I34" s="102">
        <f>ROUND(F34*Прил.10!$D$13,2)</f>
        <v/>
      </c>
      <c r="J34" s="102">
        <f>ROUND(I34*E34,2)</f>
        <v/>
      </c>
      <c r="K34" s="179" t="n"/>
      <c r="L34" s="179" t="n"/>
      <c r="N34" s="179" t="n"/>
    </row>
    <row r="35" s="182">
      <c r="A35" s="235" t="n">
        <v>14</v>
      </c>
      <c r="B35" s="96" t="inlineStr">
        <is>
          <t>61.3.01.02-0001</t>
        </is>
      </c>
      <c r="C35" s="234" t="inlineStr">
        <is>
          <t>Блок распознавания инцидентов VIP T</t>
        </is>
      </c>
      <c r="D35" s="235" t="inlineStr">
        <is>
          <t>шт</t>
        </is>
      </c>
      <c r="E35" s="267" t="n">
        <v>2</v>
      </c>
      <c r="F35" s="237" t="n">
        <v>45204.3</v>
      </c>
      <c r="G35" s="102">
        <f>ROUND(E35*F35,2)</f>
        <v/>
      </c>
      <c r="H35" s="247">
        <f>G35/$G$42</f>
        <v/>
      </c>
      <c r="I35" s="102">
        <f>ROUND(F35*Прил.10!$D$13,2)</f>
        <v/>
      </c>
      <c r="J35" s="102">
        <f>ROUND(I35*E35,2)</f>
        <v/>
      </c>
      <c r="K35" s="179" t="n"/>
      <c r="L35" s="179" t="n"/>
      <c r="N35" s="179" t="n"/>
    </row>
    <row r="36" s="182">
      <c r="A36" s="103" t="n"/>
      <c r="B36" s="235" t="n"/>
      <c r="C36" s="234" t="inlineStr">
        <is>
          <t>Итого основное оборудование</t>
        </is>
      </c>
      <c r="D36" s="235" t="n"/>
      <c r="E36" s="267" t="n"/>
      <c r="F36" s="237" t="n"/>
      <c r="G36" s="102">
        <f>SUM(G32:G35)</f>
        <v/>
      </c>
      <c r="H36" s="247">
        <f>G36/$G$42</f>
        <v/>
      </c>
      <c r="I36" s="102" t="n"/>
      <c r="J36" s="102">
        <f>SUM(J32:J35)</f>
        <v/>
      </c>
      <c r="K36" s="269" t="n"/>
      <c r="L36" s="179" t="n"/>
      <c r="M36" s="179" t="n"/>
      <c r="N36" s="179" t="n"/>
    </row>
    <row r="37" hidden="1" outlineLevel="1" ht="38.25" customHeight="1" s="182">
      <c r="A37" s="235" t="n">
        <v>15</v>
      </c>
      <c r="B37" s="235" t="inlineStr">
        <is>
          <t>61.2.07.02-0095</t>
        </is>
      </c>
      <c r="C37" s="234" t="inlineStr">
        <is>
          <t>Блок центральный системный, 2 канала оповещения, 4 зоны оповещения, 2 речевых процессора, марка "ЦСБ"</t>
        </is>
      </c>
      <c r="D37" s="235" t="inlineStr">
        <is>
          <t>шт</t>
        </is>
      </c>
      <c r="E37" s="267" t="n">
        <v>4</v>
      </c>
      <c r="F37" s="237" t="n">
        <v>10196.26</v>
      </c>
      <c r="G37" s="102">
        <f>ROUND(E37*F37,2)</f>
        <v/>
      </c>
      <c r="H37" s="247">
        <f>G37/$G$42</f>
        <v/>
      </c>
      <c r="I37" s="102">
        <f>ROUND(F37*Прил.10!$D$13,2)</f>
        <v/>
      </c>
      <c r="J37" s="102">
        <f>ROUND(I37*E37,2)</f>
        <v/>
      </c>
      <c r="K37" s="179" t="n"/>
      <c r="L37" s="179" t="n"/>
      <c r="M37" s="179" t="n"/>
      <c r="N37" s="179" t="n"/>
    </row>
    <row r="38" hidden="1" outlineLevel="1" ht="25.5" customHeight="1" s="182">
      <c r="A38" s="235" t="n">
        <v>16</v>
      </c>
      <c r="B38" s="235" t="inlineStr">
        <is>
          <t>61.2.07.05-0067</t>
        </is>
      </c>
      <c r="C38" s="234" t="inlineStr">
        <is>
          <t>Модуль центральный ECB с Ethernet интерфейсом</t>
        </is>
      </c>
      <c r="D38" s="235" t="inlineStr">
        <is>
          <t>шт</t>
        </is>
      </c>
      <c r="E38" s="267" t="n">
        <v>1</v>
      </c>
      <c r="F38" s="237" t="n">
        <v>37158.83</v>
      </c>
      <c r="G38" s="102">
        <f>ROUND(E38*F38,2)</f>
        <v/>
      </c>
      <c r="H38" s="247">
        <f>G38/$G$42</f>
        <v/>
      </c>
      <c r="I38" s="102">
        <f>ROUND(F38*Прил.10!$D$13,2)</f>
        <v/>
      </c>
      <c r="J38" s="102">
        <f>ROUND(I38*E38,2)</f>
        <v/>
      </c>
      <c r="K38" s="179" t="n"/>
      <c r="L38" s="179" t="n"/>
      <c r="M38" s="179" t="n"/>
      <c r="N38" s="179" t="n"/>
    </row>
    <row r="39" hidden="1" outlineLevel="1" ht="38.25" customHeight="1" s="182">
      <c r="A39" s="235" t="n">
        <v>17</v>
      </c>
      <c r="B39" s="235" t="inlineStr">
        <is>
          <t>61.2.01.03-0019</t>
        </is>
      </c>
      <c r="C39" s="234" t="inlineStr">
        <is>
          <t>Извещатель охранный инфракрасный пассивный: "Пирон-1", взрывозащитное исполнение</t>
        </is>
      </c>
      <c r="D39" s="235" t="inlineStr">
        <is>
          <t>шт</t>
        </is>
      </c>
      <c r="E39" s="267" t="n">
        <v>8</v>
      </c>
      <c r="F39" s="237" t="n">
        <v>2122.72</v>
      </c>
      <c r="G39" s="102">
        <f>ROUND(E39*F39,2)</f>
        <v/>
      </c>
      <c r="H39" s="247">
        <f>G39/$G$42</f>
        <v/>
      </c>
      <c r="I39" s="102">
        <f>ROUND(F39*Прил.10!$D$13,2)</f>
        <v/>
      </c>
      <c r="J39" s="102">
        <f>ROUND(I39*E39,2)</f>
        <v/>
      </c>
      <c r="K39" s="179" t="n"/>
      <c r="L39" s="179" t="n"/>
      <c r="M39" s="179" t="n"/>
      <c r="N39" s="179" t="n"/>
    </row>
    <row r="40" hidden="1" outlineLevel="1" ht="25.5" customHeight="1" s="182">
      <c r="A40" s="235" t="n">
        <v>18</v>
      </c>
      <c r="B40" s="235" t="inlineStr">
        <is>
          <t>61.3.04.01-0001</t>
        </is>
      </c>
      <c r="C40" s="234" t="inlineStr">
        <is>
          <t>Плата дочерняя IPO IP500 TRNK PRI UNVRSL DUAL</t>
        </is>
      </c>
      <c r="D40" s="235" t="inlineStr">
        <is>
          <t>шт</t>
        </is>
      </c>
      <c r="E40" s="267" t="n">
        <v>1</v>
      </c>
      <c r="F40" s="237" t="n">
        <v>4708.8</v>
      </c>
      <c r="G40" s="102">
        <f>ROUND(E40*F40,2)</f>
        <v/>
      </c>
      <c r="H40" s="247">
        <f>G40/$G$42</f>
        <v/>
      </c>
      <c r="I40" s="102">
        <f>ROUND(F40*Прил.10!$D$13,2)</f>
        <v/>
      </c>
      <c r="J40" s="102">
        <f>ROUND(I40*E40,2)</f>
        <v/>
      </c>
      <c r="K40" s="179" t="n"/>
      <c r="L40" s="179" t="n"/>
      <c r="M40" s="179" t="n"/>
      <c r="N40" s="179" t="n"/>
    </row>
    <row r="41" collapsed="1" s="182">
      <c r="A41" s="103" t="n"/>
      <c r="B41" s="235" t="n"/>
      <c r="C41" s="234" t="inlineStr">
        <is>
          <t>Итого прочее оборудование</t>
        </is>
      </c>
      <c r="D41" s="235" t="n"/>
      <c r="E41" s="236" t="n"/>
      <c r="F41" s="237" t="n"/>
      <c r="G41" s="102">
        <f>SUM(G37:G40)</f>
        <v/>
      </c>
      <c r="H41" s="247">
        <f>G41/$G$42</f>
        <v/>
      </c>
      <c r="I41" s="102" t="n"/>
      <c r="J41" s="102">
        <f>SUM(J37:J40)</f>
        <v/>
      </c>
      <c r="K41" s="269" t="n"/>
      <c r="L41" s="179" t="n"/>
      <c r="M41" s="179" t="n"/>
      <c r="N41" s="179" t="n"/>
    </row>
    <row r="42" s="182">
      <c r="A42" s="235" t="n"/>
      <c r="B42" s="235" t="n"/>
      <c r="C42" s="246" t="inlineStr">
        <is>
          <t>Итого по разделу «Оборудование»</t>
        </is>
      </c>
      <c r="D42" s="235" t="n"/>
      <c r="E42" s="236" t="n"/>
      <c r="F42" s="237" t="n"/>
      <c r="G42" s="102">
        <f>G36+G41</f>
        <v/>
      </c>
      <c r="H42" s="247">
        <f>(G36+G41)/G42</f>
        <v/>
      </c>
      <c r="I42" s="102" t="n"/>
      <c r="J42" s="102">
        <f>J41+J36</f>
        <v/>
      </c>
      <c r="K42" s="269" t="n"/>
      <c r="L42" s="154" t="n"/>
      <c r="M42" s="153" t="n"/>
      <c r="N42" s="179" t="n"/>
    </row>
    <row r="43" ht="25.5" customHeight="1" s="182">
      <c r="A43" s="235" t="n"/>
      <c r="B43" s="235" t="n"/>
      <c r="C43" s="234" t="inlineStr">
        <is>
          <t>в том числе технологическое оборудование</t>
        </is>
      </c>
      <c r="D43" s="235" t="n"/>
      <c r="E43" s="236" t="n"/>
      <c r="F43" s="237" t="n"/>
      <c r="G43" s="102">
        <f>'Прил.6 Расчет ОБ'!G22</f>
        <v/>
      </c>
      <c r="H43" s="247">
        <f>G43/$G$42</f>
        <v/>
      </c>
      <c r="I43" s="102" t="n"/>
      <c r="J43" s="102">
        <f>ROUND(G43*Прил.10!$D$13,2)</f>
        <v/>
      </c>
      <c r="K43" s="269" t="n"/>
      <c r="L43" s="179" t="n"/>
      <c r="M43" s="179" t="n"/>
      <c r="N43" s="179" t="n"/>
    </row>
    <row r="44" ht="14.25" customFormat="1" customHeight="1" s="179">
      <c r="A44" s="249" t="n"/>
      <c r="B44" s="272" t="inlineStr">
        <is>
          <t>Материалы</t>
        </is>
      </c>
      <c r="J44" s="273" t="n"/>
      <c r="K44" s="269" t="n"/>
    </row>
    <row r="45" ht="14.25" customFormat="1" customHeight="1" s="179">
      <c r="A45" s="235" t="n"/>
      <c r="B45" s="234" t="inlineStr">
        <is>
          <t>Основные материалы</t>
        </is>
      </c>
      <c r="C45" s="259" t="n"/>
      <c r="D45" s="259" t="n"/>
      <c r="E45" s="259" t="n"/>
      <c r="F45" s="259" t="n"/>
      <c r="G45" s="259" t="n"/>
      <c r="H45" s="260" t="n"/>
      <c r="I45" s="247" t="n"/>
      <c r="J45" s="247" t="n"/>
    </row>
    <row r="46" ht="25.5" customFormat="1" customHeight="1" s="179">
      <c r="A46" s="235" t="n">
        <v>19</v>
      </c>
      <c r="B46" s="96" t="inlineStr">
        <is>
          <t>21.1.06.09-0177</t>
        </is>
      </c>
      <c r="C46" s="234" t="inlineStr">
        <is>
          <t>Кабель силовой с медными жилами ВВГнг(A)-LS 5х4-660</t>
        </is>
      </c>
      <c r="D46" s="235" t="inlineStr">
        <is>
          <t>1000 м</t>
        </is>
      </c>
      <c r="E46" s="267" t="n">
        <v>4.2</v>
      </c>
      <c r="F46" s="253" t="n">
        <v>18047.85</v>
      </c>
      <c r="G46" s="102">
        <f>ROUND(E46*F46,2)</f>
        <v/>
      </c>
      <c r="H46" s="247">
        <f>G46/$G$77</f>
        <v/>
      </c>
      <c r="I46" s="102">
        <f>ROUND(F46*Прил.10!$D$12,2)</f>
        <v/>
      </c>
      <c r="J46" s="102">
        <f>ROUND(I46*E46,2)</f>
        <v/>
      </c>
    </row>
    <row r="47" ht="25.5" customFormat="1" customHeight="1" s="179">
      <c r="A47" s="235" t="n">
        <v>20</v>
      </c>
      <c r="B47" s="96" t="inlineStr">
        <is>
          <t>21.1.06.09-0152</t>
        </is>
      </c>
      <c r="C47" s="234" t="inlineStr">
        <is>
          <t>Кабель силовой с медными жилами ВВГнг(A)-LS 3х2,5-660</t>
        </is>
      </c>
      <c r="D47" s="235" t="inlineStr">
        <is>
          <t>1000 м</t>
        </is>
      </c>
      <c r="E47" s="267" t="n">
        <v>2.8</v>
      </c>
      <c r="F47" s="253" t="n">
        <v>6920.41</v>
      </c>
      <c r="G47" s="102">
        <f>ROUND(E47*F47,2)</f>
        <v/>
      </c>
      <c r="H47" s="247">
        <f>G47/$G$77</f>
        <v/>
      </c>
      <c r="I47" s="102">
        <f>ROUND(F47*Прил.10!$D$12,2)</f>
        <v/>
      </c>
      <c r="J47" s="102">
        <f>ROUND(I47*E47,2)</f>
        <v/>
      </c>
    </row>
    <row r="48" ht="38.25" customFormat="1" customHeight="1" s="179">
      <c r="A48" s="235" t="n">
        <v>21</v>
      </c>
      <c r="B48" s="96" t="inlineStr">
        <is>
          <t>24.3.03.05-0031</t>
        </is>
      </c>
      <c r="C48" s="234" t="inlineStr">
        <is>
          <t>Трубы полиэтиленовые гибкие гофрированные тяжелые с протяжкой, номинальный внутренний диаметр 16 мм</t>
        </is>
      </c>
      <c r="D48" s="235" t="inlineStr">
        <is>
          <t>м</t>
        </is>
      </c>
      <c r="E48" s="267" t="n">
        <v>2000</v>
      </c>
      <c r="F48" s="253" t="n">
        <v>3.89</v>
      </c>
      <c r="G48" s="102">
        <f>ROUND(E48*F48,2)</f>
        <v/>
      </c>
      <c r="H48" s="247">
        <f>G48/$G$77</f>
        <v/>
      </c>
      <c r="I48" s="102">
        <f>ROUND(F48*Прил.10!$D$12,2)</f>
        <v/>
      </c>
      <c r="J48" s="102">
        <f>ROUND(I48*E48,2)</f>
        <v/>
      </c>
    </row>
    <row r="49" ht="63.75" customFormat="1" customHeight="1" s="179">
      <c r="A49" s="235" t="n">
        <v>22</v>
      </c>
      <c r="B49" s="96" t="inlineStr">
        <is>
          <t>01.7.15.10-0056</t>
        </is>
      </c>
      <c r="C49" s="234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49" s="235" t="inlineStr">
        <is>
          <t>10 шт</t>
        </is>
      </c>
      <c r="E49" s="267" t="n">
        <v>256</v>
      </c>
      <c r="F49" s="253" t="n">
        <v>22.61</v>
      </c>
      <c r="G49" s="102">
        <f>ROUND(E49*F49,2)</f>
        <v/>
      </c>
      <c r="H49" s="247">
        <f>G49/$G$77</f>
        <v/>
      </c>
      <c r="I49" s="102">
        <f>ROUND(F49*Прил.10!$D$12,2)</f>
        <v/>
      </c>
      <c r="J49" s="102">
        <f>ROUND(I49*E49,2)</f>
        <v/>
      </c>
    </row>
    <row r="50" ht="38.25" customFormat="1" customHeight="1" s="179">
      <c r="A50" s="235" t="n">
        <v>23</v>
      </c>
      <c r="B50" s="96" t="inlineStr">
        <is>
          <t>24.3.03.05-0033</t>
        </is>
      </c>
      <c r="C50" s="234" t="inlineStr">
        <is>
          <t>Трубы полиэтиленовые гибкие гофрированные тяжелые с протяжкой, номинальный внутренний диаметр 25 мм</t>
        </is>
      </c>
      <c r="D50" s="235" t="inlineStr">
        <is>
          <t>м</t>
        </is>
      </c>
      <c r="E50" s="267" t="n">
        <v>600</v>
      </c>
      <c r="F50" s="253" t="n">
        <v>8.369999999999999</v>
      </c>
      <c r="G50" s="102">
        <f>ROUND(E50*F50,2)</f>
        <v/>
      </c>
      <c r="H50" s="247">
        <f>G50/$G$77</f>
        <v/>
      </c>
      <c r="I50" s="102">
        <f>ROUND(F50*Прил.10!$D$12,2)</f>
        <v/>
      </c>
      <c r="J50" s="102">
        <f>ROUND(I50*E50,2)</f>
        <v/>
      </c>
    </row>
    <row r="51" ht="14.25" customFormat="1" customHeight="1" s="179">
      <c r="B51" s="235" t="n"/>
      <c r="C51" s="234" t="inlineStr">
        <is>
          <t>Итого основные материалы</t>
        </is>
      </c>
      <c r="D51" s="235" t="n"/>
      <c r="E51" s="267" t="n"/>
      <c r="F51" s="237" t="n"/>
      <c r="G51" s="102">
        <f>SUM(G46:G50)</f>
        <v/>
      </c>
      <c r="H51" s="247">
        <f>G51/$G$77</f>
        <v/>
      </c>
      <c r="I51" s="102" t="n"/>
      <c r="J51" s="102">
        <f>SUM(J46:J50)</f>
        <v/>
      </c>
      <c r="K51" s="269" t="n"/>
    </row>
    <row r="52" hidden="1" outlineLevel="1" ht="51" customFormat="1" customHeight="1" s="179">
      <c r="A52" s="235" t="n">
        <v>24</v>
      </c>
      <c r="B52" s="89" t="inlineStr">
        <is>
          <t>23.3.06.02-0010</t>
        </is>
      </c>
      <c r="C52" s="234" t="inlineStr">
        <is>
          <t>Трубы стальные сварные оцинкованные водогазопроводные с резьбой, обыкновенные, номинальный диаметр 100 мм, толщина стенки 4,5 мм</t>
        </is>
      </c>
      <c r="D52" s="235" t="inlineStr">
        <is>
          <t>м</t>
        </is>
      </c>
      <c r="E52" s="267" t="n">
        <v>30.9228925</v>
      </c>
      <c r="F52" s="253" t="n">
        <v>156.98</v>
      </c>
      <c r="G52" s="102">
        <f>ROUND(F52*E52,2)</f>
        <v/>
      </c>
      <c r="H52" s="247">
        <f>G52/$G$77</f>
        <v/>
      </c>
      <c r="I52" s="102">
        <f>ROUND(F52*Прил.10!$D$12,2)</f>
        <v/>
      </c>
      <c r="J52" s="102">
        <f>ROUND(I52*E52,2)</f>
        <v/>
      </c>
    </row>
    <row r="53" hidden="1" outlineLevel="1" ht="25.5" customFormat="1" customHeight="1" s="179">
      <c r="A53" s="235" t="n">
        <v>25</v>
      </c>
      <c r="B53" s="96" t="inlineStr">
        <is>
          <t>21.1.06.09-0145</t>
        </is>
      </c>
      <c r="C53" s="234" t="inlineStr">
        <is>
          <t>Кабель силовой с медными жилами ВВГнг-LS 2х1,5-660</t>
        </is>
      </c>
      <c r="D53" s="235" t="inlineStr">
        <is>
          <t>1000 м</t>
        </is>
      </c>
      <c r="E53" s="267" t="n">
        <v>0.73</v>
      </c>
      <c r="F53" s="253" t="n">
        <v>3708.36</v>
      </c>
      <c r="G53" s="102">
        <f>ROUND(F53*E53,2)</f>
        <v/>
      </c>
      <c r="H53" s="247">
        <f>G53/$G$77</f>
        <v/>
      </c>
      <c r="I53" s="102">
        <f>ROUND(F53*Прил.10!$D$12,2)</f>
        <v/>
      </c>
      <c r="J53" s="102">
        <f>ROUND(I53*E53,2)</f>
        <v/>
      </c>
    </row>
    <row r="54" hidden="1" outlineLevel="1" ht="25.5" customFormat="1" customHeight="1" s="179">
      <c r="A54" s="235" t="n">
        <v>26</v>
      </c>
      <c r="B54" s="96" t="inlineStr">
        <is>
          <t>10.3.02.03-0011</t>
        </is>
      </c>
      <c r="C54" s="234" t="inlineStr">
        <is>
          <t>Припои оловянно-свинцовые бессурьмянистые, марка ПОС30</t>
        </is>
      </c>
      <c r="D54" s="235" t="inlineStr">
        <is>
          <t>т</t>
        </is>
      </c>
      <c r="E54" s="267" t="n">
        <v>0.03865</v>
      </c>
      <c r="F54" s="253" t="n">
        <v>68050</v>
      </c>
      <c r="G54" s="102">
        <f>ROUND(F54*E54,2)</f>
        <v/>
      </c>
      <c r="H54" s="247">
        <f>G54/$G$77</f>
        <v/>
      </c>
      <c r="I54" s="102">
        <f>ROUND(F54*Прил.10!$D$12,2)</f>
        <v/>
      </c>
      <c r="J54" s="102">
        <f>ROUND(I54*E54,2)</f>
        <v/>
      </c>
    </row>
    <row r="55" hidden="1" outlineLevel="1" ht="25.5" customFormat="1" customHeight="1" s="179">
      <c r="A55" s="235" t="n">
        <v>27</v>
      </c>
      <c r="B55" s="96" t="inlineStr">
        <is>
          <t>20.2.09.08-0012</t>
        </is>
      </c>
      <c r="C55" s="234" t="inlineStr">
        <is>
          <t>Муфта кабельная концевая термоусаживаемая: ЕРКТ0031-L12-СЕЕ01</t>
        </is>
      </c>
      <c r="D55" s="235" t="inlineStr">
        <is>
          <t>компл</t>
        </is>
      </c>
      <c r="E55" s="267" t="n">
        <v>2</v>
      </c>
      <c r="F55" s="253" t="n">
        <v>1249.83</v>
      </c>
      <c r="G55" s="102">
        <f>ROUND(F55*E55,2)</f>
        <v/>
      </c>
      <c r="H55" s="247">
        <f>G55/$G$77</f>
        <v/>
      </c>
      <c r="I55" s="102">
        <f>ROUND(F55*Прил.10!$D$12,2)</f>
        <v/>
      </c>
      <c r="J55" s="102">
        <f>ROUND(I55*E55,2)</f>
        <v/>
      </c>
    </row>
    <row r="56" hidden="1" outlineLevel="1" ht="25.5" customFormat="1" customHeight="1" s="179">
      <c r="A56" s="235" t="n">
        <v>28</v>
      </c>
      <c r="B56" s="96" t="inlineStr">
        <is>
          <t>21.1.04.01-1006</t>
        </is>
      </c>
      <c r="C56" s="234" t="inlineStr">
        <is>
          <t>Кабель витая пара, категория 5e, ЭКС-ГВПВЭ 4х2х0,51</t>
        </is>
      </c>
      <c r="D56" s="235" t="inlineStr">
        <is>
          <t>1000 м</t>
        </is>
      </c>
      <c r="E56" s="267" t="n">
        <v>0.8</v>
      </c>
      <c r="F56" s="253" t="n">
        <v>2719.53</v>
      </c>
      <c r="G56" s="102">
        <f>ROUND(F56*E56,2)</f>
        <v/>
      </c>
      <c r="H56" s="247">
        <f>G56/$G$77</f>
        <v/>
      </c>
      <c r="I56" s="102">
        <f>ROUND(F56*Прил.10!$D$12,2)</f>
        <v/>
      </c>
      <c r="J56" s="102">
        <f>ROUND(I56*E56,2)</f>
        <v/>
      </c>
    </row>
    <row r="57" hidden="1" outlineLevel="1" ht="14.25" customFormat="1" customHeight="1" s="179">
      <c r="A57" s="235" t="n">
        <v>29</v>
      </c>
      <c r="B57" s="96" t="inlineStr">
        <is>
          <t>20.2.09.12-0051</t>
        </is>
      </c>
      <c r="C57" s="234" t="inlineStr">
        <is>
          <t>Муфта свинцовая МС-80П</t>
        </is>
      </c>
      <c r="D57" s="235" t="inlineStr">
        <is>
          <t>шт</t>
        </is>
      </c>
      <c r="E57" s="267" t="n">
        <v>2</v>
      </c>
      <c r="F57" s="253" t="n">
        <v>873.46</v>
      </c>
      <c r="G57" s="102">
        <f>ROUND(F57*E57,2)</f>
        <v/>
      </c>
      <c r="H57" s="247">
        <f>G57/$G$77</f>
        <v/>
      </c>
      <c r="I57" s="102">
        <f>ROUND(F57*Прил.10!$D$12,2)</f>
        <v/>
      </c>
      <c r="J57" s="102">
        <f>ROUND(I57*E57,2)</f>
        <v/>
      </c>
    </row>
    <row r="58" hidden="1" outlineLevel="1" ht="25.5" customFormat="1" customHeight="1" s="179">
      <c r="A58" s="235" t="n">
        <v>30</v>
      </c>
      <c r="B58" s="96" t="inlineStr">
        <is>
          <t>01.7.15.07-0012</t>
        </is>
      </c>
      <c r="C58" s="234" t="inlineStr">
        <is>
          <t>Дюбели пластмассовые с шурупами, размер 12х70 мм</t>
        </is>
      </c>
      <c r="D58" s="235" t="inlineStr">
        <is>
          <t>100 шт</t>
        </is>
      </c>
      <c r="E58" s="267" t="n">
        <v>13.18</v>
      </c>
      <c r="F58" s="253" t="n">
        <v>83</v>
      </c>
      <c r="G58" s="102">
        <f>ROUND(F58*E58,2)</f>
        <v/>
      </c>
      <c r="H58" s="247">
        <f>G58/$G$77</f>
        <v/>
      </c>
      <c r="I58" s="102">
        <f>ROUND(F58*Прил.10!$D$12,2)</f>
        <v/>
      </c>
      <c r="J58" s="102">
        <f>ROUND(I58*E58,2)</f>
        <v/>
      </c>
    </row>
    <row r="59" hidden="1" outlineLevel="1" ht="14.25" customFormat="1" customHeight="1" s="179">
      <c r="A59" s="235" t="n">
        <v>31</v>
      </c>
      <c r="B59" s="96" t="inlineStr">
        <is>
          <t>14.1.04.02-0002</t>
        </is>
      </c>
      <c r="C59" s="234" t="inlineStr">
        <is>
          <t>Клей 88-СА</t>
        </is>
      </c>
      <c r="D59" s="235" t="inlineStr">
        <is>
          <t>кг</t>
        </is>
      </c>
      <c r="E59" s="267" t="n">
        <v>10.752</v>
      </c>
      <c r="F59" s="253" t="n">
        <v>28.93</v>
      </c>
      <c r="G59" s="102">
        <f>ROUND(F59*E59,2)</f>
        <v/>
      </c>
      <c r="H59" s="247">
        <f>G59/$G$77</f>
        <v/>
      </c>
      <c r="I59" s="102">
        <f>ROUND(F59*Прил.10!$D$12,2)</f>
        <v/>
      </c>
      <c r="J59" s="102">
        <f>ROUND(I59*E59,2)</f>
        <v/>
      </c>
    </row>
    <row r="60" hidden="1" outlineLevel="1" ht="25.5" customFormat="1" customHeight="1" s="179">
      <c r="A60" s="235" t="n">
        <v>32</v>
      </c>
      <c r="B60" s="96" t="inlineStr">
        <is>
          <t>999-9950</t>
        </is>
      </c>
      <c r="C60" s="234" t="inlineStr">
        <is>
          <t>Вспомогательные ненормируемые ресурсы (2% от Оплаты труда рабочих)</t>
        </is>
      </c>
      <c r="D60" s="235" t="inlineStr">
        <is>
          <t>руб</t>
        </is>
      </c>
      <c r="E60" s="267" t="n">
        <v>229.841</v>
      </c>
      <c r="F60" s="253" t="n">
        <v>1</v>
      </c>
      <c r="G60" s="102">
        <f>ROUND(F60*E60,2)</f>
        <v/>
      </c>
      <c r="H60" s="247">
        <f>G60/$G$77</f>
        <v/>
      </c>
      <c r="I60" s="102">
        <f>ROUND(F60*Прил.10!$D$12,2)</f>
        <v/>
      </c>
      <c r="J60" s="102">
        <f>ROUND(I60*E60,2)</f>
        <v/>
      </c>
    </row>
    <row r="61" hidden="1" outlineLevel="1" ht="14.25" customFormat="1" customHeight="1" s="179">
      <c r="A61" s="235" t="n">
        <v>33</v>
      </c>
      <c r="B61" s="96" t="inlineStr">
        <is>
          <t>01.7.06.07-0002</t>
        </is>
      </c>
      <c r="C61" s="234" t="inlineStr">
        <is>
          <t>Лента монтажная, тип ЛМ-5</t>
        </is>
      </c>
      <c r="D61" s="235" t="inlineStr">
        <is>
          <t>10 м</t>
        </is>
      </c>
      <c r="E61" s="267" t="n">
        <v>7.4208</v>
      </c>
      <c r="F61" s="253" t="n">
        <v>6.9</v>
      </c>
      <c r="G61" s="102">
        <f>ROUND(F61*E61,2)</f>
        <v/>
      </c>
      <c r="H61" s="247">
        <f>G61/$G$77</f>
        <v/>
      </c>
      <c r="I61" s="102">
        <f>ROUND(F61*Прил.10!$D$12,2)</f>
        <v/>
      </c>
      <c r="J61" s="102">
        <f>ROUND(I61*E61,2)</f>
        <v/>
      </c>
    </row>
    <row r="62" hidden="1" outlineLevel="1" ht="25.5" customFormat="1" customHeight="1" s="179">
      <c r="A62" s="235" t="n">
        <v>34</v>
      </c>
      <c r="B62" s="96" t="inlineStr">
        <is>
          <t>24.3.01.01-0004</t>
        </is>
      </c>
      <c r="C62" s="234" t="inlineStr">
        <is>
          <t>Трубка электроизоляционная ПВХ-305, диаметр 6-10 мм</t>
        </is>
      </c>
      <c r="D62" s="235" t="inlineStr">
        <is>
          <t>кг</t>
        </is>
      </c>
      <c r="E62" s="267" t="n">
        <v>1.28</v>
      </c>
      <c r="F62" s="253" t="n">
        <v>38.34</v>
      </c>
      <c r="G62" s="102">
        <f>ROUND(F62*E62,2)</f>
        <v/>
      </c>
      <c r="H62" s="247">
        <f>G62/$G$77</f>
        <v/>
      </c>
      <c r="I62" s="102">
        <f>ROUND(F62*Прил.10!$D$12,2)</f>
        <v/>
      </c>
      <c r="J62" s="102">
        <f>ROUND(I62*E62,2)</f>
        <v/>
      </c>
    </row>
    <row r="63" hidden="1" outlineLevel="1" ht="51" customFormat="1" customHeight="1" s="179">
      <c r="A63" s="235" t="n">
        <v>35</v>
      </c>
      <c r="B63" s="96" t="inlineStr">
        <is>
          <t>08.3.06.01-0003</t>
        </is>
      </c>
      <c r="C63" s="23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63" s="235" t="inlineStr">
        <is>
          <t>т</t>
        </is>
      </c>
      <c r="E63" s="267" t="n">
        <v>0.007</v>
      </c>
      <c r="F63" s="253" t="n">
        <v>6834.81</v>
      </c>
      <c r="G63" s="102">
        <f>ROUND(F63*E63,2)</f>
        <v/>
      </c>
      <c r="H63" s="247">
        <f>G63/$G$77</f>
        <v/>
      </c>
      <c r="I63" s="102">
        <f>ROUND(F63*Прил.10!$D$12,2)</f>
        <v/>
      </c>
      <c r="J63" s="102">
        <f>ROUND(I63*E63,2)</f>
        <v/>
      </c>
    </row>
    <row r="64" hidden="1" outlineLevel="1" ht="14.25" customFormat="1" customHeight="1" s="179">
      <c r="A64" s="235" t="n">
        <v>36</v>
      </c>
      <c r="B64" s="96" t="inlineStr">
        <is>
          <t>07.2.07.13-0171</t>
        </is>
      </c>
      <c r="C64" s="234" t="inlineStr">
        <is>
          <t>Подкладки металлические</t>
        </is>
      </c>
      <c r="D64" s="235" t="inlineStr">
        <is>
          <t>кг</t>
        </is>
      </c>
      <c r="E64" s="267" t="n">
        <v>3</v>
      </c>
      <c r="F64" s="253" t="n">
        <v>12.6</v>
      </c>
      <c r="G64" s="102">
        <f>ROUND(F64*E64,2)</f>
        <v/>
      </c>
      <c r="H64" s="247">
        <f>G64/$G$77</f>
        <v/>
      </c>
      <c r="I64" s="102">
        <f>ROUND(F64*Прил.10!$D$12,2)</f>
        <v/>
      </c>
      <c r="J64" s="102">
        <f>ROUND(I64*E64,2)</f>
        <v/>
      </c>
    </row>
    <row r="65" hidden="1" outlineLevel="1" ht="14.25" customFormat="1" customHeight="1" s="179">
      <c r="A65" s="235" t="n">
        <v>37</v>
      </c>
      <c r="B65" s="96" t="inlineStr">
        <is>
          <t>14.4.03.03-0002</t>
        </is>
      </c>
      <c r="C65" s="234" t="inlineStr">
        <is>
          <t>Лак битумный БТ-123</t>
        </is>
      </c>
      <c r="D65" s="235" t="inlineStr">
        <is>
          <t>т</t>
        </is>
      </c>
      <c r="E65" s="267" t="n">
        <v>0.004638</v>
      </c>
      <c r="F65" s="253" t="n">
        <v>7826.9</v>
      </c>
      <c r="G65" s="102">
        <f>ROUND(F65*E65,2)</f>
        <v/>
      </c>
      <c r="H65" s="247">
        <f>G65/$G$77</f>
        <v/>
      </c>
      <c r="I65" s="102">
        <f>ROUND(F65*Прил.10!$D$12,2)</f>
        <v/>
      </c>
      <c r="J65" s="102">
        <f>ROUND(I65*E65,2)</f>
        <v/>
      </c>
    </row>
    <row r="66" hidden="1" outlineLevel="1" ht="25.5" customFormat="1" customHeight="1" s="179">
      <c r="A66" s="235" t="n">
        <v>38</v>
      </c>
      <c r="B66" s="96" t="inlineStr">
        <is>
          <t>10.3.02.03-0012</t>
        </is>
      </c>
      <c r="C66" s="234" t="inlineStr">
        <is>
          <t>Припои оловянно-свинцовые бессурьмянистые, марка ПОС40</t>
        </is>
      </c>
      <c r="D66" s="235" t="inlineStr">
        <is>
          <t>т</t>
        </is>
      </c>
      <c r="E66" s="267" t="n">
        <v>0.0002</v>
      </c>
      <c r="F66" s="253" t="n">
        <v>65750</v>
      </c>
      <c r="G66" s="102">
        <f>ROUND(F66*E66,2)</f>
        <v/>
      </c>
      <c r="H66" s="247">
        <f>G66/$G$77</f>
        <v/>
      </c>
      <c r="I66" s="102">
        <f>ROUND(F66*Прил.10!$D$12,2)</f>
        <v/>
      </c>
      <c r="J66" s="102">
        <f>ROUND(I66*E66,2)</f>
        <v/>
      </c>
    </row>
    <row r="67" hidden="1" outlineLevel="1" ht="25.5" customFormat="1" customHeight="1" s="179">
      <c r="A67" s="235" t="n">
        <v>39</v>
      </c>
      <c r="B67" s="96" t="inlineStr">
        <is>
          <t>01.7.15.03-0034</t>
        </is>
      </c>
      <c r="C67" s="234" t="inlineStr">
        <is>
          <t>Болты с гайками и шайбами оцинкованные, диаметр 12 мм</t>
        </is>
      </c>
      <c r="D67" s="235" t="inlineStr">
        <is>
          <t>кг</t>
        </is>
      </c>
      <c r="E67" s="267" t="n">
        <v>0.2378</v>
      </c>
      <c r="F67" s="253" t="n">
        <v>25.76</v>
      </c>
      <c r="G67" s="102">
        <f>ROUND(F67*E67,2)</f>
        <v/>
      </c>
      <c r="H67" s="247">
        <f>G67/$G$77</f>
        <v/>
      </c>
      <c r="I67" s="102">
        <f>ROUND(F67*Прил.10!$D$12,2)</f>
        <v/>
      </c>
      <c r="J67" s="102">
        <f>ROUND(I67*E67,2)</f>
        <v/>
      </c>
    </row>
    <row r="68" hidden="1" outlineLevel="1" ht="14.25" customFormat="1" customHeight="1" s="179">
      <c r="A68" s="235" t="n">
        <v>40</v>
      </c>
      <c r="B68" s="96" t="inlineStr">
        <is>
          <t>03.1.01.01-0002</t>
        </is>
      </c>
      <c r="C68" s="234" t="inlineStr">
        <is>
          <t>Гипс строительный Г-3</t>
        </is>
      </c>
      <c r="D68" s="235" t="inlineStr">
        <is>
          <t>т</t>
        </is>
      </c>
      <c r="E68" s="267" t="n">
        <v>0.0066</v>
      </c>
      <c r="F68" s="253" t="n">
        <v>729.98</v>
      </c>
      <c r="G68" s="102">
        <f>ROUND(F68*E68,2)</f>
        <v/>
      </c>
      <c r="H68" s="247">
        <f>G68/$G$77</f>
        <v/>
      </c>
      <c r="I68" s="102">
        <f>ROUND(F68*Прил.10!$D$12,2)</f>
        <v/>
      </c>
      <c r="J68" s="102">
        <f>ROUND(I68*E68,2)</f>
        <v/>
      </c>
    </row>
    <row r="69" hidden="1" outlineLevel="1" ht="14.25" customFormat="1" customHeight="1" s="179">
      <c r="A69" s="235" t="n">
        <v>41</v>
      </c>
      <c r="B69" s="96" t="inlineStr">
        <is>
          <t>25.2.02.11-0041</t>
        </is>
      </c>
      <c r="C69" s="234" t="inlineStr">
        <is>
          <t>Рамка для надписей 55х15 мм</t>
        </is>
      </c>
      <c r="D69" s="235" t="inlineStr">
        <is>
          <t>шт</t>
        </is>
      </c>
      <c r="E69" s="267" t="n">
        <v>10</v>
      </c>
      <c r="F69" s="253" t="n">
        <v>0.27</v>
      </c>
      <c r="G69" s="102">
        <f>ROUND(F69*E69,2)</f>
        <v/>
      </c>
      <c r="H69" s="247">
        <f>G69/$G$77</f>
        <v/>
      </c>
      <c r="I69" s="102">
        <f>ROUND(F69*Прил.10!$D$12,2)</f>
        <v/>
      </c>
      <c r="J69" s="102">
        <f>ROUND(I69*E69,2)</f>
        <v/>
      </c>
    </row>
    <row r="70" hidden="1" outlineLevel="1" ht="14.25" customFormat="1" customHeight="1" s="179">
      <c r="A70" s="235" t="n">
        <v>42</v>
      </c>
      <c r="B70" s="96" t="inlineStr">
        <is>
          <t>01.7.11.07-0032</t>
        </is>
      </c>
      <c r="C70" s="234" t="inlineStr">
        <is>
          <t>Электроды сварочные Э42, диаметр 4 мм</t>
        </is>
      </c>
      <c r="D70" s="235" t="inlineStr">
        <is>
          <t>т</t>
        </is>
      </c>
      <c r="E70" s="267" t="n">
        <v>0.00012</v>
      </c>
      <c r="F70" s="253" t="n">
        <v>10315.01</v>
      </c>
      <c r="G70" s="102">
        <f>ROUND(F70*E70,2)</f>
        <v/>
      </c>
      <c r="H70" s="247">
        <f>G70/$G$77</f>
        <v/>
      </c>
      <c r="I70" s="102">
        <f>ROUND(F70*Прил.10!$D$12,2)</f>
        <v/>
      </c>
      <c r="J70" s="102">
        <f>ROUND(I70*E70,2)</f>
        <v/>
      </c>
    </row>
    <row r="71" hidden="1" outlineLevel="1" ht="14.25" customFormat="1" customHeight="1" s="179">
      <c r="A71" s="235" t="n">
        <v>43</v>
      </c>
      <c r="B71" s="96" t="inlineStr">
        <is>
          <t>14.4.04.09-0017</t>
        </is>
      </c>
      <c r="C71" s="234" t="inlineStr">
        <is>
          <t>Эмаль ХВ-124, защитная, зеленая</t>
        </is>
      </c>
      <c r="D71" s="235" t="inlineStr">
        <is>
          <t>т</t>
        </is>
      </c>
      <c r="E71" s="267" t="n">
        <v>2e-05</v>
      </c>
      <c r="F71" s="253" t="n">
        <v>28300.4</v>
      </c>
      <c r="G71" s="102">
        <f>ROUND(F71*E71,2)</f>
        <v/>
      </c>
      <c r="H71" s="247">
        <f>G71/$G$77</f>
        <v/>
      </c>
      <c r="I71" s="102">
        <f>ROUND(F71*Прил.10!$D$12,2)</f>
        <v/>
      </c>
      <c r="J71" s="102">
        <f>ROUND(I71*E71,2)</f>
        <v/>
      </c>
    </row>
    <row r="72" hidden="1" outlineLevel="1" ht="14.25" customFormat="1" customHeight="1" s="179">
      <c r="A72" s="235" t="n">
        <v>44</v>
      </c>
      <c r="B72" s="96" t="inlineStr">
        <is>
          <t>01.3.05.17-0002</t>
        </is>
      </c>
      <c r="C72" s="234" t="inlineStr">
        <is>
          <t>Канифоль сосновая</t>
        </is>
      </c>
      <c r="D72" s="235" t="inlineStr">
        <is>
          <t>кг</t>
        </is>
      </c>
      <c r="E72" s="267" t="n">
        <v>0.016</v>
      </c>
      <c r="F72" s="253" t="n">
        <v>27.74</v>
      </c>
      <c r="G72" s="102">
        <f>ROUND(F72*E72,2)</f>
        <v/>
      </c>
      <c r="H72" s="247">
        <f>G72/$G$77</f>
        <v/>
      </c>
      <c r="I72" s="102">
        <f>ROUND(F72*Прил.10!$D$12,2)</f>
        <v/>
      </c>
      <c r="J72" s="102">
        <f>ROUND(I72*E72,2)</f>
        <v/>
      </c>
    </row>
    <row r="73" hidden="1" outlineLevel="1" ht="14.25" customFormat="1" customHeight="1" s="179">
      <c r="A73" s="235" t="n">
        <v>45</v>
      </c>
      <c r="B73" s="96" t="inlineStr">
        <is>
          <t>14.4.01.01-0003</t>
        </is>
      </c>
      <c r="C73" s="234" t="inlineStr">
        <is>
          <t>Грунтовка ГФ-021</t>
        </is>
      </c>
      <c r="D73" s="235" t="inlineStr">
        <is>
          <t>т</t>
        </is>
      </c>
      <c r="E73" s="267" t="n">
        <v>1e-05</v>
      </c>
      <c r="F73" s="253" t="n">
        <v>15620</v>
      </c>
      <c r="G73" s="102">
        <f>ROUND(F73*E73,2)</f>
        <v/>
      </c>
      <c r="H73" s="247">
        <f>G73/$G$77</f>
        <v/>
      </c>
      <c r="I73" s="102">
        <f>ROUND(F73*Прил.10!$D$12,2)</f>
        <v/>
      </c>
      <c r="J73" s="102">
        <f>ROUND(I73*E73,2)</f>
        <v/>
      </c>
    </row>
    <row r="74" hidden="1" outlineLevel="1" ht="14.25" customFormat="1" customHeight="1" s="179">
      <c r="A74" s="235" t="n">
        <v>46</v>
      </c>
      <c r="B74" s="96" t="inlineStr">
        <is>
          <t>14.5.09.07-0030</t>
        </is>
      </c>
      <c r="C74" s="234" t="inlineStr">
        <is>
          <t>Растворитель Р-4</t>
        </is>
      </c>
      <c r="D74" s="235" t="inlineStr">
        <is>
          <t>кг</t>
        </is>
      </c>
      <c r="E74" s="267" t="n">
        <v>0.01</v>
      </c>
      <c r="F74" s="253" t="n">
        <v>9.42</v>
      </c>
      <c r="G74" s="102">
        <f>ROUND(F74*E74,2)</f>
        <v/>
      </c>
      <c r="H74" s="247">
        <f>G74/$G$77</f>
        <v/>
      </c>
      <c r="I74" s="102">
        <f>ROUND(F74*Прил.10!$D$12,2)</f>
        <v/>
      </c>
      <c r="J74" s="102">
        <f>ROUND(I74*E74,2)</f>
        <v/>
      </c>
    </row>
    <row r="75" hidden="1" outlineLevel="1" ht="14.25" customFormat="1" customHeight="1" s="179">
      <c r="A75" s="235" t="n">
        <v>47</v>
      </c>
      <c r="B75" s="96" t="inlineStr">
        <is>
          <t>14.5.09.11-0102</t>
        </is>
      </c>
      <c r="C75" s="234" t="inlineStr">
        <is>
          <t>Уайт-спирит</t>
        </is>
      </c>
      <c r="D75" s="235" t="inlineStr">
        <is>
          <t>кг</t>
        </is>
      </c>
      <c r="E75" s="267" t="n">
        <v>0.01</v>
      </c>
      <c r="F75" s="253" t="n">
        <v>6.67</v>
      </c>
      <c r="G75" s="102">
        <f>ROUND(F75*E75,2)</f>
        <v/>
      </c>
      <c r="H75" s="247">
        <f>G75/$G$77</f>
        <v/>
      </c>
      <c r="I75" s="102">
        <f>ROUND(F75*Прил.10!$D$12,2)</f>
        <v/>
      </c>
      <c r="J75" s="102">
        <f>ROUND(I75*E75,2)</f>
        <v/>
      </c>
    </row>
    <row r="76" collapsed="1" ht="14.25" customFormat="1" customHeight="1" s="179">
      <c r="A76" s="235" t="n"/>
      <c r="B76" s="235" t="n"/>
      <c r="C76" s="234" t="inlineStr">
        <is>
          <t>Итого прочие материалы</t>
        </is>
      </c>
      <c r="D76" s="235" t="n"/>
      <c r="E76" s="236" t="n"/>
      <c r="F76" s="237" t="n"/>
      <c r="G76" s="102">
        <f>SUM(G52:G75)</f>
        <v/>
      </c>
      <c r="H76" s="247">
        <f>G76/G77</f>
        <v/>
      </c>
      <c r="I76" s="102" t="n"/>
      <c r="J76" s="102">
        <f>SUM(J52:J75)</f>
        <v/>
      </c>
    </row>
    <row r="77" customFormat="1" s="179">
      <c r="A77" s="235" t="n"/>
      <c r="B77" s="235" t="n"/>
      <c r="C77" s="246" t="inlineStr">
        <is>
          <t>Итого по разделу «Материалы»</t>
        </is>
      </c>
      <c r="D77" s="235" t="n"/>
      <c r="E77" s="236" t="n"/>
      <c r="F77" s="237" t="n"/>
      <c r="G77" s="102">
        <f>G51+G76</f>
        <v/>
      </c>
      <c r="H77" s="247" t="n">
        <v>1</v>
      </c>
      <c r="I77" s="237" t="n"/>
      <c r="J77" s="102">
        <f>J51+J76</f>
        <v/>
      </c>
      <c r="K77" s="269" t="n"/>
      <c r="L77" s="154" t="n"/>
      <c r="M77" s="153" t="n"/>
    </row>
    <row r="78" ht="14.25" customFormat="1" customHeight="1" s="179">
      <c r="A78" s="235" t="n"/>
      <c r="B78" s="235" t="n"/>
      <c r="C78" s="234" t="inlineStr">
        <is>
          <t>ИТОГО ПО РМ</t>
        </is>
      </c>
      <c r="D78" s="235" t="n"/>
      <c r="E78" s="236" t="n"/>
      <c r="F78" s="237" t="n"/>
      <c r="G78" s="102">
        <f>G16+G29+G77</f>
        <v/>
      </c>
      <c r="H78" s="247" t="n"/>
      <c r="I78" s="237" t="n"/>
      <c r="J78" s="102">
        <f>J16+J29+J77</f>
        <v/>
      </c>
    </row>
    <row r="79" ht="14.25" customFormat="1" customHeight="1" s="179">
      <c r="A79" s="235" t="n"/>
      <c r="B79" s="235" t="n"/>
      <c r="C79" s="234" t="inlineStr">
        <is>
          <t>Накладные расходы</t>
        </is>
      </c>
      <c r="D79" s="235" t="inlineStr">
        <is>
          <t>%</t>
        </is>
      </c>
      <c r="E79" s="67">
        <f>ROUND(G79/(G16+G18),2)</f>
        <v/>
      </c>
      <c r="F79" s="237" t="n"/>
      <c r="G79" s="102" t="n">
        <v>11207.74</v>
      </c>
      <c r="H79" s="247" t="n"/>
      <c r="I79" s="237" t="n"/>
      <c r="J79" s="102">
        <f>ROUND(E79*(J16+J18),2)</f>
        <v/>
      </c>
      <c r="K79" s="68" t="n"/>
    </row>
    <row r="80" ht="14.25" customFormat="1" customHeight="1" s="179">
      <c r="A80" s="235" t="n"/>
      <c r="B80" s="235" t="n"/>
      <c r="C80" s="234" t="inlineStr">
        <is>
          <t>Сметная прибыль</t>
        </is>
      </c>
      <c r="D80" s="235" t="inlineStr">
        <is>
          <t>%</t>
        </is>
      </c>
      <c r="E80" s="67">
        <f>ROUND(G80/(G16+G18),2)</f>
        <v/>
      </c>
      <c r="F80" s="237" t="n"/>
      <c r="G80" s="102" t="n">
        <v>5836.44</v>
      </c>
      <c r="H80" s="247" t="n"/>
      <c r="I80" s="237" t="n"/>
      <c r="J80" s="102">
        <f>ROUND(E80*(J16+J18),2)</f>
        <v/>
      </c>
      <c r="K80" s="68" t="n"/>
    </row>
    <row r="81" ht="14.25" customFormat="1" customHeight="1" s="179">
      <c r="A81" s="235" t="n"/>
      <c r="B81" s="235" t="n"/>
      <c r="C81" s="234" t="inlineStr">
        <is>
          <t>Итого СМР (с НР и СП)</t>
        </is>
      </c>
      <c r="D81" s="235" t="n"/>
      <c r="E81" s="236" t="n"/>
      <c r="F81" s="237" t="n"/>
      <c r="G81" s="102">
        <f>G16+G29+G77+G79+G80</f>
        <v/>
      </c>
      <c r="H81" s="247" t="n"/>
      <c r="I81" s="237" t="n"/>
      <c r="J81" s="102">
        <f>J16+J29+J77+J79+J80</f>
        <v/>
      </c>
      <c r="L81" s="69" t="n"/>
    </row>
    <row r="82" ht="14.25" customFormat="1" customHeight="1" s="179">
      <c r="A82" s="235" t="n"/>
      <c r="B82" s="235" t="n"/>
      <c r="C82" s="234" t="inlineStr">
        <is>
          <t>ВСЕГО СМР + ОБОРУДОВАНИЕ</t>
        </is>
      </c>
      <c r="D82" s="235" t="n"/>
      <c r="E82" s="236" t="n"/>
      <c r="F82" s="237" t="n"/>
      <c r="G82" s="102">
        <f>G81+G42</f>
        <v/>
      </c>
      <c r="H82" s="247" t="n"/>
      <c r="I82" s="237" t="n"/>
      <c r="J82" s="102">
        <f>J81+J42</f>
        <v/>
      </c>
      <c r="L82" s="68" t="n"/>
    </row>
    <row r="83" ht="14.25" customFormat="1" customHeight="1" s="179">
      <c r="A83" s="235" t="n"/>
      <c r="B83" s="235" t="n"/>
      <c r="C83" s="234" t="inlineStr">
        <is>
          <t>ИТОГО ПОКАЗАТЕЛЬ НА ЕД. ИЗМ.</t>
        </is>
      </c>
      <c r="D83" s="235" t="inlineStr">
        <is>
          <t>ед.</t>
        </is>
      </c>
      <c r="E83" s="166" t="n">
        <v>730</v>
      </c>
      <c r="F83" s="237" t="n"/>
      <c r="G83" s="102">
        <f>G82/E83</f>
        <v/>
      </c>
      <c r="H83" s="247" t="n"/>
      <c r="I83" s="237" t="n"/>
      <c r="J83" s="102">
        <f>J82/E83</f>
        <v/>
      </c>
      <c r="L83" s="274" t="n"/>
    </row>
    <row r="85" ht="14.25" customFormat="1" customHeight="1" s="179">
      <c r="A85" s="180" t="n"/>
    </row>
    <row r="86" ht="14.25" customFormat="1" customHeight="1" s="179">
      <c r="A86" s="178" t="inlineStr">
        <is>
          <t>Составил ______________________        Е.А. Князева</t>
        </is>
      </c>
      <c r="B86" s="179" t="n"/>
    </row>
    <row r="87" ht="14.25" customFormat="1" customHeight="1" s="179">
      <c r="A87" s="181" t="inlineStr">
        <is>
          <t xml:space="preserve">                         (подпись, инициалы, фамилия)</t>
        </is>
      </c>
      <c r="B87" s="179" t="n"/>
    </row>
    <row r="88" ht="14.25" customFormat="1" customHeight="1" s="179">
      <c r="A88" s="178" t="n"/>
      <c r="B88" s="179" t="n"/>
    </row>
    <row r="89" ht="14.25" customFormat="1" customHeight="1" s="179">
      <c r="A89" s="178" t="inlineStr">
        <is>
          <t>Проверил ______________________        А.В. Костянецкая</t>
        </is>
      </c>
      <c r="B89" s="179" t="n"/>
    </row>
    <row r="90" ht="14.25" customFormat="1" customHeight="1" s="179">
      <c r="A90" s="181" t="inlineStr">
        <is>
          <t xml:space="preserve">                        (подпись, инициалы, фамилия)</t>
        </is>
      </c>
      <c r="B90" s="179" t="n"/>
    </row>
  </sheetData>
  <mergeCells count="19">
    <mergeCell ref="H9:H10"/>
    <mergeCell ref="B20:H20"/>
    <mergeCell ref="B44:J44"/>
    <mergeCell ref="B45:H45"/>
    <mergeCell ref="C9:C10"/>
    <mergeCell ref="E9:E10"/>
    <mergeCell ref="A7:H7"/>
    <mergeCell ref="B30:J30"/>
    <mergeCell ref="B9:B10"/>
    <mergeCell ref="D9:D10"/>
    <mergeCell ref="B12:H12"/>
    <mergeCell ref="D6:J6"/>
    <mergeCell ref="F9:G9"/>
    <mergeCell ref="A4:H4"/>
    <mergeCell ref="B17:H17"/>
    <mergeCell ref="A9:A10"/>
    <mergeCell ref="B31:J31"/>
    <mergeCell ref="B19:H1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view="pageBreakPreview" topLeftCell="A10" workbookViewId="0">
      <selection activeCell="B25" sqref="B25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54" t="inlineStr">
        <is>
          <t>Приложение №6</t>
        </is>
      </c>
    </row>
    <row r="2" s="182">
      <c r="A2" s="254" t="n"/>
      <c r="B2" s="254" t="n"/>
      <c r="C2" s="254" t="n"/>
      <c r="D2" s="254" t="n"/>
      <c r="E2" s="254" t="n"/>
      <c r="F2" s="254" t="n"/>
      <c r="G2" s="254" t="n"/>
    </row>
    <row r="3" s="182">
      <c r="A3" s="254" t="n"/>
      <c r="B3" s="254" t="n"/>
      <c r="C3" s="254" t="n"/>
      <c r="D3" s="254" t="n"/>
      <c r="E3" s="254" t="n"/>
      <c r="F3" s="254" t="n"/>
      <c r="G3" s="254" t="n"/>
    </row>
    <row r="4">
      <c r="A4" s="254" t="n"/>
      <c r="B4" s="254" t="n"/>
      <c r="C4" s="254" t="n"/>
      <c r="D4" s="254" t="n"/>
      <c r="E4" s="254" t="n"/>
      <c r="F4" s="254" t="n"/>
      <c r="G4" s="254" t="n"/>
    </row>
    <row r="5">
      <c r="A5" s="231" t="inlineStr">
        <is>
          <t>Расчет стоимости оборудования</t>
        </is>
      </c>
    </row>
    <row r="6" ht="64.5" customHeight="1" s="182">
      <c r="A6" s="222">
        <f>'Прил.1 Сравнит табл'!B7</f>
        <v/>
      </c>
    </row>
    <row r="7">
      <c r="A7" s="178" t="n"/>
      <c r="B7" s="178" t="n"/>
      <c r="C7" s="178" t="n"/>
      <c r="D7" s="178" t="n"/>
      <c r="E7" s="178" t="n"/>
      <c r="F7" s="178" t="n"/>
      <c r="G7" s="178" t="n"/>
    </row>
    <row r="8" ht="30" customHeight="1" s="182">
      <c r="A8" s="255" t="inlineStr">
        <is>
          <t>№ пп.</t>
        </is>
      </c>
      <c r="B8" s="255" t="inlineStr">
        <is>
          <t>Код ресурса</t>
        </is>
      </c>
      <c r="C8" s="255" t="inlineStr">
        <is>
          <t>Наименование</t>
        </is>
      </c>
      <c r="D8" s="255" t="inlineStr">
        <is>
          <t>Ед. изм.</t>
        </is>
      </c>
      <c r="E8" s="235" t="inlineStr">
        <is>
          <t>Кол-во единиц по проектным данным</t>
        </is>
      </c>
      <c r="F8" s="255" t="inlineStr">
        <is>
          <t>Сметная стоимость в ценах на 01.01.2000 (руб.)</t>
        </is>
      </c>
      <c r="G8" s="260" t="n"/>
    </row>
    <row r="9">
      <c r="A9" s="262" t="n"/>
      <c r="B9" s="262" t="n"/>
      <c r="C9" s="262" t="n"/>
      <c r="D9" s="262" t="n"/>
      <c r="E9" s="262" t="n"/>
      <c r="F9" s="235" t="inlineStr">
        <is>
          <t>на ед. изм.</t>
        </is>
      </c>
      <c r="G9" s="235" t="inlineStr">
        <is>
          <t>общая</t>
        </is>
      </c>
    </row>
    <row r="10">
      <c r="A10" s="235" t="n">
        <v>1</v>
      </c>
      <c r="B10" s="235" t="n">
        <v>2</v>
      </c>
      <c r="C10" s="235" t="n">
        <v>3</v>
      </c>
      <c r="D10" s="235" t="n">
        <v>4</v>
      </c>
      <c r="E10" s="235" t="n">
        <v>5</v>
      </c>
      <c r="F10" s="235" t="n">
        <v>6</v>
      </c>
      <c r="G10" s="235" t="n">
        <v>7</v>
      </c>
    </row>
    <row r="11" ht="15" customHeight="1" s="182">
      <c r="A11" s="31" t="n"/>
      <c r="B11" s="234" t="inlineStr">
        <is>
          <t>ИНЖЕНЕРНОЕ ОБОРУДОВАНИЕ</t>
        </is>
      </c>
      <c r="C11" s="259" t="n"/>
      <c r="D11" s="259" t="n"/>
      <c r="E11" s="259" t="n"/>
      <c r="F11" s="259" t="n"/>
      <c r="G11" s="260" t="n"/>
    </row>
    <row r="12" ht="27" customHeight="1" s="182">
      <c r="A12" s="235" t="n"/>
      <c r="B12" s="246" t="n"/>
      <c r="C12" s="234" t="inlineStr">
        <is>
          <t>ИТОГО ИНЖЕНЕРНОЕ ОБОРУДОВАНИЕ</t>
        </is>
      </c>
      <c r="D12" s="246" t="n"/>
      <c r="E12" s="9" t="n"/>
      <c r="F12" s="237" t="n"/>
      <c r="G12" s="237" t="n">
        <v>0</v>
      </c>
    </row>
    <row r="13">
      <c r="A13" s="235" t="n"/>
      <c r="B13" s="234" t="inlineStr">
        <is>
          <t>ТЕХНОЛОГИЧЕСКОЕ ОБОРУДОВАНИЕ</t>
        </is>
      </c>
      <c r="C13" s="259" t="n"/>
      <c r="D13" s="259" t="n"/>
      <c r="E13" s="259" t="n"/>
      <c r="F13" s="259" t="n"/>
      <c r="G13" s="260" t="n"/>
    </row>
    <row r="14" ht="25.5" customHeight="1" s="182">
      <c r="A14" s="235" t="n">
        <v>1</v>
      </c>
      <c r="B14" s="166">
        <f>'Прил.5 Расчет СМР и ОБ'!B32</f>
        <v/>
      </c>
      <c r="C14" s="165">
        <f>'Прил.5 Расчет СМР и ОБ'!C32</f>
        <v/>
      </c>
      <c r="D14" s="166">
        <f>'Прил.5 Расчет СМР и ОБ'!D32</f>
        <v/>
      </c>
      <c r="E14" s="166">
        <f>'Прил.5 Расчет СМР и ОБ'!E32</f>
        <v/>
      </c>
      <c r="F14" s="102">
        <f>'Прил.5 Расчет СМР и ОБ'!F32</f>
        <v/>
      </c>
      <c r="G14" s="102">
        <f>ROUND(E14*F14,2)</f>
        <v/>
      </c>
    </row>
    <row r="15" s="182">
      <c r="A15" s="235" t="n">
        <v>2</v>
      </c>
      <c r="B15" s="166">
        <f>'Прил.5 Расчет СМР и ОБ'!B33</f>
        <v/>
      </c>
      <c r="C15" s="165">
        <f>'Прил.5 Расчет СМР и ОБ'!C33</f>
        <v/>
      </c>
      <c r="D15" s="166">
        <f>'Прил.5 Расчет СМР и ОБ'!D33</f>
        <v/>
      </c>
      <c r="E15" s="166">
        <f>'Прил.5 Расчет СМР и ОБ'!E33</f>
        <v/>
      </c>
      <c r="F15" s="102">
        <f>'Прил.5 Расчет СМР и ОБ'!F33</f>
        <v/>
      </c>
      <c r="G15" s="102">
        <f>ROUND(E15*F15,2)</f>
        <v/>
      </c>
    </row>
    <row r="16" ht="63.75" customHeight="1" s="182">
      <c r="A16" s="235" t="n">
        <v>3</v>
      </c>
      <c r="B16" s="166">
        <f>'Прил.5 Расчет СМР и ОБ'!B34</f>
        <v/>
      </c>
      <c r="C16" s="165">
        <f>'Прил.5 Расчет СМР и ОБ'!C34</f>
        <v/>
      </c>
      <c r="D16" s="166">
        <f>'Прил.5 Расчет СМР и ОБ'!D34</f>
        <v/>
      </c>
      <c r="E16" s="166">
        <f>'Прил.5 Расчет СМР и ОБ'!E34</f>
        <v/>
      </c>
      <c r="F16" s="102">
        <f>'Прил.5 Расчет СМР и ОБ'!F34</f>
        <v/>
      </c>
      <c r="G16" s="102">
        <f>ROUND(E16*F16,2)</f>
        <v/>
      </c>
    </row>
    <row r="17" s="182">
      <c r="A17" s="235" t="n">
        <v>4</v>
      </c>
      <c r="B17" s="166">
        <f>'Прил.5 Расчет СМР и ОБ'!B35</f>
        <v/>
      </c>
      <c r="C17" s="165">
        <f>'Прил.5 Расчет СМР и ОБ'!C35</f>
        <v/>
      </c>
      <c r="D17" s="166">
        <f>'Прил.5 Расчет СМР и ОБ'!D35</f>
        <v/>
      </c>
      <c r="E17" s="166">
        <f>'Прил.5 Расчет СМР и ОБ'!E35</f>
        <v/>
      </c>
      <c r="F17" s="102">
        <f>'Прил.5 Расчет СМР и ОБ'!F35</f>
        <v/>
      </c>
      <c r="G17" s="102">
        <f>ROUND(E17*F17,2)</f>
        <v/>
      </c>
    </row>
    <row r="18" ht="38.25" customHeight="1" s="182">
      <c r="A18" s="235" t="n">
        <v>5</v>
      </c>
      <c r="B18" s="166">
        <f>'Прил.5 Расчет СМР и ОБ'!B37</f>
        <v/>
      </c>
      <c r="C18" s="165">
        <f>'Прил.5 Расчет СМР и ОБ'!C37</f>
        <v/>
      </c>
      <c r="D18" s="166">
        <f>'Прил.5 Расчет СМР и ОБ'!D37</f>
        <v/>
      </c>
      <c r="E18" s="166">
        <f>'Прил.5 Расчет СМР и ОБ'!E37</f>
        <v/>
      </c>
      <c r="F18" s="102">
        <f>'Прил.5 Расчет СМР и ОБ'!F37</f>
        <v/>
      </c>
      <c r="G18" s="102">
        <f>ROUND(E18*F18,2)</f>
        <v/>
      </c>
    </row>
    <row r="19" ht="25.5" customHeight="1" s="182">
      <c r="A19" s="235" t="n">
        <v>6</v>
      </c>
      <c r="B19" s="166">
        <f>'Прил.5 Расчет СМР и ОБ'!B38</f>
        <v/>
      </c>
      <c r="C19" s="165">
        <f>'Прил.5 Расчет СМР и ОБ'!C38</f>
        <v/>
      </c>
      <c r="D19" s="166">
        <f>'Прил.5 Расчет СМР и ОБ'!D38</f>
        <v/>
      </c>
      <c r="E19" s="166">
        <f>'Прил.5 Расчет СМР и ОБ'!E38</f>
        <v/>
      </c>
      <c r="F19" s="102">
        <f>'Прил.5 Расчет СМР и ОБ'!F38</f>
        <v/>
      </c>
      <c r="G19" s="102">
        <f>ROUND(E19*F19,2)</f>
        <v/>
      </c>
    </row>
    <row r="20" ht="38.25" customHeight="1" s="182">
      <c r="A20" s="235" t="n">
        <v>7</v>
      </c>
      <c r="B20" s="166">
        <f>'Прил.5 Расчет СМР и ОБ'!B39</f>
        <v/>
      </c>
      <c r="C20" s="165">
        <f>'Прил.5 Расчет СМР и ОБ'!C39</f>
        <v/>
      </c>
      <c r="D20" s="166">
        <f>'Прил.5 Расчет СМР и ОБ'!D39</f>
        <v/>
      </c>
      <c r="E20" s="166">
        <f>'Прил.5 Расчет СМР и ОБ'!E39</f>
        <v/>
      </c>
      <c r="F20" s="102">
        <f>'Прил.5 Расчет СМР и ОБ'!F39</f>
        <v/>
      </c>
      <c r="G20" s="102">
        <f>ROUND(E20*F20,2)</f>
        <v/>
      </c>
    </row>
    <row r="21" ht="25.5" customHeight="1" s="182">
      <c r="A21" s="235" t="n">
        <v>8</v>
      </c>
      <c r="B21" s="166">
        <f>'Прил.5 Расчет СМР и ОБ'!B40</f>
        <v/>
      </c>
      <c r="C21" s="165">
        <f>'Прил.5 Расчет СМР и ОБ'!C40</f>
        <v/>
      </c>
      <c r="D21" s="166">
        <f>'Прил.5 Расчет СМР и ОБ'!D40</f>
        <v/>
      </c>
      <c r="E21" s="166">
        <f>'Прил.5 Расчет СМР и ОБ'!E40</f>
        <v/>
      </c>
      <c r="F21" s="102">
        <f>'Прил.5 Расчет СМР и ОБ'!F40</f>
        <v/>
      </c>
      <c r="G21" s="102">
        <f>ROUND(E21*F21,2)</f>
        <v/>
      </c>
    </row>
    <row r="22" ht="25.5" customHeight="1" s="182">
      <c r="A22" s="235" t="n"/>
      <c r="B22" s="13" t="n"/>
      <c r="C22" s="13" t="inlineStr">
        <is>
          <t>ИТОГО ТЕХНОЛОГИЧЕСКОЕ ОБОРУДОВАНИЕ</t>
        </is>
      </c>
      <c r="D22" s="13" t="n"/>
      <c r="E22" s="14" t="n"/>
      <c r="F22" s="237" t="n"/>
      <c r="G22" s="102">
        <f>SUM(G14:G21)</f>
        <v/>
      </c>
    </row>
    <row r="23" ht="19.5" customHeight="1" s="182">
      <c r="A23" s="235" t="n"/>
      <c r="B23" s="234" t="n"/>
      <c r="C23" s="234" t="inlineStr">
        <is>
          <t>Всего по разделу «Оборудование»</t>
        </is>
      </c>
      <c r="D23" s="234" t="n"/>
      <c r="E23" s="253" t="n"/>
      <c r="F23" s="237" t="n"/>
      <c r="G23" s="102">
        <f>G12+G22</f>
        <v/>
      </c>
    </row>
    <row r="24">
      <c r="A24" s="180" t="n"/>
      <c r="B24" s="12" t="n"/>
      <c r="C24" s="180" t="n"/>
      <c r="D24" s="180" t="n"/>
      <c r="E24" s="180" t="n"/>
      <c r="F24" s="180" t="n"/>
      <c r="G24" s="180" t="n"/>
    </row>
    <row r="25" s="182">
      <c r="A25" s="178" t="inlineStr">
        <is>
          <t>Составил ______________________        Е.А. Князева</t>
        </is>
      </c>
      <c r="B25" s="179" t="n"/>
      <c r="C25" s="179" t="n"/>
      <c r="D25" s="180" t="n"/>
      <c r="E25" s="180" t="n"/>
      <c r="F25" s="180" t="n"/>
      <c r="G25" s="180" t="n"/>
    </row>
    <row r="26" s="182">
      <c r="A26" s="181" t="inlineStr">
        <is>
          <t xml:space="preserve">                         (подпись, инициалы, фамилия)</t>
        </is>
      </c>
      <c r="B26" s="179" t="n"/>
      <c r="C26" s="179" t="n"/>
      <c r="D26" s="180" t="n"/>
      <c r="E26" s="180" t="n"/>
      <c r="F26" s="180" t="n"/>
      <c r="G26" s="180" t="n"/>
    </row>
    <row r="27" s="182">
      <c r="A27" s="178" t="n"/>
      <c r="B27" s="179" t="n"/>
      <c r="C27" s="179" t="n"/>
      <c r="D27" s="180" t="n"/>
      <c r="E27" s="180" t="n"/>
      <c r="F27" s="180" t="n"/>
      <c r="G27" s="180" t="n"/>
    </row>
    <row r="28" s="182">
      <c r="A28" s="178" t="inlineStr">
        <is>
          <t>Проверил ______________________        А.В. Костянецкая</t>
        </is>
      </c>
      <c r="B28" s="179" t="n"/>
      <c r="C28" s="179" t="n"/>
      <c r="D28" s="180" t="n"/>
      <c r="E28" s="180" t="n"/>
      <c r="F28" s="180" t="n"/>
      <c r="G28" s="180" t="n"/>
    </row>
    <row r="29" s="182">
      <c r="A29" s="181" t="inlineStr">
        <is>
          <t xml:space="preserve">                        (подпись, инициалы, фамилия)</t>
        </is>
      </c>
      <c r="B29" s="179" t="n"/>
      <c r="C29" s="179" t="n"/>
      <c r="D29" s="180" t="n"/>
      <c r="E29" s="180" t="n"/>
      <c r="F29" s="180" t="n"/>
      <c r="G29" s="18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4" sqref="G34"/>
    </sheetView>
  </sheetViews>
  <sheetFormatPr baseColWidth="8" defaultRowHeight="15"/>
  <cols>
    <col width="12.7109375" customWidth="1" style="182" min="1" max="1"/>
    <col width="16.42578125" customWidth="1" style="182" min="2" max="2"/>
    <col width="37.140625" customWidth="1" style="182" min="3" max="3"/>
    <col width="49" customWidth="1" style="182" min="4" max="4"/>
    <col width="9.140625" customWidth="1" style="182" min="5" max="5"/>
  </cols>
  <sheetData>
    <row r="1" ht="15.75" customHeight="1" s="182">
      <c r="A1" s="184" t="n"/>
      <c r="B1" s="184" t="n"/>
      <c r="C1" s="184" t="n"/>
      <c r="D1" s="184" t="inlineStr">
        <is>
          <t>Приложение №7</t>
        </is>
      </c>
    </row>
    <row r="2" ht="15.75" customHeight="1" s="182">
      <c r="A2" s="184" t="n"/>
      <c r="B2" s="184" t="n"/>
      <c r="C2" s="184" t="n"/>
      <c r="D2" s="184" t="n"/>
    </row>
    <row r="3" ht="15.75" customHeight="1" s="182">
      <c r="A3" s="184" t="n"/>
      <c r="B3" s="172" t="inlineStr">
        <is>
          <t>Расчет показателя УНЦ</t>
        </is>
      </c>
      <c r="C3" s="184" t="n"/>
      <c r="D3" s="184" t="n"/>
    </row>
    <row r="4" ht="15.75" customHeight="1" s="182">
      <c r="A4" s="184" t="n"/>
      <c r="B4" s="184" t="n"/>
      <c r="C4" s="184" t="n"/>
      <c r="D4" s="184" t="n"/>
    </row>
    <row r="5" ht="31.5" customHeight="1" s="182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 s="182">
      <c r="A6" s="184" t="inlineStr">
        <is>
          <t>Единица измерения  — 1 ед</t>
        </is>
      </c>
      <c r="B6" s="184" t="n"/>
      <c r="C6" s="184" t="n"/>
      <c r="D6" s="184" t="n"/>
    </row>
    <row r="7" ht="15.75" customHeight="1" s="182">
      <c r="A7" s="184" t="n"/>
      <c r="B7" s="184" t="n"/>
      <c r="C7" s="184" t="n"/>
      <c r="D7" s="184" t="n"/>
    </row>
    <row r="8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>
      <c r="A9" s="262" t="n"/>
      <c r="B9" s="262" t="n"/>
      <c r="C9" s="262" t="n"/>
      <c r="D9" s="262" t="n"/>
    </row>
    <row r="10" ht="15.75" customHeight="1" s="182">
      <c r="A10" s="226" t="n">
        <v>1</v>
      </c>
      <c r="B10" s="226" t="n">
        <v>2</v>
      </c>
      <c r="C10" s="226" t="n">
        <v>3</v>
      </c>
      <c r="D10" s="226" t="n">
        <v>4</v>
      </c>
    </row>
    <row r="11" ht="63" customHeight="1" s="182">
      <c r="A11" s="226" t="inlineStr">
        <is>
          <t>И15-09</t>
        </is>
      </c>
      <c r="B11" s="226" t="inlineStr">
        <is>
          <t xml:space="preserve">УНЦ комплекса систем безопасности ПС </t>
        </is>
      </c>
      <c r="C11" s="176">
        <f>D5</f>
        <v/>
      </c>
      <c r="D11" s="190">
        <f>'Прил.4 РМ'!C41/1000</f>
        <v/>
      </c>
    </row>
    <row r="13">
      <c r="A13" s="178" t="inlineStr">
        <is>
          <t>Составил ______________________      Е. А. Князева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topLeftCell="A10" workbookViewId="0">
      <selection activeCell="B23" sqref="B23:B24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20" t="inlineStr">
        <is>
          <t>Приложение № 10</t>
        </is>
      </c>
    </row>
    <row r="5" ht="18.75" customHeight="1" s="182">
      <c r="B5" s="22" t="n"/>
    </row>
    <row r="6" ht="15.75" customHeight="1" s="182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 ht="47.25" customHeight="1" s="182">
      <c r="B8" s="226" t="inlineStr">
        <is>
          <t>Наименование индекса / норм сопутствующих затрат</t>
        </is>
      </c>
      <c r="C8" s="226" t="inlineStr">
        <is>
          <t>Дата применения и обоснование индекса / норм сопутствующих затрат</t>
        </is>
      </c>
      <c r="D8" s="226" t="inlineStr">
        <is>
          <t>Размер индекса / норма сопутствующих затрат</t>
        </is>
      </c>
    </row>
    <row r="9" ht="15.75" customHeight="1" s="182">
      <c r="B9" s="226" t="n">
        <v>1</v>
      </c>
      <c r="C9" s="226" t="n">
        <v>2</v>
      </c>
      <c r="D9" s="226" t="n">
        <v>3</v>
      </c>
    </row>
    <row r="10" ht="31.5" customHeight="1" s="182">
      <c r="B10" s="226" t="inlineStr">
        <is>
          <t xml:space="preserve">Индекс изменения сметной стоимости на 1 квартал 2023 года. ОЗП </t>
        </is>
      </c>
      <c r="C10" s="226" t="inlineStr">
        <is>
          <t>Письмо Минстроя России от 30.03.2023г. №17106-ИФ/09  прил.1</t>
        </is>
      </c>
      <c r="D10" s="226" t="n">
        <v>44.29</v>
      </c>
    </row>
    <row r="11" ht="31.5" customHeight="1" s="182">
      <c r="B11" s="226" t="inlineStr">
        <is>
          <t>Индекс изменения сметной стоимости на 1 квартал 2023 года. ЭМ</t>
        </is>
      </c>
      <c r="C11" s="226" t="inlineStr">
        <is>
          <t>Письмо Минстроя России от 30.03.2023г. №17106-ИФ/09  прил.1</t>
        </is>
      </c>
      <c r="D11" s="226" t="n">
        <v>13.47</v>
      </c>
    </row>
    <row r="12" ht="31.5" customHeight="1" s="182">
      <c r="B12" s="226" t="inlineStr">
        <is>
          <t>Индекс изменения сметной стоимости на 1 квартал 2023 года. МАТ</t>
        </is>
      </c>
      <c r="C12" s="226" t="inlineStr">
        <is>
          <t>Письмо Минстроя России от 30.03.2023г. №17106-ИФ/09  прил.1</t>
        </is>
      </c>
      <c r="D12" s="226" t="n">
        <v>8.039999999999999</v>
      </c>
    </row>
    <row r="13" ht="31.5" customHeight="1" s="182">
      <c r="B13" s="226" t="inlineStr">
        <is>
          <t>Индекс изменения сметной стоимости на 1 квартал 2023 года. ОБ</t>
        </is>
      </c>
      <c r="C13" s="112" t="inlineStr">
        <is>
          <t>Письмо Минстроя России от 23.02.2023г. №9791-ИФ/09 прил.6</t>
        </is>
      </c>
      <c r="D13" s="226" t="n">
        <v>6.26</v>
      </c>
    </row>
    <row r="14" ht="78.75" customHeight="1" s="182">
      <c r="B14" s="226" t="inlineStr">
        <is>
          <t>Временные здания и сооружения</t>
        </is>
      </c>
      <c r="C14" s="22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2">
      <c r="B15" s="226" t="inlineStr">
        <is>
          <t>Дополнительные затраты при производстве строительно-монтажных работ в зимнее время</t>
        </is>
      </c>
      <c r="C15" s="22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2">
      <c r="B16" s="226" t="inlineStr">
        <is>
          <t xml:space="preserve">Пусконаладочные работы </t>
        </is>
      </c>
      <c r="C16" s="226" t="n"/>
      <c r="D16" s="226" t="inlineStr">
        <is>
          <t>Расчет</t>
        </is>
      </c>
    </row>
    <row r="17" ht="31.5" customHeight="1" s="182">
      <c r="B17" s="226" t="inlineStr">
        <is>
          <t>Строительный контроль</t>
        </is>
      </c>
      <c r="C17" s="226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2">
      <c r="B18" s="226" t="inlineStr">
        <is>
          <t>Авторский надзор - 0,2%</t>
        </is>
      </c>
      <c r="C18" s="226" t="inlineStr">
        <is>
          <t>Приказ от 4.08.2020 № 421/пр п.173</t>
        </is>
      </c>
      <c r="D18" s="29" t="n">
        <v>0.002</v>
      </c>
    </row>
    <row r="19" ht="24" customHeight="1" s="182">
      <c r="B19" s="226" t="inlineStr">
        <is>
          <t>Непредвиденные расходы</t>
        </is>
      </c>
      <c r="C19" s="226" t="inlineStr">
        <is>
          <t>Приказ от 4.08.2020 № 421/пр п.179</t>
        </is>
      </c>
      <c r="D19" s="29" t="n">
        <v>0.03</v>
      </c>
    </row>
    <row r="20" ht="18.75" customHeight="1" s="182">
      <c r="B20" s="23" t="n"/>
    </row>
    <row r="21" ht="18.75" customHeight="1" s="182">
      <c r="B21" s="23" t="n"/>
    </row>
    <row r="22" ht="18.75" customHeight="1" s="182">
      <c r="B22" s="23" t="n"/>
    </row>
    <row r="23" ht="18.75" customHeight="1" s="182">
      <c r="B23" s="23" t="n"/>
    </row>
    <row r="26">
      <c r="B26" s="178" t="inlineStr">
        <is>
          <t>Составил ______________________        Е.А. Князева</t>
        </is>
      </c>
      <c r="C26" s="179" t="n"/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A20" zoomScale="60" zoomScaleNormal="100" workbookViewId="0">
      <selection activeCell="G7" sqref="G1:G1048576"/>
    </sheetView>
  </sheetViews>
  <sheetFormatPr baseColWidth="8" defaultColWidth="9.140625" defaultRowHeight="15"/>
  <cols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</cols>
  <sheetData>
    <row r="1" s="182"/>
    <row r="2" ht="17.25" customHeight="1" s="182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3" s="182"/>
    <row r="4" ht="18" customHeight="1" s="182">
      <c r="A4" s="183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2">
      <c r="A5" s="185" t="inlineStr">
        <is>
          <t>№ пп.</t>
        </is>
      </c>
      <c r="B5" s="185" t="inlineStr">
        <is>
          <t>Наименование элемента</t>
        </is>
      </c>
      <c r="C5" s="185" t="inlineStr">
        <is>
          <t>Обозначение</t>
        </is>
      </c>
      <c r="D5" s="185" t="inlineStr">
        <is>
          <t>Формула</t>
        </is>
      </c>
      <c r="E5" s="185" t="inlineStr">
        <is>
          <t>Величина элемента</t>
        </is>
      </c>
      <c r="F5" s="185" t="inlineStr">
        <is>
          <t>Наименования обосновывающих документов</t>
        </is>
      </c>
      <c r="G5" s="184" t="n"/>
    </row>
    <row r="6" ht="15.75" customHeight="1" s="182">
      <c r="A6" s="185" t="n">
        <v>1</v>
      </c>
      <c r="B6" s="185" t="n">
        <v>2</v>
      </c>
      <c r="C6" s="185" t="n">
        <v>3</v>
      </c>
      <c r="D6" s="185" t="n">
        <v>4</v>
      </c>
      <c r="E6" s="185" t="n">
        <v>5</v>
      </c>
      <c r="F6" s="185" t="n">
        <v>6</v>
      </c>
      <c r="G6" s="184" t="n"/>
    </row>
    <row r="7" ht="110.25" customHeight="1" s="182">
      <c r="A7" s="18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189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2">
      <c r="A8" s="18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90">
        <f>1973/12</f>
        <v/>
      </c>
      <c r="F8" s="191" t="inlineStr">
        <is>
          <t>Производственный календарь 2023 год
(40-часов.неделя)</t>
        </is>
      </c>
      <c r="G8" s="193" t="n"/>
    </row>
    <row r="9" ht="15.75" customHeight="1" s="182">
      <c r="A9" s="186" t="inlineStr">
        <is>
          <t>1.3</t>
        </is>
      </c>
      <c r="B9" s="19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90" t="n">
        <v>1</v>
      </c>
      <c r="F9" s="191" t="n"/>
      <c r="G9" s="193" t="n"/>
    </row>
    <row r="10" ht="15.75" customHeight="1" s="182">
      <c r="A10" s="186" t="inlineStr">
        <is>
          <t>1.4</t>
        </is>
      </c>
      <c r="B10" s="191" t="inlineStr">
        <is>
          <t>Средний разряд работ</t>
        </is>
      </c>
      <c r="C10" s="226" t="n"/>
      <c r="D10" s="226" t="n"/>
      <c r="E10" s="275" t="n">
        <v>3.9</v>
      </c>
      <c r="F10" s="191" t="inlineStr">
        <is>
          <t>РТМ</t>
        </is>
      </c>
      <c r="G10" s="193" t="n"/>
    </row>
    <row r="11" ht="78.75" customHeight="1" s="182">
      <c r="A11" s="186" t="inlineStr">
        <is>
          <t>1.5</t>
        </is>
      </c>
      <c r="B11" s="19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276" t="n">
        <v>1.324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2">
      <c r="A12" s="186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277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n"/>
    </row>
    <row r="13" ht="63" customHeight="1" s="182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  <row r="14" ht="15.75" customHeight="1" s="182">
      <c r="A14" s="204" t="n"/>
      <c r="B14" s="205" t="inlineStr">
        <is>
          <t>Инженер I категории</t>
        </is>
      </c>
      <c r="C14" s="205" t="n"/>
      <c r="D14" s="205" t="n"/>
      <c r="E14" s="205" t="n"/>
      <c r="F14" s="206" t="n"/>
    </row>
    <row r="15" ht="110.25" customHeight="1" s="182">
      <c r="A15" s="186" t="inlineStr">
        <is>
          <t>1.1</t>
        </is>
      </c>
      <c r="B15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6" t="inlineStr">
        <is>
          <t>С1ср</t>
        </is>
      </c>
      <c r="D15" s="226" t="inlineStr">
        <is>
          <t>-</t>
        </is>
      </c>
      <c r="E15" s="189" t="n">
        <v>47872.94</v>
      </c>
      <c r="F15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4" t="n"/>
    </row>
    <row r="16" ht="31.5" customHeight="1" s="182">
      <c r="A16" s="186" t="inlineStr">
        <is>
          <t>1.2</t>
        </is>
      </c>
      <c r="B16" s="191" t="inlineStr">
        <is>
          <t>Среднегодовое нормативное число часов работы одного рабочего в месяц, часы (ч.)</t>
        </is>
      </c>
      <c r="C16" s="226" t="inlineStr">
        <is>
          <t>tср</t>
        </is>
      </c>
      <c r="D16" s="226" t="inlineStr">
        <is>
          <t>1973ч/12мес.</t>
        </is>
      </c>
      <c r="E16" s="190">
        <f>1973/12</f>
        <v/>
      </c>
      <c r="F16" s="191" t="inlineStr">
        <is>
          <t>Производственный календарь 2023 год
(40-часов.неделя)</t>
        </is>
      </c>
      <c r="G16" s="193" t="n"/>
    </row>
    <row r="17" ht="15.75" customHeight="1" s="182">
      <c r="A17" s="186" t="inlineStr">
        <is>
          <t>1.3</t>
        </is>
      </c>
      <c r="B17" s="191" t="inlineStr">
        <is>
          <t>Коэффициент увеличения</t>
        </is>
      </c>
      <c r="C17" s="226" t="inlineStr">
        <is>
          <t>Кув</t>
        </is>
      </c>
      <c r="D17" s="226" t="inlineStr">
        <is>
          <t>-</t>
        </is>
      </c>
      <c r="E17" s="190" t="n">
        <v>1</v>
      </c>
      <c r="F17" s="191" t="n"/>
      <c r="G17" s="193" t="n"/>
    </row>
    <row r="18" ht="15.75" customHeight="1" s="182">
      <c r="A18" s="186" t="inlineStr">
        <is>
          <t>1.4</t>
        </is>
      </c>
      <c r="B18" s="191" t="inlineStr">
        <is>
          <t>Средний разряд работ</t>
        </is>
      </c>
      <c r="C18" s="226" t="n"/>
      <c r="D18" s="226" t="n"/>
      <c r="E18" s="275" t="inlineStr">
        <is>
          <t>Инженер I категории</t>
        </is>
      </c>
      <c r="F18" s="191" t="inlineStr">
        <is>
          <t>РТМ</t>
        </is>
      </c>
      <c r="G18" s="193" t="n"/>
    </row>
    <row r="19" ht="78.75" customHeight="1" s="182">
      <c r="A19" s="199" t="inlineStr">
        <is>
          <t>1.5</t>
        </is>
      </c>
      <c r="B19" s="203" t="inlineStr">
        <is>
          <t>Тарифный коэффициент среднего разряда работ</t>
        </is>
      </c>
      <c r="C19" s="227" t="inlineStr">
        <is>
          <t>КТ</t>
        </is>
      </c>
      <c r="D19" s="227" t="inlineStr">
        <is>
          <t>-</t>
        </is>
      </c>
      <c r="E19" s="278" t="n">
        <v>2.15</v>
      </c>
      <c r="F19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4" t="n"/>
    </row>
    <row r="20" ht="78.75" customHeight="1" s="182">
      <c r="A20" s="186" t="inlineStr">
        <is>
          <t>1.6</t>
        </is>
      </c>
      <c r="B20" s="211" t="inlineStr">
        <is>
          <t>Коэффициент инфляции, определяемый поквартально</t>
        </is>
      </c>
      <c r="C20" s="226" t="inlineStr">
        <is>
          <t>Кинф</t>
        </is>
      </c>
      <c r="D20" s="226" t="inlineStr">
        <is>
          <t>-</t>
        </is>
      </c>
      <c r="E20" s="277" t="n">
        <v>1.139</v>
      </c>
      <c r="F20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3" t="n"/>
    </row>
    <row r="21" ht="63" customHeight="1" s="182">
      <c r="A21" s="186" t="inlineStr">
        <is>
          <t>1.7</t>
        </is>
      </c>
      <c r="B21" s="215" t="inlineStr">
        <is>
          <t>Размер средств на оплату труда рабочих-строителей в текущем уровне цен (ФОТр.тек.), руб/чел.-ч</t>
        </is>
      </c>
      <c r="C21" s="226" t="inlineStr">
        <is>
          <t>ФОТр.тек.</t>
        </is>
      </c>
      <c r="D21" s="226" t="inlineStr">
        <is>
          <t>(С1ср/tср*КТ*Т*Кув)*Кинф</t>
        </is>
      </c>
      <c r="E21" s="209">
        <f>((E15*E17/E16)*E19)*E20</f>
        <v/>
      </c>
      <c r="F21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4" t="n"/>
    </row>
    <row r="22" ht="15.75" customHeight="1" s="182">
      <c r="A22" s="204" t="n"/>
      <c r="B22" s="205" t="inlineStr">
        <is>
          <t>Инженер II категории</t>
        </is>
      </c>
      <c r="C22" s="205" t="n"/>
      <c r="D22" s="205" t="n"/>
      <c r="E22" s="205" t="n"/>
      <c r="F22" s="206" t="n"/>
    </row>
    <row r="23" ht="110.25" customHeight="1" s="182">
      <c r="A23" s="186" t="inlineStr">
        <is>
          <t>1.1</t>
        </is>
      </c>
      <c r="B23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6" t="inlineStr">
        <is>
          <t>С1ср</t>
        </is>
      </c>
      <c r="D23" s="226" t="inlineStr">
        <is>
          <t>-</t>
        </is>
      </c>
      <c r="E23" s="189" t="n">
        <v>47872.94</v>
      </c>
      <c r="F23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4" t="n"/>
    </row>
    <row r="24" ht="31.5" customHeight="1" s="182">
      <c r="A24" s="186" t="inlineStr">
        <is>
          <t>1.2</t>
        </is>
      </c>
      <c r="B24" s="191" t="inlineStr">
        <is>
          <t>Среднегодовое нормативное число часов работы одного рабочего в месяц, часы (ч.)</t>
        </is>
      </c>
      <c r="C24" s="226" t="inlineStr">
        <is>
          <t>tср</t>
        </is>
      </c>
      <c r="D24" s="226" t="inlineStr">
        <is>
          <t>1973ч/12мес.</t>
        </is>
      </c>
      <c r="E24" s="190">
        <f>1973/12</f>
        <v/>
      </c>
      <c r="F24" s="191" t="inlineStr">
        <is>
          <t>Производственный календарь 2023 год
(40-часов.неделя)</t>
        </is>
      </c>
      <c r="G24" s="193" t="n"/>
    </row>
    <row r="25" ht="15.75" customHeight="1" s="182">
      <c r="A25" s="186" t="inlineStr">
        <is>
          <t>1.3</t>
        </is>
      </c>
      <c r="B25" s="191" t="inlineStr">
        <is>
          <t>Коэффициент увеличения</t>
        </is>
      </c>
      <c r="C25" s="226" t="inlineStr">
        <is>
          <t>Кув</t>
        </is>
      </c>
      <c r="D25" s="226" t="inlineStr">
        <is>
          <t>-</t>
        </is>
      </c>
      <c r="E25" s="190" t="n">
        <v>1</v>
      </c>
      <c r="F25" s="191" t="n"/>
      <c r="G25" s="193" t="n"/>
    </row>
    <row r="26" ht="15.75" customHeight="1" s="182">
      <c r="A26" s="186" t="inlineStr">
        <is>
          <t>1.4</t>
        </is>
      </c>
      <c r="B26" s="191" t="inlineStr">
        <is>
          <t>Средний разряд работ</t>
        </is>
      </c>
      <c r="C26" s="226" t="n"/>
      <c r="D26" s="226" t="n"/>
      <c r="E26" s="275" t="inlineStr">
        <is>
          <t>Инженер II категории</t>
        </is>
      </c>
      <c r="F26" s="191" t="inlineStr">
        <is>
          <t>РТМ</t>
        </is>
      </c>
      <c r="G26" s="193" t="n"/>
    </row>
    <row r="27" ht="78.75" customHeight="1" s="182">
      <c r="A27" s="199" t="inlineStr">
        <is>
          <t>1.5</t>
        </is>
      </c>
      <c r="B27" s="203" t="inlineStr">
        <is>
          <t>Тарифный коэффициент среднего разряда работ</t>
        </is>
      </c>
      <c r="C27" s="227" t="inlineStr">
        <is>
          <t>КТ</t>
        </is>
      </c>
      <c r="D27" s="227" t="inlineStr">
        <is>
          <t>-</t>
        </is>
      </c>
      <c r="E27" s="278" t="n">
        <v>1.96</v>
      </c>
      <c r="F27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4" t="n"/>
    </row>
    <row r="28" ht="78.75" customHeight="1" s="182">
      <c r="A28" s="186" t="inlineStr">
        <is>
          <t>1.6</t>
        </is>
      </c>
      <c r="B28" s="211" t="inlineStr">
        <is>
          <t>Коэффициент инфляции, определяемый поквартально</t>
        </is>
      </c>
      <c r="C28" s="226" t="inlineStr">
        <is>
          <t>Кинф</t>
        </is>
      </c>
      <c r="D28" s="226" t="inlineStr">
        <is>
          <t>-</t>
        </is>
      </c>
      <c r="E28" s="277" t="n">
        <v>1.139</v>
      </c>
      <c r="F28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3" t="n"/>
    </row>
    <row r="29" ht="63" customHeight="1" s="182">
      <c r="A29" s="186" t="inlineStr">
        <is>
          <t>1.7</t>
        </is>
      </c>
      <c r="B29" s="215" t="inlineStr">
        <is>
          <t>Размер средств на оплату труда рабочих-строителей в текущем уровне цен (ФОТр.тек.), руб/чел.-ч</t>
        </is>
      </c>
      <c r="C29" s="226" t="inlineStr">
        <is>
          <t>ФОТр.тек.</t>
        </is>
      </c>
      <c r="D29" s="226" t="inlineStr">
        <is>
          <t>(С1ср/tср*КТ*Т*Кув)*Кинф</t>
        </is>
      </c>
      <c r="E29" s="209">
        <f>((E23*E25/E24)*E27)*E28</f>
        <v/>
      </c>
      <c r="F29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4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19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2025-01-24T12:01:56Z</dcterms:modified>
  <cp:lastModifiedBy>Nikolay Ivanov</cp:lastModifiedBy>
  <cp:lastPrinted>2023-11-30T13:46:08Z</cp:lastPrinted>
</cp:coreProperties>
</file>