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890" windowHeight="807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'Прил.3'!$A$1:$H$173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ОБ'!$A$1:$J$184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#,##0.0000"/>
    <numFmt numFmtId="165" formatCode="#,##0.0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2"/>
      <u val="single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4" fontId="6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14" fontId="6" fillId="0" borderId="1" applyAlignment="1" pivotButton="0" quotePrefix="1" xfId="0">
      <alignment horizontal="center" vertical="center"/>
    </xf>
    <xf numFmtId="0" fontId="13" fillId="0" borderId="0" pivotButton="0" quotePrefix="0" xfId="0"/>
    <xf numFmtId="167" fontId="10" fillId="0" borderId="0" pivotButton="0" quotePrefix="0" xfId="0"/>
    <xf numFmtId="4" fontId="6" fillId="0" borderId="0" pivotButton="0" quotePrefix="0" xfId="0"/>
    <xf numFmtId="0" fontId="6" fillId="0" borderId="1" applyAlignment="1" pivotButton="0" quotePrefix="0" xfId="0">
      <alignment vertical="center" wrapText="1"/>
    </xf>
    <xf numFmtId="0" fontId="14" fillId="0" borderId="1" applyAlignment="1" pivotButton="0" quotePrefix="0" xfId="0">
      <alignment horizontal="center" vertical="center" wrapText="1"/>
    </xf>
    <xf numFmtId="49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4" fontId="14" fillId="0" borderId="1" applyAlignment="1" pivotButton="0" quotePrefix="0" xfId="0">
      <alignment horizontal="right" vertical="center" wrapText="1"/>
    </xf>
    <xf numFmtId="0" fontId="15" fillId="0" borderId="0" pivotButton="0" quotePrefix="0" xfId="0"/>
    <xf numFmtId="0" fontId="14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8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1" xfId="0">
      <alignment horizontal="left" vertical="center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6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170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166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0" fontId="10" fillId="0" borderId="10" applyAlignment="1" pivotButton="0" quotePrefix="0" xfId="0">
      <alignment vertical="center" wrapText="1"/>
    </xf>
    <xf numFmtId="4" fontId="10" fillId="0" borderId="10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2" pivotButton="0" quotePrefix="0" xfId="0"/>
    <xf numFmtId="167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4" fontId="14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7" pivotButton="0" quotePrefix="0" xfId="0"/>
    <xf numFmtId="169" fontId="6" fillId="0" borderId="10" applyAlignment="1" pivotButton="0" quotePrefix="0" xfId="0">
      <alignment horizontal="center" vertical="center"/>
    </xf>
    <xf numFmtId="170" fontId="6" fillId="0" borderId="10" applyAlignment="1" pivotButton="0" quotePrefix="0" xfId="0">
      <alignment horizontal="center" vertical="center"/>
    </xf>
    <xf numFmtId="166" fontId="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topLeftCell="A16" zoomScale="60" zoomScaleNormal="85" workbookViewId="0">
      <selection activeCell="C29" sqref="C28:C29"/>
    </sheetView>
  </sheetViews>
  <sheetFormatPr baseColWidth="8" defaultRowHeight="15.75"/>
  <cols>
    <col width="9.140625" customWidth="1" style="162" min="1" max="2"/>
    <col width="36.85546875" customWidth="1" style="162" min="3" max="3"/>
    <col width="36.5703125" customWidth="1" style="162" min="4" max="4"/>
    <col width="14.28515625" customWidth="1" style="160" min="5" max="5"/>
    <col width="12.140625" customWidth="1" style="160" min="6" max="6"/>
    <col width="12.28515625" customWidth="1" style="160" min="7" max="7"/>
    <col width="15" customWidth="1" style="160" min="8" max="8"/>
  </cols>
  <sheetData>
    <row r="1">
      <c r="E1" s="162" t="n"/>
      <c r="F1" s="162" t="n"/>
      <c r="G1" s="162" t="n"/>
      <c r="H1" s="162" t="n"/>
      <c r="I1" s="162" t="n"/>
    </row>
    <row r="2">
      <c r="E2" s="162" t="n"/>
      <c r="F2" s="162" t="n"/>
      <c r="G2" s="162" t="n"/>
      <c r="H2" s="162" t="n"/>
      <c r="I2" s="162" t="n"/>
    </row>
    <row r="3">
      <c r="B3" s="173" t="inlineStr">
        <is>
          <t>Приложение № 1</t>
        </is>
      </c>
      <c r="E3" s="162" t="n"/>
      <c r="F3" s="162" t="n"/>
      <c r="G3" s="162" t="n"/>
      <c r="H3" s="162" t="n"/>
      <c r="I3" s="162" t="n"/>
    </row>
    <row r="4">
      <c r="B4" s="174" t="inlineStr">
        <is>
          <t>Сравнительная таблица отбора объекта-представителя</t>
        </is>
      </c>
      <c r="E4" s="162" t="n"/>
      <c r="F4" s="162" t="n"/>
      <c r="G4" s="162" t="n"/>
      <c r="H4" s="162" t="n"/>
      <c r="I4" s="162" t="n"/>
    </row>
    <row r="5">
      <c r="B5" s="176" t="n"/>
      <c r="E5" s="162" t="n"/>
      <c r="F5" s="162" t="n"/>
      <c r="G5" s="162" t="n"/>
      <c r="H5" s="162" t="n"/>
      <c r="I5" s="162" t="n"/>
    </row>
    <row r="6">
      <c r="B6" s="96" t="n"/>
      <c r="C6" s="96" t="n"/>
      <c r="D6" s="96" t="n"/>
      <c r="E6" s="162" t="n"/>
      <c r="F6" s="162" t="n"/>
      <c r="G6" s="162" t="n"/>
      <c r="H6" s="162" t="n"/>
      <c r="I6" s="162" t="n"/>
    </row>
    <row r="7" ht="57" customHeight="1" s="160">
      <c r="B7" s="175">
        <f>_xlfn.CONCAT(TEXT('Прил.5 Расчет СМР и ОБ'!A6,0)," - ",TEXT('Прил.5 Расчет СМР и ОБ'!D6,0))</f>
        <v/>
      </c>
      <c r="E7" s="97" t="n"/>
      <c r="F7" s="162" t="n"/>
      <c r="G7" s="162" t="n"/>
      <c r="H7" s="162" t="n"/>
      <c r="I7" s="162" t="n"/>
    </row>
    <row r="8" ht="15.75" customHeight="1" s="160">
      <c r="B8" s="94" t="inlineStr">
        <is>
          <t xml:space="preserve">Сопоставимый уровень цен: </t>
        </is>
      </c>
      <c r="C8" s="94" t="n"/>
      <c r="D8" s="178">
        <f>D22</f>
        <v/>
      </c>
      <c r="E8" s="162" t="n"/>
      <c r="F8" s="162" t="n"/>
      <c r="G8" s="162" t="n"/>
      <c r="H8" s="162" t="n"/>
      <c r="I8" s="162" t="n"/>
    </row>
    <row r="9" ht="15.75" customHeight="1" s="160">
      <c r="B9" s="172" t="inlineStr">
        <is>
          <t>Единица измерения  — 1 м периметра ПС</t>
        </is>
      </c>
      <c r="E9" s="97" t="n"/>
      <c r="F9" s="162" t="n"/>
      <c r="G9" s="162" t="n"/>
      <c r="H9" s="162" t="n"/>
      <c r="I9" s="162" t="n"/>
    </row>
    <row r="10">
      <c r="B10" s="175" t="n"/>
      <c r="E10" s="162" t="n"/>
      <c r="F10" s="162" t="n"/>
      <c r="G10" s="162" t="n"/>
      <c r="H10" s="162" t="n"/>
      <c r="I10" s="162" t="n"/>
    </row>
    <row r="11">
      <c r="B11" s="179" t="inlineStr">
        <is>
          <t>№ п/п</t>
        </is>
      </c>
      <c r="C11" s="179" t="inlineStr">
        <is>
          <t>Параметр</t>
        </is>
      </c>
      <c r="D11" s="179" t="inlineStr">
        <is>
          <t>Объект-представитель 1</t>
        </is>
      </c>
      <c r="E11" s="97" t="n"/>
      <c r="F11" s="162" t="n"/>
      <c r="G11" s="162" t="n"/>
      <c r="H11" s="162" t="n"/>
      <c r="I11" s="162" t="n"/>
    </row>
    <row r="12" ht="147" customHeight="1" s="160">
      <c r="B12" s="179" t="n">
        <v>1</v>
      </c>
      <c r="C12" s="132" t="inlineStr">
        <is>
          <t>Наименование объекта-представителя</t>
        </is>
      </c>
      <c r="D12" s="179" t="inlineStr">
        <is>
          <t>Строительство ПС Промпарк с ВЛ 220 кВ Владивосток – Промпарк протяжённостью 24,78 км с расширением ОРУ 220 кВ ПС 500 кВ Владивосток на две яч. 220 кВ (для ТП энергопринимающих устройств АО «Корпорация развития Дальнего Востока»" (МЭС Востока)</t>
        </is>
      </c>
      <c r="E12" s="162" t="n"/>
      <c r="F12" s="162" t="n"/>
      <c r="G12" s="162" t="n"/>
      <c r="H12" s="162" t="n"/>
      <c r="I12" s="162" t="n"/>
    </row>
    <row r="13" ht="31.5" customHeight="1" s="160">
      <c r="B13" s="179" t="n">
        <v>2</v>
      </c>
      <c r="C13" s="132" t="inlineStr">
        <is>
          <t>Наименование субъекта Российской Федерации</t>
        </is>
      </c>
      <c r="D13" s="179" t="inlineStr">
        <is>
          <t>Приморский край</t>
        </is>
      </c>
      <c r="E13" s="162" t="n"/>
      <c r="F13" s="162" t="n"/>
      <c r="G13" s="162" t="n"/>
      <c r="H13" s="162" t="n"/>
      <c r="I13" s="162" t="n"/>
    </row>
    <row r="14">
      <c r="B14" s="179" t="n">
        <v>3</v>
      </c>
      <c r="C14" s="132" t="inlineStr">
        <is>
          <t>Климатический район и подрайон</t>
        </is>
      </c>
      <c r="D14" s="179" t="inlineStr">
        <is>
          <t>I B</t>
        </is>
      </c>
      <c r="E14" s="162" t="n"/>
      <c r="F14" s="162" t="n"/>
      <c r="G14" s="162" t="n"/>
      <c r="H14" s="162" t="n"/>
      <c r="I14" s="162" t="n"/>
    </row>
    <row r="15">
      <c r="B15" s="179" t="n">
        <v>4</v>
      </c>
      <c r="C15" s="132" t="inlineStr">
        <is>
          <t>Мощность объекта</t>
        </is>
      </c>
      <c r="D15" s="148" t="n">
        <v>430</v>
      </c>
      <c r="E15" s="162" t="n"/>
      <c r="F15" s="162" t="n"/>
      <c r="G15" s="162" t="n"/>
      <c r="H15" s="162" t="n"/>
      <c r="I15" s="162" t="n"/>
    </row>
    <row r="16" ht="100.5" customHeight="1" s="160">
      <c r="B16" s="179" t="n">
        <v>5</v>
      </c>
      <c r="C16" s="9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Светильники 58 шт
Кабели - 3,1 км
Щитки охранного освещения 3 шт.
Ж/б фундаменты 25,6 м3</t>
        </is>
      </c>
      <c r="E16" s="162" t="n"/>
      <c r="F16" s="162" t="n"/>
      <c r="G16" s="162" t="n"/>
      <c r="H16" s="162" t="n"/>
      <c r="I16" s="162" t="n"/>
    </row>
    <row r="17" ht="82.5" customHeight="1" s="160">
      <c r="B17" s="179" t="n">
        <v>6</v>
      </c>
      <c r="C17" s="9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0">
        <f>SUM(D18:D21)</f>
        <v/>
      </c>
      <c r="E17" s="101" t="n"/>
      <c r="F17" s="162" t="n"/>
      <c r="G17" s="162" t="n"/>
      <c r="H17" s="162" t="n"/>
      <c r="I17" s="162" t="n"/>
    </row>
    <row r="18">
      <c r="B18" s="102" t="inlineStr">
        <is>
          <t>6.1</t>
        </is>
      </c>
      <c r="C18" s="132" t="inlineStr">
        <is>
          <t>строительно-монтажные работы</t>
        </is>
      </c>
      <c r="D18" s="100">
        <f>'Прил.2 Расч стоим'!F16+'Прил.2 Расч стоим'!G16</f>
        <v/>
      </c>
      <c r="E18" s="162" t="n"/>
      <c r="F18" s="162" t="n"/>
      <c r="G18" s="162" t="n"/>
      <c r="H18" s="162" t="n"/>
      <c r="I18" s="162" t="n"/>
    </row>
    <row r="19">
      <c r="B19" s="102" t="inlineStr">
        <is>
          <t>6.2</t>
        </is>
      </c>
      <c r="C19" s="132" t="inlineStr">
        <is>
          <t>оборудование и инвентарь</t>
        </is>
      </c>
      <c r="D19" s="100" t="n">
        <v>0</v>
      </c>
      <c r="E19" s="162" t="n"/>
      <c r="F19" s="162" t="n"/>
      <c r="G19" s="162" t="n"/>
      <c r="H19" s="162" t="n"/>
      <c r="I19" s="162" t="n"/>
    </row>
    <row r="20">
      <c r="B20" s="102" t="inlineStr">
        <is>
          <t>6.3</t>
        </is>
      </c>
      <c r="C20" s="132" t="inlineStr">
        <is>
          <t>пусконаладочные работы</t>
        </is>
      </c>
      <c r="D20" s="100" t="n">
        <v>0</v>
      </c>
      <c r="E20" s="162" t="n"/>
      <c r="F20" s="162" t="n"/>
      <c r="G20" s="162" t="n"/>
      <c r="H20" s="162" t="n"/>
      <c r="I20" s="162" t="n"/>
    </row>
    <row r="21">
      <c r="B21" s="102" t="inlineStr">
        <is>
          <t>6.4</t>
        </is>
      </c>
      <c r="C21" s="103" t="inlineStr">
        <is>
          <t>прочие и лимитированные затраты</t>
        </is>
      </c>
      <c r="D21" s="223">
        <f>D18*3.9%+(D18+D18*3.9%)*4.3%*0.8</f>
        <v/>
      </c>
      <c r="E21" s="162" t="n"/>
      <c r="F21" s="162" t="n"/>
      <c r="G21" s="162" t="n"/>
      <c r="H21" s="162" t="n"/>
      <c r="I21" s="162" t="n"/>
    </row>
    <row r="22">
      <c r="B22" s="179" t="n">
        <v>7</v>
      </c>
      <c r="C22" s="103" t="inlineStr">
        <is>
          <t>Сопоставимый уровень цен</t>
        </is>
      </c>
      <c r="D22" s="179" t="inlineStr">
        <is>
          <t>3 кв. 2018г</t>
        </is>
      </c>
      <c r="E22" s="101" t="n"/>
      <c r="F22" s="162" t="n"/>
      <c r="G22" s="162" t="n"/>
      <c r="H22" s="162" t="n"/>
      <c r="I22" s="162" t="n"/>
    </row>
    <row r="23" ht="119.25" customHeight="1" s="160">
      <c r="B23" s="179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5">
        <f>D17</f>
        <v/>
      </c>
      <c r="E23" s="162" t="n"/>
      <c r="F23" s="162" t="n"/>
      <c r="G23" s="162" t="n"/>
      <c r="H23" s="162" t="n"/>
      <c r="I23" s="162" t="n"/>
    </row>
    <row r="24" ht="47.25" customHeight="1" s="160">
      <c r="B24" s="179" t="n">
        <v>9</v>
      </c>
      <c r="C24" s="99" t="inlineStr">
        <is>
          <t>Приведенная сметная стоимость на единицу мощности, тыс. руб. (строка 8/строку 4)</t>
        </is>
      </c>
      <c r="D24" s="105">
        <f>D23/D15</f>
        <v/>
      </c>
      <c r="E24" s="101" t="n"/>
      <c r="F24" s="162" t="n"/>
      <c r="G24" s="162" t="n"/>
      <c r="H24" s="162" t="n"/>
      <c r="I24" s="162" t="n"/>
    </row>
    <row r="25">
      <c r="B25" s="179" t="n">
        <v>10</v>
      </c>
      <c r="C25" s="132" t="inlineStr">
        <is>
          <t>Примечание</t>
        </is>
      </c>
      <c r="D25" s="132" t="n"/>
      <c r="E25" s="162" t="n"/>
      <c r="F25" s="162" t="n"/>
      <c r="G25" s="162" t="n"/>
      <c r="H25" s="162" t="n"/>
      <c r="I25" s="162" t="n"/>
    </row>
    <row r="26">
      <c r="B26" s="176" t="n"/>
      <c r="C26" s="107" t="n"/>
      <c r="D26" s="107" t="n"/>
      <c r="E26" s="162" t="n"/>
      <c r="F26" s="162" t="n"/>
      <c r="G26" s="162" t="n"/>
      <c r="H26" s="162" t="n"/>
      <c r="I26" s="162" t="n"/>
    </row>
    <row r="27">
      <c r="B27" s="94" t="n"/>
      <c r="E27" s="162" t="n"/>
      <c r="F27" s="162" t="n"/>
      <c r="G27" s="162" t="n"/>
      <c r="H27" s="162" t="n"/>
      <c r="I27" s="162" t="n"/>
    </row>
    <row r="28">
      <c r="B28" s="162" t="inlineStr">
        <is>
          <t>Составил ______________________        Е.А. Князева</t>
        </is>
      </c>
      <c r="E28" s="162" t="n"/>
      <c r="F28" s="162" t="n"/>
      <c r="G28" s="162" t="n"/>
      <c r="H28" s="162" t="n"/>
      <c r="I28" s="162" t="n"/>
    </row>
    <row r="29" ht="22.5" customHeight="1" s="160">
      <c r="B29" s="117" t="inlineStr">
        <is>
          <t xml:space="preserve">                         (подпись, инициалы, фамилия)</t>
        </is>
      </c>
      <c r="E29" s="162" t="n"/>
      <c r="F29" s="162" t="n"/>
      <c r="G29" s="162" t="n"/>
      <c r="H29" s="162" t="n"/>
      <c r="I29" s="162" t="n"/>
    </row>
    <row r="30">
      <c r="E30" s="162" t="n"/>
      <c r="F30" s="162" t="n"/>
      <c r="G30" s="162" t="n"/>
      <c r="H30" s="162" t="n"/>
      <c r="I30" s="162" t="n"/>
    </row>
    <row r="31">
      <c r="B31" s="162" t="inlineStr">
        <is>
          <t>Проверил ______________________        А.В. Костянецкая</t>
        </is>
      </c>
      <c r="E31" s="162" t="n"/>
      <c r="F31" s="162" t="n"/>
      <c r="G31" s="162" t="n"/>
      <c r="H31" s="162" t="n"/>
      <c r="I31" s="162" t="n"/>
    </row>
    <row r="32" ht="22.5" customHeight="1" s="160">
      <c r="B32" s="117" t="inlineStr">
        <is>
          <t xml:space="preserve">                        (подпись, инициалы, фамилия)</t>
        </is>
      </c>
      <c r="E32" s="162" t="n"/>
      <c r="F32" s="162" t="n"/>
      <c r="G32" s="162" t="n"/>
      <c r="H32" s="162" t="n"/>
      <c r="I32" s="162" t="n"/>
    </row>
    <row r="33">
      <c r="E33" s="162" t="n"/>
      <c r="F33" s="162" t="n"/>
      <c r="G33" s="162" t="n"/>
      <c r="H33" s="162" t="n"/>
      <c r="I33" s="162" t="n"/>
    </row>
    <row r="34">
      <c r="E34" s="162" t="n"/>
      <c r="F34" s="162" t="n"/>
      <c r="G34" s="162" t="n"/>
      <c r="H34" s="162" t="n"/>
      <c r="I34" s="162" t="n"/>
    </row>
    <row r="35">
      <c r="E35" s="162" t="n"/>
      <c r="F35" s="162" t="n"/>
      <c r="G35" s="162" t="n"/>
      <c r="H35" s="162" t="n"/>
      <c r="I35" s="162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view="pageBreakPreview" zoomScale="60" zoomScaleNormal="100" workbookViewId="0">
      <selection activeCell="C57" sqref="C57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24.8554687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</cols>
  <sheetData>
    <row r="1" ht="15.75" customHeight="1" s="160">
      <c r="A1" s="162" t="n"/>
      <c r="B1" s="162" t="n"/>
      <c r="C1" s="162" t="n"/>
      <c r="D1" s="162" t="n"/>
      <c r="E1" s="162" t="n"/>
      <c r="F1" s="162" t="n"/>
      <c r="G1" s="162" t="n"/>
      <c r="H1" s="162" t="n"/>
      <c r="I1" s="162" t="n"/>
      <c r="J1" s="162" t="n"/>
    </row>
    <row r="2" ht="15.75" customHeight="1" s="160">
      <c r="A2" s="162" t="n"/>
      <c r="B2" s="162" t="n"/>
      <c r="C2" s="162" t="n"/>
      <c r="D2" s="162" t="n"/>
      <c r="E2" s="162" t="n"/>
      <c r="F2" s="162" t="n"/>
      <c r="G2" s="162" t="n"/>
      <c r="H2" s="162" t="n"/>
      <c r="I2" s="162" t="n"/>
      <c r="J2" s="162" t="n"/>
    </row>
    <row r="3" ht="15.75" customHeight="1" s="160">
      <c r="A3" s="162" t="n"/>
      <c r="B3" s="173" t="inlineStr">
        <is>
          <t>Приложение № 2</t>
        </is>
      </c>
    </row>
    <row r="4" ht="15.75" customHeight="1" s="160">
      <c r="A4" s="162" t="n"/>
      <c r="B4" s="174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A5" s="162" t="n"/>
      <c r="B5" s="96" t="n"/>
      <c r="C5" s="96" t="n"/>
      <c r="D5" s="96" t="n"/>
      <c r="E5" s="96" t="n"/>
      <c r="F5" s="96" t="n"/>
      <c r="G5" s="96" t="n"/>
      <c r="H5" s="96" t="n"/>
      <c r="I5" s="96" t="n"/>
      <c r="J5" s="96" t="n"/>
    </row>
    <row r="6" ht="15.75" customHeight="1" s="160">
      <c r="A6" s="162" t="n"/>
      <c r="B6" s="178">
        <f>'Прил.1 Сравнит табл'!B7</f>
        <v/>
      </c>
    </row>
    <row r="7" ht="15.75" customHeight="1" s="160">
      <c r="A7" s="162" t="n"/>
      <c r="B7" s="175">
        <f>'Прил.1 Сравнит табл'!B9</f>
        <v/>
      </c>
    </row>
    <row r="8" ht="15.75" customHeight="1" s="160">
      <c r="A8" s="162" t="n"/>
      <c r="B8" s="175" t="n"/>
      <c r="C8" s="162" t="n"/>
      <c r="D8" s="162" t="n"/>
      <c r="E8" s="162" t="n"/>
      <c r="F8" s="162" t="n"/>
      <c r="G8" s="162" t="n"/>
      <c r="H8" s="162" t="n"/>
      <c r="I8" s="162" t="n"/>
      <c r="J8" s="162" t="n"/>
    </row>
    <row r="9" ht="15.75" customHeight="1" s="160">
      <c r="A9" s="162" t="n"/>
      <c r="B9" s="179" t="inlineStr">
        <is>
          <t>№ п/п</t>
        </is>
      </c>
      <c r="C9" s="17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9" t="inlineStr">
        <is>
          <t>Объект-представитель 1</t>
        </is>
      </c>
      <c r="E9" s="224" t="n"/>
      <c r="F9" s="224" t="n"/>
      <c r="G9" s="224" t="n"/>
      <c r="H9" s="224" t="n"/>
      <c r="I9" s="224" t="n"/>
      <c r="J9" s="225" t="n"/>
    </row>
    <row r="10" ht="15.75" customHeight="1" s="160">
      <c r="A10" s="162" t="n"/>
      <c r="B10" s="226" t="n"/>
      <c r="C10" s="226" t="n"/>
      <c r="D10" s="179" t="inlineStr">
        <is>
          <t>Номер сметы</t>
        </is>
      </c>
      <c r="E10" s="179" t="inlineStr">
        <is>
          <t>Наименование сметы</t>
        </is>
      </c>
      <c r="F10" s="179" t="inlineStr">
        <is>
          <t>Сметная стоимость в уровне цен 3 кв. 2018 г., тыс. руб.</t>
        </is>
      </c>
      <c r="G10" s="224" t="n"/>
      <c r="H10" s="224" t="n"/>
      <c r="I10" s="224" t="n"/>
      <c r="J10" s="225" t="n"/>
    </row>
    <row r="11" ht="63" customHeight="1" s="160">
      <c r="A11" s="162" t="n"/>
      <c r="B11" s="227" t="n"/>
      <c r="C11" s="227" t="n"/>
      <c r="D11" s="227" t="n"/>
      <c r="E11" s="227" t="n"/>
      <c r="F11" s="179" t="inlineStr">
        <is>
          <t>Строительные работы</t>
        </is>
      </c>
      <c r="G11" s="179" t="inlineStr">
        <is>
          <t>Монтажные работы</t>
        </is>
      </c>
      <c r="H11" s="179" t="inlineStr">
        <is>
          <t>Оборудование</t>
        </is>
      </c>
      <c r="I11" s="179" t="inlineStr">
        <is>
          <t>Прочее</t>
        </is>
      </c>
      <c r="J11" s="179" t="inlineStr">
        <is>
          <t>Всего</t>
        </is>
      </c>
    </row>
    <row r="12" ht="15.75" customHeight="1" s="160">
      <c r="A12" s="162" t="n"/>
      <c r="B12" s="166" t="n">
        <v>1</v>
      </c>
      <c r="C12" s="132" t="inlineStr">
        <is>
          <t>Светильники 58 шт</t>
        </is>
      </c>
      <c r="D12" s="167" t="inlineStr">
        <is>
          <t>07-03-02</t>
        </is>
      </c>
      <c r="E12" s="132" t="inlineStr">
        <is>
          <t>Охранное освещение</t>
        </is>
      </c>
      <c r="F12" s="168" t="n">
        <v>20.9307</v>
      </c>
      <c r="G12" s="168" t="n">
        <v>1650.675</v>
      </c>
      <c r="H12" s="168" t="n"/>
      <c r="I12" s="168" t="n"/>
      <c r="J12" s="169">
        <f>SUM(F12:I12)</f>
        <v/>
      </c>
    </row>
    <row r="13" ht="31.5" customHeight="1" s="160">
      <c r="A13" s="162" t="n"/>
      <c r="B13" s="166" t="n">
        <v>2</v>
      </c>
      <c r="C13" s="132" t="inlineStr">
        <is>
          <t>Кабели - 3,1 км. Щитки охранного освещения 3 шт.</t>
        </is>
      </c>
      <c r="D13" s="167" t="inlineStr">
        <is>
          <t>07-03-03</t>
        </is>
      </c>
      <c r="E13" s="132" t="inlineStr">
        <is>
          <t>Охранное освещение. Вторичные соединения</t>
        </is>
      </c>
      <c r="F13" s="168" t="n"/>
      <c r="G13" s="168" t="n">
        <v>374.9562</v>
      </c>
      <c r="H13" s="168" t="n"/>
      <c r="I13" s="168" t="n"/>
      <c r="J13" s="169">
        <f>SUM(F13:I13)</f>
        <v/>
      </c>
    </row>
    <row r="14" ht="31.5" customHeight="1" s="160">
      <c r="A14" s="162" t="n"/>
      <c r="B14" s="166" t="n">
        <v>3</v>
      </c>
      <c r="C14" s="132" t="inlineStr">
        <is>
          <t>Ж/б фундаменты 25,6 м3</t>
        </is>
      </c>
      <c r="D14" s="167" t="inlineStr">
        <is>
          <t>07-03-04</t>
        </is>
      </c>
      <c r="E14" s="132" t="inlineStr">
        <is>
          <t>Охранное освещение. АСР</t>
        </is>
      </c>
      <c r="F14" s="168" t="n">
        <v>1096.9201</v>
      </c>
      <c r="G14" s="168" t="n"/>
      <c r="H14" s="168" t="n"/>
      <c r="I14" s="168" t="n"/>
      <c r="J14" s="169">
        <f>SUM(F14:I14)</f>
        <v/>
      </c>
    </row>
    <row r="15" ht="15.75" customHeight="1" s="160">
      <c r="A15" s="162" t="n"/>
      <c r="B15" s="177" t="inlineStr">
        <is>
          <t>Всего по объекту:</t>
        </is>
      </c>
      <c r="C15" s="224" t="n"/>
      <c r="D15" s="224" t="n"/>
      <c r="E15" s="225" t="n"/>
      <c r="F15" s="170">
        <f>SUM(F12:F14)</f>
        <v/>
      </c>
      <c r="G15" s="170">
        <f>SUM(G12:G14)</f>
        <v/>
      </c>
      <c r="H15" s="170" t="n"/>
      <c r="I15" s="170" t="n"/>
      <c r="J15" s="170">
        <f>SUM(F15:I15)</f>
        <v/>
      </c>
    </row>
    <row r="16" ht="15.75" customHeight="1" s="160">
      <c r="A16" s="162" t="n"/>
      <c r="B16" s="177" t="inlineStr">
        <is>
          <t>Всего по объекту в сопоставимом уровне цен 3 кв. 2018г:</t>
        </is>
      </c>
      <c r="C16" s="224" t="n"/>
      <c r="D16" s="224" t="n"/>
      <c r="E16" s="225" t="n"/>
      <c r="F16" s="170">
        <f>F15</f>
        <v/>
      </c>
      <c r="G16" s="170">
        <f>G15</f>
        <v/>
      </c>
      <c r="H16" s="170" t="n"/>
      <c r="I16" s="170" t="n"/>
      <c r="J16" s="170">
        <f>SUM(F16:I16)</f>
        <v/>
      </c>
    </row>
    <row r="17" ht="15.75" customHeight="1" s="160">
      <c r="A17" s="162" t="n"/>
      <c r="B17" s="162" t="n"/>
      <c r="C17" s="162" t="n"/>
      <c r="D17" s="162" t="n"/>
      <c r="E17" s="162" t="n"/>
      <c r="F17" s="162" t="n"/>
      <c r="G17" s="162" t="n"/>
      <c r="H17" s="162" t="n"/>
      <c r="I17" s="162" t="n"/>
      <c r="J17" s="162" t="n"/>
    </row>
    <row r="19" ht="15.75" customHeight="1" s="160">
      <c r="B19" s="162" t="inlineStr">
        <is>
          <t>Составил ______________________        Е.А. Князева</t>
        </is>
      </c>
      <c r="C19" s="162" t="n"/>
      <c r="D19" s="162" t="n"/>
    </row>
    <row r="20" ht="22.5" customHeight="1" s="160">
      <c r="B20" s="117" t="inlineStr">
        <is>
          <t xml:space="preserve">                         (подпись, инициалы, фамилия)</t>
        </is>
      </c>
      <c r="C20" s="162" t="n"/>
      <c r="D20" s="162" t="n"/>
    </row>
    <row r="21" ht="15.75" customHeight="1" s="160">
      <c r="B21" s="162" t="n"/>
      <c r="C21" s="162" t="n"/>
      <c r="D21" s="162" t="n"/>
    </row>
    <row r="22" ht="15.75" customHeight="1" s="160">
      <c r="B22" s="162" t="inlineStr">
        <is>
          <t>Проверил ______________________        А.В. Костянецкая</t>
        </is>
      </c>
      <c r="C22" s="162" t="n"/>
      <c r="D22" s="162" t="n"/>
    </row>
    <row r="23" ht="22.5" customHeight="1" s="160">
      <c r="B23" s="117" t="inlineStr">
        <is>
          <t xml:space="preserve">                        (подпись, инициалы, фамилия)</t>
        </is>
      </c>
      <c r="C23" s="162" t="n"/>
      <c r="D23" s="162" t="n"/>
    </row>
  </sheetData>
  <mergeCells count="12">
    <mergeCell ref="B7:J7"/>
    <mergeCell ref="B3:J3"/>
    <mergeCell ref="D10:D11"/>
    <mergeCell ref="D9:J9"/>
    <mergeCell ref="F10:J10"/>
    <mergeCell ref="B16:E16"/>
    <mergeCell ref="B15:E15"/>
    <mergeCell ref="B6:J6"/>
    <mergeCell ref="B9:B11"/>
    <mergeCell ref="B4:J4"/>
    <mergeCell ref="E10:E11"/>
    <mergeCell ref="C9:C11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71"/>
  <sheetViews>
    <sheetView view="pageBreakPreview" topLeftCell="A160" workbookViewId="0">
      <selection activeCell="C167" sqref="C167"/>
    </sheetView>
  </sheetViews>
  <sheetFormatPr baseColWidth="8" defaultRowHeight="15.75"/>
  <cols>
    <col width="9.140625" customWidth="1" style="162" min="1" max="1"/>
    <col width="12.5703125" customWidth="1" style="162" min="2" max="2"/>
    <col width="22.42578125" customWidth="1" style="162" min="3" max="3"/>
    <col width="49.7109375" customWidth="1" style="162" min="4" max="4"/>
    <col width="10.140625" customWidth="1" style="162" min="5" max="5"/>
    <col width="20.7109375" customWidth="1" style="162" min="6" max="6"/>
    <col width="16.140625" customWidth="1" style="162" min="7" max="7"/>
    <col width="16.7109375" customWidth="1" style="162" min="8" max="8"/>
    <col width="6.28515625" customWidth="1" style="162" min="9" max="9"/>
    <col width="13.85546875" customWidth="1" style="162" min="10" max="10"/>
    <col width="13" customWidth="1" style="160" min="11" max="11"/>
    <col width="9.140625" customWidth="1" style="160" min="12" max="12"/>
  </cols>
  <sheetData>
    <row r="1">
      <c r="K1" s="162" t="n"/>
    </row>
    <row r="2">
      <c r="A2" s="173" t="inlineStr">
        <is>
          <t xml:space="preserve">Приложение № 3 </t>
        </is>
      </c>
      <c r="K2" s="162" t="n"/>
    </row>
    <row r="3">
      <c r="A3" s="174" t="inlineStr">
        <is>
          <t>Объектная ресурсная ведомость</t>
        </is>
      </c>
      <c r="K3" s="162" t="n"/>
    </row>
    <row r="4" ht="18.75" customHeight="1" s="160">
      <c r="A4" s="175" t="n"/>
      <c r="K4" s="162" t="n"/>
    </row>
    <row r="5">
      <c r="A5" s="178">
        <f>'Прил.1 Сравнит табл'!B7</f>
        <v/>
      </c>
      <c r="K5" s="162" t="n"/>
    </row>
    <row r="6" s="160">
      <c r="A6" s="178" t="n"/>
      <c r="B6" s="178" t="n"/>
      <c r="C6" s="178" t="n"/>
      <c r="D6" s="178" t="n"/>
      <c r="E6" s="178" t="n"/>
      <c r="F6" s="178" t="n"/>
      <c r="G6" s="178" t="n"/>
      <c r="H6" s="178" t="n"/>
      <c r="I6" s="162" t="n"/>
      <c r="J6" s="162" t="n"/>
      <c r="K6" s="162" t="n"/>
    </row>
    <row r="7" s="160">
      <c r="A7" s="178" t="n"/>
      <c r="B7" s="178" t="n"/>
      <c r="C7" s="178" t="n"/>
      <c r="D7" s="178" t="n"/>
      <c r="E7" s="178" t="n"/>
      <c r="F7" s="178" t="n"/>
      <c r="G7" s="178" t="n"/>
      <c r="H7" s="178" t="n"/>
      <c r="I7" s="162" t="n"/>
      <c r="J7" s="162" t="n"/>
      <c r="K7" s="162" t="n"/>
    </row>
    <row r="8">
      <c r="A8" s="178" t="n"/>
      <c r="B8" s="178" t="n"/>
      <c r="C8" s="178" t="n"/>
      <c r="D8" s="178" t="n"/>
      <c r="E8" s="178" t="n"/>
      <c r="F8" s="178" t="n"/>
      <c r="G8" s="178" t="n"/>
      <c r="H8" s="178" t="n"/>
      <c r="K8" s="162" t="n"/>
    </row>
    <row r="9" ht="15.75" customHeight="1" s="160">
      <c r="A9" s="179" t="inlineStr">
        <is>
          <t>п/п</t>
        </is>
      </c>
      <c r="B9" s="179" t="inlineStr">
        <is>
          <t>№ЛСР</t>
        </is>
      </c>
      <c r="C9" s="179" t="inlineStr">
        <is>
          <t>Код ресурса</t>
        </is>
      </c>
      <c r="D9" s="179" t="inlineStr">
        <is>
          <t>Наименование ресурса</t>
        </is>
      </c>
      <c r="E9" s="179" t="inlineStr">
        <is>
          <t>Ед. изм.</t>
        </is>
      </c>
      <c r="F9" s="179" t="inlineStr">
        <is>
          <t>Кол-во единиц по данным объекта-представителя</t>
        </is>
      </c>
      <c r="G9" s="179" t="inlineStr">
        <is>
          <t>Сметная стоимость в ценах на 01.01.2000 (руб.)</t>
        </is>
      </c>
      <c r="H9" s="225" t="n"/>
      <c r="K9" s="162" t="n"/>
    </row>
    <row r="10" ht="31.5" customHeight="1" s="160">
      <c r="A10" s="227" t="n"/>
      <c r="B10" s="227" t="n"/>
      <c r="C10" s="227" t="n"/>
      <c r="D10" s="227" t="n"/>
      <c r="E10" s="227" t="n"/>
      <c r="F10" s="227" t="n"/>
      <c r="G10" s="179" t="inlineStr">
        <is>
          <t>на ед.изм.</t>
        </is>
      </c>
      <c r="H10" s="179" t="inlineStr">
        <is>
          <t>общая</t>
        </is>
      </c>
      <c r="K10" s="162" t="n"/>
    </row>
    <row r="11">
      <c r="A11" s="109" t="n">
        <v>1</v>
      </c>
      <c r="B11" s="109" t="n"/>
      <c r="C11" s="109" t="n">
        <v>2</v>
      </c>
      <c r="D11" s="109" t="inlineStr">
        <is>
          <t>З</t>
        </is>
      </c>
      <c r="E11" s="109" t="n">
        <v>4</v>
      </c>
      <c r="F11" s="109" t="n">
        <v>5</v>
      </c>
      <c r="G11" s="109" t="n">
        <v>6</v>
      </c>
      <c r="H11" s="109" t="n">
        <v>7</v>
      </c>
      <c r="K11" s="162" t="n"/>
    </row>
    <row r="12">
      <c r="A12" s="180" t="inlineStr">
        <is>
          <t>Затраты труда рабочих</t>
        </is>
      </c>
      <c r="B12" s="224" t="n"/>
      <c r="C12" s="224" t="n"/>
      <c r="D12" s="224" t="n"/>
      <c r="E12" s="225" t="n"/>
      <c r="F12" s="110" t="n">
        <v>1710.871893</v>
      </c>
      <c r="G12" s="110" t="n"/>
      <c r="H12" s="110">
        <f>SUM(H13:H25)</f>
        <v/>
      </c>
      <c r="I12" s="228" t="n"/>
      <c r="J12" s="129" t="n"/>
      <c r="K12" s="151" t="n"/>
    </row>
    <row r="13">
      <c r="A13" s="181" t="n">
        <v>1</v>
      </c>
      <c r="B13" s="128" t="n"/>
      <c r="C13" s="113" t="inlineStr">
        <is>
          <t>1-0049</t>
        </is>
      </c>
      <c r="D13" s="182" t="inlineStr">
        <is>
          <t>Рабочий среднего разряда 4,9</t>
        </is>
      </c>
      <c r="E13" s="181" t="inlineStr">
        <is>
          <t>чел.-ч</t>
        </is>
      </c>
      <c r="F13" s="181" t="n">
        <v>374.807318</v>
      </c>
      <c r="G13" s="115" t="n">
        <v>10.94</v>
      </c>
      <c r="H13" s="115">
        <f>ROUND(F13*G13,2)</f>
        <v/>
      </c>
      <c r="K13" s="162" t="n"/>
    </row>
    <row r="14" ht="15" customHeight="1" s="160">
      <c r="A14" s="181" t="n">
        <v>2</v>
      </c>
      <c r="B14" s="127" t="n"/>
      <c r="C14" s="113" t="inlineStr">
        <is>
          <t>1-0038</t>
        </is>
      </c>
      <c r="D14" s="182" t="inlineStr">
        <is>
          <t>Рабочий среднего разряда 3,8</t>
        </is>
      </c>
      <c r="E14" s="181" t="inlineStr">
        <is>
          <t>чел.-ч</t>
        </is>
      </c>
      <c r="F14" s="181" t="n">
        <v>388.17698</v>
      </c>
      <c r="G14" s="115" t="n">
        <v>9.4</v>
      </c>
      <c r="H14" s="115">
        <f>ROUND(F14*G14,2)</f>
        <v/>
      </c>
      <c r="K14" s="162" t="n"/>
    </row>
    <row r="15">
      <c r="A15" s="181" t="n">
        <v>3</v>
      </c>
      <c r="B15" s="127" t="n"/>
      <c r="C15" s="113" t="inlineStr">
        <is>
          <t>1-0030</t>
        </is>
      </c>
      <c r="D15" s="182" t="inlineStr">
        <is>
          <t>Рабочий среднего разряда 3,0</t>
        </is>
      </c>
      <c r="E15" s="181" t="inlineStr">
        <is>
          <t>чел.-ч</t>
        </is>
      </c>
      <c r="F15" s="181" t="n">
        <v>388.00444</v>
      </c>
      <c r="G15" s="115" t="n">
        <v>8.529999999999999</v>
      </c>
      <c r="H15" s="115">
        <f>ROUND(F15*G15,2)</f>
        <v/>
      </c>
      <c r="K15" s="162" t="n"/>
    </row>
    <row r="16">
      <c r="A16" s="181" t="n">
        <v>4</v>
      </c>
      <c r="B16" s="127" t="n"/>
      <c r="C16" s="113" t="inlineStr">
        <is>
          <t>1-0040</t>
        </is>
      </c>
      <c r="D16" s="182" t="inlineStr">
        <is>
          <t>Рабочий среднего разряда 4,0</t>
        </is>
      </c>
      <c r="E16" s="181" t="inlineStr">
        <is>
          <t>чел.-ч</t>
        </is>
      </c>
      <c r="F16" s="181" t="n">
        <v>236.480475</v>
      </c>
      <c r="G16" s="115" t="n">
        <v>9.619999999999999</v>
      </c>
      <c r="H16" s="115">
        <f>ROUND(F16*G16,2)</f>
        <v/>
      </c>
      <c r="K16" s="162" t="n"/>
    </row>
    <row r="17">
      <c r="A17" s="181" t="n">
        <v>5</v>
      </c>
      <c r="B17" s="127" t="n"/>
      <c r="C17" s="113" t="inlineStr">
        <is>
          <t>1-0042</t>
        </is>
      </c>
      <c r="D17" s="182" t="inlineStr">
        <is>
          <t>Рабочий среднего разряда 4,2</t>
        </is>
      </c>
      <c r="E17" s="181" t="inlineStr">
        <is>
          <t>чел.-ч</t>
        </is>
      </c>
      <c r="F17" s="181" t="n">
        <v>101.0766</v>
      </c>
      <c r="G17" s="115" t="n">
        <v>9.92</v>
      </c>
      <c r="H17" s="115">
        <f>ROUND(F17*G17,2)</f>
        <v/>
      </c>
      <c r="K17" s="162" t="n"/>
    </row>
    <row r="18">
      <c r="A18" s="181" t="n">
        <v>6</v>
      </c>
      <c r="B18" s="127" t="n"/>
      <c r="C18" s="113" t="inlineStr">
        <is>
          <t>1-0029</t>
        </is>
      </c>
      <c r="D18" s="182" t="inlineStr">
        <is>
          <t>Рабочий среднего разряда 2,9</t>
        </is>
      </c>
      <c r="E18" s="181" t="inlineStr">
        <is>
          <t>чел.-ч</t>
        </is>
      </c>
      <c r="F18" s="181" t="n">
        <v>103.68</v>
      </c>
      <c r="G18" s="115" t="n">
        <v>8.460000000000001</v>
      </c>
      <c r="H18" s="115">
        <f>ROUND(F18*G18,2)</f>
        <v/>
      </c>
      <c r="K18" s="162" t="n"/>
    </row>
    <row r="19">
      <c r="A19" s="181" t="n">
        <v>7</v>
      </c>
      <c r="B19" s="127" t="n"/>
      <c r="C19" s="113" t="inlineStr">
        <is>
          <t>1-0035</t>
        </is>
      </c>
      <c r="D19" s="182" t="inlineStr">
        <is>
          <t>Рабочий среднего разряда 3,5</t>
        </is>
      </c>
      <c r="E19" s="181" t="inlineStr">
        <is>
          <t>чел.-ч</t>
        </is>
      </c>
      <c r="F19" s="181" t="n">
        <v>58.381904</v>
      </c>
      <c r="G19" s="115" t="n">
        <v>9.07</v>
      </c>
      <c r="H19" s="115">
        <f>ROUND(F19*G19,2)</f>
        <v/>
      </c>
      <c r="K19" s="162" t="n"/>
    </row>
    <row r="20">
      <c r="A20" s="181" t="n">
        <v>8</v>
      </c>
      <c r="B20" s="127" t="n"/>
      <c r="C20" s="113" t="inlineStr">
        <is>
          <t>1-0041</t>
        </is>
      </c>
      <c r="D20" s="182" t="inlineStr">
        <is>
          <t>Рабочий среднего разряда 4,1</t>
        </is>
      </c>
      <c r="E20" s="181" t="inlineStr">
        <is>
          <t>чел.-ч</t>
        </is>
      </c>
      <c r="F20" s="181" t="n">
        <v>45.171616</v>
      </c>
      <c r="G20" s="115" t="n">
        <v>9.76</v>
      </c>
      <c r="H20" s="115">
        <f>ROUND(F20*G20,2)</f>
        <v/>
      </c>
      <c r="K20" s="162" t="n"/>
    </row>
    <row r="21">
      <c r="A21" s="181" t="n">
        <v>9</v>
      </c>
      <c r="B21" s="127" t="n"/>
      <c r="C21" s="113" t="inlineStr">
        <is>
          <t>1-0036</t>
        </is>
      </c>
      <c r="D21" s="182" t="inlineStr">
        <is>
          <t>Рабочий среднего разряда 3,6</t>
        </is>
      </c>
      <c r="E21" s="181" t="inlineStr">
        <is>
          <t>чел.-ч</t>
        </is>
      </c>
      <c r="F21" s="181" t="n">
        <v>4.56</v>
      </c>
      <c r="G21" s="115" t="n">
        <v>9.18</v>
      </c>
      <c r="H21" s="115">
        <f>ROUND(F21*G21,2)</f>
        <v/>
      </c>
      <c r="K21" s="162" t="n"/>
      <c r="L21" s="28" t="n"/>
    </row>
    <row r="22">
      <c r="A22" s="181" t="n">
        <v>10</v>
      </c>
      <c r="B22" s="127" t="n"/>
      <c r="C22" s="113" t="inlineStr">
        <is>
          <t>1-0022</t>
        </is>
      </c>
      <c r="D22" s="182" t="inlineStr">
        <is>
          <t>Рабочий среднего разряда 2,2</t>
        </is>
      </c>
      <c r="E22" s="181" t="inlineStr">
        <is>
          <t>чел.-ч</t>
        </is>
      </c>
      <c r="F22" s="181" t="n">
        <v>5.1</v>
      </c>
      <c r="G22" s="115" t="n">
        <v>7.94</v>
      </c>
      <c r="H22" s="115">
        <f>ROUND(F22*G22,2)</f>
        <v/>
      </c>
      <c r="K22" s="162" t="n"/>
    </row>
    <row r="23">
      <c r="A23" s="181" t="n">
        <v>11</v>
      </c>
      <c r="B23" s="127" t="n"/>
      <c r="C23" s="113" t="inlineStr">
        <is>
          <t>1-0051</t>
        </is>
      </c>
      <c r="D23" s="182" t="inlineStr">
        <is>
          <t>Рабочий среднего разряда 5,1</t>
        </is>
      </c>
      <c r="E23" s="181" t="inlineStr">
        <is>
          <t>чел.-ч</t>
        </is>
      </c>
      <c r="F23" s="181" t="n">
        <v>2.331</v>
      </c>
      <c r="G23" s="115" t="n">
        <v>11.27</v>
      </c>
      <c r="H23" s="115">
        <f>ROUND(F23*G23,2)</f>
        <v/>
      </c>
      <c r="K23" s="162" t="n"/>
    </row>
    <row r="24" ht="15" customHeight="1" s="160">
      <c r="A24" s="181" t="n">
        <v>12</v>
      </c>
      <c r="B24" s="127" t="n"/>
      <c r="C24" s="113" t="inlineStr">
        <is>
          <t>1-0020</t>
        </is>
      </c>
      <c r="D24" s="182" t="inlineStr">
        <is>
          <t>Рабочий среднего разряда 2,0</t>
        </is>
      </c>
      <c r="E24" s="181" t="inlineStr">
        <is>
          <t>чел.-ч</t>
        </is>
      </c>
      <c r="F24" s="181" t="n">
        <v>2.4024</v>
      </c>
      <c r="G24" s="115" t="n">
        <v>7.8</v>
      </c>
      <c r="H24" s="115">
        <f>ROUND(F24*G24,2)</f>
        <v/>
      </c>
      <c r="K24" s="162" t="n"/>
    </row>
    <row r="25">
      <c r="A25" s="181" t="n">
        <v>13</v>
      </c>
      <c r="B25" s="127" t="n"/>
      <c r="C25" s="113" t="inlineStr">
        <is>
          <t>1-0032</t>
        </is>
      </c>
      <c r="D25" s="182" t="inlineStr">
        <is>
          <t>Рабочий среднего разряда 3,2</t>
        </is>
      </c>
      <c r="E25" s="181" t="inlineStr">
        <is>
          <t>чел.-ч</t>
        </is>
      </c>
      <c r="F25" s="181" t="n">
        <v>0.69916</v>
      </c>
      <c r="G25" s="115" t="n">
        <v>8.74</v>
      </c>
      <c r="H25" s="115">
        <f>ROUND(F25*G25,2)</f>
        <v/>
      </c>
      <c r="K25" s="162" t="n"/>
      <c r="L25" s="28" t="n"/>
    </row>
    <row r="26">
      <c r="A26" s="180" t="inlineStr">
        <is>
          <t>Затраты труда машинистов</t>
        </is>
      </c>
      <c r="B26" s="224" t="n"/>
      <c r="C26" s="224" t="n"/>
      <c r="D26" s="224" t="n"/>
      <c r="E26" s="225" t="n"/>
      <c r="F26" s="180" t="n">
        <v>299.741444</v>
      </c>
      <c r="G26" s="110" t="n"/>
      <c r="H26" s="110">
        <f>H27</f>
        <v/>
      </c>
      <c r="K26" s="162" t="n"/>
    </row>
    <row r="27">
      <c r="A27" s="181" t="n">
        <v>14</v>
      </c>
      <c r="B27" s="127" t="n"/>
      <c r="C27" s="121" t="n">
        <v>2</v>
      </c>
      <c r="D27" s="182" t="inlineStr">
        <is>
          <t>Затраты труда машинистов</t>
        </is>
      </c>
      <c r="E27" s="181" t="inlineStr">
        <is>
          <t>чел.-ч</t>
        </is>
      </c>
      <c r="F27" s="181" t="n">
        <v>299.741444</v>
      </c>
      <c r="G27" s="115" t="n"/>
      <c r="H27" s="115" t="n">
        <v>3763.26</v>
      </c>
      <c r="K27" s="162" t="n"/>
    </row>
    <row r="28">
      <c r="A28" s="180" t="inlineStr">
        <is>
          <t>Машины и механизмы</t>
        </is>
      </c>
      <c r="B28" s="224" t="n"/>
      <c r="C28" s="224" t="n"/>
      <c r="D28" s="224" t="n"/>
      <c r="E28" s="225" t="n"/>
      <c r="F28" s="180" t="n"/>
      <c r="G28" s="110" t="n"/>
      <c r="H28" s="110">
        <f>SUM(H29:H51)</f>
        <v/>
      </c>
      <c r="I28" s="151" t="n"/>
      <c r="J28" s="151" t="n"/>
      <c r="K28" s="151" t="n"/>
    </row>
    <row r="29">
      <c r="A29" s="181" t="n">
        <v>15</v>
      </c>
      <c r="B29" s="127" t="n"/>
      <c r="C29" s="121" t="inlineStr">
        <is>
          <t>91.21.22-447</t>
        </is>
      </c>
      <c r="D29" s="182" t="inlineStr">
        <is>
          <t>Установки электрометаллизационные</t>
        </is>
      </c>
      <c r="E29" s="181" t="inlineStr">
        <is>
          <t>маш.-ч.</t>
        </is>
      </c>
      <c r="F29" s="181" t="n">
        <v>127.651768</v>
      </c>
      <c r="G29" s="115" t="n">
        <v>74.23999999999999</v>
      </c>
      <c r="H29" s="115">
        <f>ROUND(F29*G29,2)</f>
        <v/>
      </c>
      <c r="K29" s="162" t="n"/>
    </row>
    <row r="30" ht="31.5" customHeight="1" s="160">
      <c r="A30" s="181" t="n">
        <v>16</v>
      </c>
      <c r="B30" s="127" t="n"/>
      <c r="C30" s="121" t="inlineStr">
        <is>
          <t>91.05.05-015</t>
        </is>
      </c>
      <c r="D30" s="182" t="inlineStr">
        <is>
          <t>Краны на автомобильном ходу, грузоподъемность 16 т</t>
        </is>
      </c>
      <c r="E30" s="181" t="inlineStr">
        <is>
          <t>маш.-ч.</t>
        </is>
      </c>
      <c r="F30" s="181" t="n">
        <v>16.002377</v>
      </c>
      <c r="G30" s="115" t="n">
        <v>115.4</v>
      </c>
      <c r="H30" s="115">
        <f>ROUND(F30*G30,2)</f>
        <v/>
      </c>
      <c r="I30" s="151" t="n"/>
      <c r="J30" s="151" t="n"/>
      <c r="K30" s="151" t="n"/>
    </row>
    <row r="31">
      <c r="A31" s="181" t="n">
        <v>17</v>
      </c>
      <c r="B31" s="127" t="n"/>
      <c r="C31" s="121" t="inlineStr">
        <is>
          <t>91.14.02-001</t>
        </is>
      </c>
      <c r="D31" s="182" t="inlineStr">
        <is>
          <t>Автомобили бортовые, грузоподъемность до 5 т</t>
        </is>
      </c>
      <c r="E31" s="181" t="inlineStr">
        <is>
          <t>маш.-ч.</t>
        </is>
      </c>
      <c r="F31" s="181" t="n">
        <v>18.524108</v>
      </c>
      <c r="G31" s="115" t="n">
        <v>65.70999999999999</v>
      </c>
      <c r="H31" s="115">
        <f>ROUND(F31*G31,2)</f>
        <v/>
      </c>
      <c r="K31" s="162" t="n"/>
    </row>
    <row r="32" ht="31.5" customHeight="1" s="160">
      <c r="A32" s="181" t="n">
        <v>18</v>
      </c>
      <c r="B32" s="127" t="n"/>
      <c r="C32" s="121" t="inlineStr">
        <is>
          <t>91.05.06-012</t>
        </is>
      </c>
      <c r="D32" s="182" t="inlineStr">
        <is>
          <t>Краны на гусеничном ходу, грузоподъемность до 16 т</t>
        </is>
      </c>
      <c r="E32" s="181" t="inlineStr">
        <is>
          <t>маш.-ч.</t>
        </is>
      </c>
      <c r="F32" s="181" t="n">
        <v>5.87776</v>
      </c>
      <c r="G32" s="115" t="n">
        <v>96.89</v>
      </c>
      <c r="H32" s="115">
        <f>ROUND(F32*G32,2)</f>
        <v/>
      </c>
      <c r="K32" s="162" t="n"/>
    </row>
    <row r="33" ht="31.5" customHeight="1" s="160">
      <c r="A33" s="181" t="n">
        <v>19</v>
      </c>
      <c r="B33" s="127" t="n"/>
      <c r="C33" s="121" t="inlineStr">
        <is>
          <t>91.17.04-233</t>
        </is>
      </c>
      <c r="D33" s="182" t="inlineStr">
        <is>
          <t>Установки для сварки ручной дуговой (постоянного тока)</t>
        </is>
      </c>
      <c r="E33" s="181" t="inlineStr">
        <is>
          <t>маш.-ч.</t>
        </is>
      </c>
      <c r="F33" s="181" t="n">
        <v>44.434511</v>
      </c>
      <c r="G33" s="115" t="n">
        <v>8.1</v>
      </c>
      <c r="H33" s="115">
        <f>ROUND(F33*G33,2)</f>
        <v/>
      </c>
      <c r="K33" s="162" t="n"/>
    </row>
    <row r="34" ht="47.25" customHeight="1" s="160">
      <c r="A34" s="181" t="n">
        <v>20</v>
      </c>
      <c r="B34" s="127" t="n"/>
      <c r="C34" s="121" t="inlineStr">
        <is>
          <t>91.17.04-036</t>
        </is>
      </c>
      <c r="D34" s="182" t="inlineStr">
        <is>
          <t>Агрегаты сварочные передвижные с дизельным двигателем, номинальный сварочный ток 250-400 А</t>
        </is>
      </c>
      <c r="E34" s="181" t="inlineStr">
        <is>
          <t>маш.-ч.</t>
        </is>
      </c>
      <c r="F34" s="181" t="n">
        <v>11.695264</v>
      </c>
      <c r="G34" s="115" t="n">
        <v>14</v>
      </c>
      <c r="H34" s="115">
        <f>ROUND(F34*G34,2)</f>
        <v/>
      </c>
      <c r="K34" s="162" t="n"/>
    </row>
    <row r="35" ht="31.5" customHeight="1" s="160">
      <c r="A35" s="181" t="n">
        <v>21</v>
      </c>
      <c r="B35" s="127" t="n"/>
      <c r="C35" s="121" t="inlineStr">
        <is>
          <t>91.06.03-061</t>
        </is>
      </c>
      <c r="D35" s="182" t="inlineStr">
        <is>
          <t>Лебедки электрические тяговым усилием до 12,26 кН (1,25 т)</t>
        </is>
      </c>
      <c r="E35" s="181" t="inlineStr">
        <is>
          <t>маш.-ч.</t>
        </is>
      </c>
      <c r="F35" s="181" t="n">
        <v>42.9554</v>
      </c>
      <c r="G35" s="115" t="n">
        <v>3.28</v>
      </c>
      <c r="H35" s="115">
        <f>ROUND(F35*G35,2)</f>
        <v/>
      </c>
      <c r="K35" s="162" t="n"/>
    </row>
    <row r="36">
      <c r="A36" s="181" t="n">
        <v>22</v>
      </c>
      <c r="B36" s="127" t="n"/>
      <c r="C36" s="121" t="inlineStr">
        <is>
          <t>91.06.05-011</t>
        </is>
      </c>
      <c r="D36" s="182" t="inlineStr">
        <is>
          <t>Погрузчики, грузоподъемность 5 т</t>
        </is>
      </c>
      <c r="E36" s="181" t="inlineStr">
        <is>
          <t>маш.-ч.</t>
        </is>
      </c>
      <c r="F36" s="181" t="n">
        <v>1.424308</v>
      </c>
      <c r="G36" s="115" t="n">
        <v>89.98999999999999</v>
      </c>
      <c r="H36" s="115">
        <f>ROUND(F36*G36,2)</f>
        <v/>
      </c>
      <c r="K36" s="162" t="n"/>
    </row>
    <row r="37" ht="31.5" customHeight="1" s="160">
      <c r="A37" s="181" t="n">
        <v>23</v>
      </c>
      <c r="B37" s="127" t="n"/>
      <c r="C37" s="121" t="inlineStr">
        <is>
          <t>91.01.05-085</t>
        </is>
      </c>
      <c r="D37" s="182" t="inlineStr">
        <is>
          <t>Экскаваторы одноковшовые дизельные на гусеничном ходу, емкость ковша 0,5 м3</t>
        </is>
      </c>
      <c r="E37" s="181" t="inlineStr">
        <is>
          <t>маш.-ч.</t>
        </is>
      </c>
      <c r="F37" s="181" t="n">
        <v>1.0455</v>
      </c>
      <c r="G37" s="115" t="n">
        <v>100</v>
      </c>
      <c r="H37" s="115">
        <f>ROUND(F37*G37,2)</f>
        <v/>
      </c>
      <c r="K37" s="162" t="n"/>
    </row>
    <row r="38">
      <c r="A38" s="181" t="n">
        <v>24</v>
      </c>
      <c r="B38" s="127" t="n"/>
      <c r="C38" s="121" t="inlineStr">
        <is>
          <t>91.01.01-036</t>
        </is>
      </c>
      <c r="D38" s="182" t="inlineStr">
        <is>
          <t>Бульдозеры, мощность 96 кВт (130 л.с.)</t>
        </is>
      </c>
      <c r="E38" s="181" t="inlineStr">
        <is>
          <t>маш.-ч.</t>
        </is>
      </c>
      <c r="F38" s="181" t="n">
        <v>0.64156</v>
      </c>
      <c r="G38" s="115" t="n">
        <v>94.05</v>
      </c>
      <c r="H38" s="115">
        <f>ROUND(F38*G38,2)</f>
        <v/>
      </c>
      <c r="K38" s="162" t="n"/>
    </row>
    <row r="39" ht="47.25" customHeight="1" s="160">
      <c r="A39" s="181" t="n">
        <v>25</v>
      </c>
      <c r="B39" s="127" t="n"/>
      <c r="C39" s="121" t="inlineStr">
        <is>
          <t>91.18.01-007</t>
        </is>
      </c>
      <c r="D39" s="18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9" s="181" t="inlineStr">
        <is>
          <t>маш.-ч.</t>
        </is>
      </c>
      <c r="F39" s="181" t="n">
        <v>0.57</v>
      </c>
      <c r="G39" s="115" t="n">
        <v>90</v>
      </c>
      <c r="H39" s="115">
        <f>ROUND(F39*G39,2)</f>
        <v/>
      </c>
      <c r="K39" s="162" t="n"/>
    </row>
    <row r="40" ht="31.5" customHeight="1" s="160">
      <c r="A40" s="181" t="n">
        <v>26</v>
      </c>
      <c r="B40" s="127" t="n"/>
      <c r="C40" s="121" t="inlineStr">
        <is>
          <t>91.06.01-003</t>
        </is>
      </c>
      <c r="D40" s="182" t="inlineStr">
        <is>
          <t>Домкраты гидравлические, грузоподъемность 63-100 т</t>
        </is>
      </c>
      <c r="E40" s="181" t="inlineStr">
        <is>
          <t>маш.-ч.</t>
        </is>
      </c>
      <c r="F40" s="181" t="n">
        <v>42.9554</v>
      </c>
      <c r="G40" s="115" t="n">
        <v>0.9</v>
      </c>
      <c r="H40" s="115">
        <f>ROUND(F40*G40,2)</f>
        <v/>
      </c>
      <c r="K40" s="162" t="n"/>
    </row>
    <row r="41" ht="47.25" customHeight="1" s="160">
      <c r="A41" s="181" t="n">
        <v>27</v>
      </c>
      <c r="B41" s="127" t="n"/>
      <c r="C41" s="121" t="inlineStr">
        <is>
          <t>91.06.05-057</t>
        </is>
      </c>
      <c r="D41" s="182" t="inlineStr">
        <is>
          <t>Погрузчики одноковшовые универсальные фронтальные пневмоколесные, грузоподъемность 3 т</t>
        </is>
      </c>
      <c r="E41" s="181" t="inlineStr">
        <is>
          <t>маш.-ч.</t>
        </is>
      </c>
      <c r="F41" s="181" t="n">
        <v>0.42</v>
      </c>
      <c r="G41" s="115" t="n">
        <v>90.40000000000001</v>
      </c>
      <c r="H41" s="115">
        <f>ROUND(F41*G41,2)</f>
        <v/>
      </c>
      <c r="K41" s="162" t="n"/>
    </row>
    <row r="42" ht="31.5" customHeight="1" s="160">
      <c r="A42" s="181" t="n">
        <v>28</v>
      </c>
      <c r="B42" s="127" t="n"/>
      <c r="C42" s="121" t="inlineStr">
        <is>
          <t>91.06.03-055</t>
        </is>
      </c>
      <c r="D42" s="182" t="inlineStr">
        <is>
          <t>Лебедки электрические тяговым усилием 19,62 кН (2 т)</t>
        </is>
      </c>
      <c r="E42" s="181" t="inlineStr">
        <is>
          <t>маш.-ч.</t>
        </is>
      </c>
      <c r="F42" s="181" t="n">
        <v>3.325667</v>
      </c>
      <c r="G42" s="115" t="n">
        <v>6.66</v>
      </c>
      <c r="H42" s="115">
        <f>ROUND(F42*G42,2)</f>
        <v/>
      </c>
      <c r="K42" s="162" t="n"/>
    </row>
    <row r="43" ht="31.5" customHeight="1" s="160">
      <c r="A43" s="181" t="n">
        <v>29</v>
      </c>
      <c r="B43" s="127" t="n"/>
      <c r="C43" s="121" t="inlineStr">
        <is>
          <t>91.08.09-024</t>
        </is>
      </c>
      <c r="D43" s="182" t="inlineStr">
        <is>
          <t>Трамбовки пневматические при работе от стационарного компрессора</t>
        </is>
      </c>
      <c r="E43" s="181" t="inlineStr">
        <is>
          <t>маш.-ч.</t>
        </is>
      </c>
      <c r="F43" s="181" t="n">
        <v>2.4</v>
      </c>
      <c r="G43" s="115" t="n">
        <v>4.91</v>
      </c>
      <c r="H43" s="115">
        <f>ROUND(F43*G43,2)</f>
        <v/>
      </c>
      <c r="K43" s="162" t="n"/>
    </row>
    <row r="44">
      <c r="A44" s="181" t="n">
        <v>30</v>
      </c>
      <c r="B44" s="127" t="n"/>
      <c r="C44" s="121" t="inlineStr">
        <is>
          <t>91.14.02-002</t>
        </is>
      </c>
      <c r="D44" s="182" t="inlineStr">
        <is>
          <t>Автомобили бортовые, грузоподъемность до 8 т</t>
        </is>
      </c>
      <c r="E44" s="181" t="inlineStr">
        <is>
          <t>маш.-ч.</t>
        </is>
      </c>
      <c r="F44" s="181" t="n">
        <v>0.107296</v>
      </c>
      <c r="G44" s="115" t="n">
        <v>85.84</v>
      </c>
      <c r="H44" s="115">
        <f>ROUND(F44*G44,2)</f>
        <v/>
      </c>
    </row>
    <row r="45">
      <c r="A45" s="181" t="n">
        <v>31</v>
      </c>
      <c r="B45" s="127" t="n"/>
      <c r="C45" s="121" t="inlineStr">
        <is>
          <t>91.07.04-001</t>
        </is>
      </c>
      <c r="D45" s="182" t="inlineStr">
        <is>
          <t>Вибраторы глубинные</t>
        </is>
      </c>
      <c r="E45" s="181" t="inlineStr">
        <is>
          <t>маш.-ч.</t>
        </is>
      </c>
      <c r="F45" s="181" t="n">
        <v>4.352</v>
      </c>
      <c r="G45" s="115" t="n">
        <v>1.9</v>
      </c>
      <c r="H45" s="115">
        <f>ROUND(F45*G45,2)</f>
        <v/>
      </c>
    </row>
    <row r="46" ht="47.25" customHeight="1" s="160">
      <c r="A46" s="181" t="n">
        <v>32</v>
      </c>
      <c r="B46" s="127" t="n"/>
      <c r="C46" s="121" t="inlineStr">
        <is>
          <t>91.18.01-012</t>
        </is>
      </c>
      <c r="D46" s="182" t="inlineStr">
        <is>
          <t>Компрессоры передвижные с электродвигателем давление 600 кПа (6 ат), производительность до 3,5 м3/мин</t>
        </is>
      </c>
      <c r="E46" s="181" t="inlineStr">
        <is>
          <t>маш.-ч.</t>
        </is>
      </c>
      <c r="F46" s="181" t="n">
        <v>0.116</v>
      </c>
      <c r="G46" s="115" t="n">
        <v>32.5</v>
      </c>
      <c r="H46" s="115">
        <f>ROUND(F46*G46,2)</f>
        <v/>
      </c>
    </row>
    <row r="47" ht="31.5" customHeight="1" s="160">
      <c r="A47" s="181" t="n">
        <v>33</v>
      </c>
      <c r="B47" s="127" t="n"/>
      <c r="C47" s="121" t="inlineStr">
        <is>
          <t>91.21.22-638</t>
        </is>
      </c>
      <c r="D47" s="182" t="inlineStr">
        <is>
          <t>Пылесосы промышленные, мощность до 2000 Вт</t>
        </is>
      </c>
      <c r="E47" s="181" t="inlineStr">
        <is>
          <t>маш.-ч.</t>
        </is>
      </c>
      <c r="F47" s="181" t="n">
        <v>0.7692</v>
      </c>
      <c r="G47" s="115" t="n">
        <v>3.29</v>
      </c>
      <c r="H47" s="115">
        <f>ROUND(F47*G47,2)</f>
        <v/>
      </c>
    </row>
    <row r="48" ht="31.5" customHeight="1" s="160">
      <c r="A48" s="181" t="n">
        <v>34</v>
      </c>
      <c r="B48" s="127" t="n"/>
      <c r="C48" s="121" t="inlineStr">
        <is>
          <t>91.04.01-041</t>
        </is>
      </c>
      <c r="D48" s="182" t="inlineStr">
        <is>
          <t>Молотки бурильные легкие при работе от передвижных компрессорных станций</t>
        </is>
      </c>
      <c r="E48" s="181" t="inlineStr">
        <is>
          <t>маш.-ч.</t>
        </is>
      </c>
      <c r="F48" s="181" t="n">
        <v>0.57</v>
      </c>
      <c r="G48" s="115" t="n">
        <v>2.99</v>
      </c>
      <c r="H48" s="115">
        <f>ROUND(F48*G48,2)</f>
        <v/>
      </c>
    </row>
    <row r="49" ht="47.25" customHeight="1" s="160">
      <c r="A49" s="181" t="n">
        <v>35</v>
      </c>
      <c r="B49" s="127" t="n"/>
      <c r="C49" s="121" t="inlineStr">
        <is>
          <t>91.21.01-012</t>
        </is>
      </c>
      <c r="D49" s="182" t="inlineStr">
        <is>
          <t>Агрегаты окрасочные высокого давления для окраски поверхностей конструкций, мощность 1 кВт</t>
        </is>
      </c>
      <c r="E49" s="181" t="inlineStr">
        <is>
          <t>маш.-ч.</t>
        </is>
      </c>
      <c r="F49" s="181" t="n">
        <v>0.1309</v>
      </c>
      <c r="G49" s="115" t="n">
        <v>6.82</v>
      </c>
      <c r="H49" s="115">
        <f>ROUND(F49*G49,2)</f>
        <v/>
      </c>
    </row>
    <row r="50">
      <c r="A50" s="181" t="n">
        <v>36</v>
      </c>
      <c r="B50" s="127" t="n"/>
      <c r="C50" s="121" t="inlineStr">
        <is>
          <t>91.17.04-042</t>
        </is>
      </c>
      <c r="D50" s="182" t="inlineStr">
        <is>
          <t>Аппараты для газовой сварки и резки</t>
        </is>
      </c>
      <c r="E50" s="181" t="inlineStr">
        <is>
          <t>маш.-ч.</t>
        </is>
      </c>
      <c r="F50" s="181" t="n">
        <v>0.463107</v>
      </c>
      <c r="G50" s="115" t="n">
        <v>1.2</v>
      </c>
      <c r="H50" s="115">
        <f>ROUND(F50*G50,2)</f>
        <v/>
      </c>
    </row>
    <row r="51" ht="31.5" customHeight="1" s="160">
      <c r="A51" s="181" t="n">
        <v>37</v>
      </c>
      <c r="B51" s="127" t="n"/>
      <c r="C51" s="121" t="inlineStr">
        <is>
          <t>91.06.03-060</t>
        </is>
      </c>
      <c r="D51" s="182" t="inlineStr">
        <is>
          <t>Лебедки электрические тяговым усилием до 5,79 кН (0,59 т)</t>
        </is>
      </c>
      <c r="E51" s="181" t="inlineStr">
        <is>
          <t>маш.-ч.</t>
        </is>
      </c>
      <c r="F51" s="181" t="n">
        <v>0.00385</v>
      </c>
      <c r="G51" s="115" t="n">
        <v>1.7</v>
      </c>
      <c r="H51" s="115">
        <f>ROUND(F51*G51,2)</f>
        <v/>
      </c>
    </row>
    <row r="52">
      <c r="A52" s="180" t="inlineStr">
        <is>
          <t>Оборудование</t>
        </is>
      </c>
      <c r="B52" s="224" t="n"/>
      <c r="C52" s="224" t="n"/>
      <c r="D52" s="224" t="n"/>
      <c r="E52" s="225" t="n"/>
      <c r="F52" s="180" t="n"/>
      <c r="G52" s="110" t="n"/>
      <c r="H52" s="110">
        <f>SUM(H53:H54)</f>
        <v/>
      </c>
      <c r="J52" s="123" t="n"/>
    </row>
    <row r="53" ht="31.5" customHeight="1" s="160">
      <c r="A53" s="181" t="n">
        <v>38</v>
      </c>
      <c r="B53" s="127" t="n"/>
      <c r="C53" s="121" t="inlineStr">
        <is>
          <t>62.1.02.14-0001</t>
        </is>
      </c>
      <c r="D53" s="182" t="inlineStr">
        <is>
          <t>Шкаф автоматики управления пожарными насосами и насосом "жокеем" ШАУПН-3М</t>
        </is>
      </c>
      <c r="E53" s="181" t="inlineStr">
        <is>
          <t>шт</t>
        </is>
      </c>
      <c r="F53" s="181" t="n">
        <v>2</v>
      </c>
      <c r="G53" s="115" t="n">
        <v>8472.67</v>
      </c>
      <c r="H53" s="115">
        <f>ROUND(F53*G53,2)</f>
        <v/>
      </c>
    </row>
    <row r="54" ht="31.5" customHeight="1" s="160">
      <c r="A54" s="181" t="n">
        <v>39</v>
      </c>
      <c r="B54" s="127" t="n"/>
      <c r="C54" s="121" t="inlineStr">
        <is>
          <t>62.1.02.06-0001</t>
        </is>
      </c>
      <c r="D54" s="182" t="inlineStr">
        <is>
          <t>Пункт распределительный, тип: ПР-2 на 36 модулей, навесной</t>
        </is>
      </c>
      <c r="E54" s="181" t="inlineStr">
        <is>
          <t>шт</t>
        </is>
      </c>
      <c r="F54" s="181" t="n">
        <v>1</v>
      </c>
      <c r="G54" s="115" t="n">
        <v>13774.85</v>
      </c>
      <c r="H54" s="115">
        <f>ROUND(F54*G54,2)</f>
        <v/>
      </c>
    </row>
    <row r="55">
      <c r="A55" s="180" t="inlineStr">
        <is>
          <t>Материалы</t>
        </is>
      </c>
      <c r="B55" s="224" t="n"/>
      <c r="C55" s="224" t="n"/>
      <c r="D55" s="224" t="n"/>
      <c r="E55" s="225" t="n"/>
      <c r="F55" s="180" t="n"/>
      <c r="G55" s="110" t="n"/>
      <c r="H55" s="110">
        <f>SUM(H56:H164)</f>
        <v/>
      </c>
      <c r="J55" s="123" t="n"/>
    </row>
    <row r="56" ht="63" customHeight="1" s="160">
      <c r="A56" s="181" t="n">
        <v>40</v>
      </c>
      <c r="B56" s="127" t="n"/>
      <c r="C56" s="121" t="inlineStr">
        <is>
          <t>07.2.07.12-0013</t>
        </is>
      </c>
      <c r="D56" s="182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0,5 до 1 т</t>
        </is>
      </c>
      <c r="E56" s="181" t="inlineStr">
        <is>
          <t>т</t>
        </is>
      </c>
      <c r="F56" s="181" t="n">
        <v>5.525744</v>
      </c>
      <c r="G56" s="115" t="n">
        <v>9869.85</v>
      </c>
      <c r="H56" s="115">
        <f>ROUND(F56*G56,2)</f>
        <v/>
      </c>
    </row>
    <row r="57" ht="31.5" customHeight="1" s="160">
      <c r="A57" s="181" t="n">
        <v>41</v>
      </c>
      <c r="B57" s="127" t="n"/>
      <c r="C57" s="121" t="inlineStr">
        <is>
          <t>21.1.06.10-0409</t>
        </is>
      </c>
      <c r="D57" s="182" t="inlineStr">
        <is>
          <t>Кабель силовой с медными жилами ВВГнг(A)-LS 5х6ок(N, РЕ)-1000</t>
        </is>
      </c>
      <c r="E57" s="181" t="inlineStr">
        <is>
          <t>1000 м</t>
        </is>
      </c>
      <c r="F57" s="181" t="n">
        <v>0.7446</v>
      </c>
      <c r="G57" s="115" t="n">
        <v>41260.08</v>
      </c>
      <c r="H57" s="115">
        <f>ROUND(F57*G57,2)</f>
        <v/>
      </c>
    </row>
    <row r="58" ht="31.5" customHeight="1" s="160">
      <c r="A58" s="181" t="n">
        <v>42</v>
      </c>
      <c r="B58" s="127" t="n"/>
      <c r="C58" s="121" t="inlineStr">
        <is>
          <t>21.1.06.10-0408</t>
        </is>
      </c>
      <c r="D58" s="182" t="inlineStr">
        <is>
          <t>Кабель силовой с медными жилами ВВГнг(A)-LS 5х4ок(N, РЕ)-1000</t>
        </is>
      </c>
      <c r="E58" s="181" t="inlineStr">
        <is>
          <t>1000 м</t>
        </is>
      </c>
      <c r="F58" s="181" t="n">
        <v>0.8313</v>
      </c>
      <c r="G58" s="115" t="n">
        <v>31015.17</v>
      </c>
      <c r="H58" s="115">
        <f>ROUND(F58*G58,2)</f>
        <v/>
      </c>
    </row>
    <row r="59" ht="31.5" customHeight="1" s="160">
      <c r="A59" s="181" t="n">
        <v>43</v>
      </c>
      <c r="B59" s="127" t="n"/>
      <c r="C59" s="121" t="inlineStr">
        <is>
          <t>04.1.02.05-0048</t>
        </is>
      </c>
      <c r="D59" s="182" t="inlineStr">
        <is>
          <t>Смеси бетонные тяжелого бетона (БСТ), крупность заполнителя 20 мм, класс В30 (М400)</t>
        </is>
      </c>
      <c r="E59" s="181" t="inlineStr">
        <is>
          <t>м3</t>
        </is>
      </c>
      <c r="F59" s="181" t="n">
        <v>25.984</v>
      </c>
      <c r="G59" s="115" t="n">
        <v>805.05</v>
      </c>
      <c r="H59" s="115">
        <f>ROUND(F59*G59,2)</f>
        <v/>
      </c>
    </row>
    <row r="60" ht="15" customHeight="1" s="160">
      <c r="A60" s="181" t="n">
        <v>44</v>
      </c>
      <c r="B60" s="127" t="n"/>
      <c r="C60" s="121" t="inlineStr">
        <is>
          <t>20.3.03.04-0293</t>
        </is>
      </c>
      <c r="D60" s="182" t="inlineStr">
        <is>
          <t>Светильники люминесцентные с зеркальной параболической решеткой потолочные типа: PRB/S 236 с ЭМПРА</t>
        </is>
      </c>
      <c r="E60" s="181" t="inlineStr">
        <is>
          <t>шт</t>
        </is>
      </c>
      <c r="F60" s="181" t="n">
        <v>45</v>
      </c>
      <c r="G60" s="115" t="n">
        <v>438.11</v>
      </c>
      <c r="H60" s="115">
        <f>ROUND(F60*G60,2)</f>
        <v/>
      </c>
    </row>
    <row r="61" ht="15" customHeight="1" s="160">
      <c r="A61" s="181" t="n">
        <v>45</v>
      </c>
      <c r="B61" s="127" t="n"/>
      <c r="C61" s="121" t="inlineStr">
        <is>
          <t>21.1.06.10-0410</t>
        </is>
      </c>
      <c r="D61" s="182" t="inlineStr">
        <is>
          <t>Кабель силовой с медными жилами ВВГнг(A)-LS 5х10ок(N, РЕ)-1000</t>
        </is>
      </c>
      <c r="E61" s="181" t="inlineStr">
        <is>
          <t>1000 м</t>
        </is>
      </c>
      <c r="F61" s="181" t="n">
        <v>0.306</v>
      </c>
      <c r="G61" s="115" t="n">
        <v>63006.77</v>
      </c>
      <c r="H61" s="115">
        <f>ROUND(F61*G61,2)</f>
        <v/>
      </c>
    </row>
    <row r="62" ht="15" customHeight="1" s="160">
      <c r="A62" s="181" t="n">
        <v>46</v>
      </c>
      <c r="B62" s="127" t="n"/>
      <c r="C62" s="121" t="inlineStr">
        <is>
          <t>20.5.02.09-0001</t>
        </is>
      </c>
      <c r="D62" s="182" t="inlineStr">
        <is>
          <t>Коробка соединительная из ударопрочной термопластической смолы (ABS-пластик) с тремя патрубками диаметром 3/4"</t>
        </is>
      </c>
      <c r="E62" s="181" t="inlineStr">
        <is>
          <t>шт</t>
        </is>
      </c>
      <c r="F62" s="181" t="n">
        <v>96</v>
      </c>
      <c r="G62" s="115" t="n">
        <v>199.35</v>
      </c>
      <c r="H62" s="115">
        <f>ROUND(F62*G62,2)</f>
        <v/>
      </c>
    </row>
    <row r="63" ht="15" customHeight="1" s="160">
      <c r="A63" s="181" t="n">
        <v>47</v>
      </c>
      <c r="B63" s="127" t="n"/>
      <c r="C63" s="121" t="inlineStr">
        <is>
          <t>20.3.03.04-0280</t>
        </is>
      </c>
      <c r="D63" s="182" t="inlineStr">
        <is>
          <t>Светильники люминесцентные с зеркальной параболической решеткой встраиваемые типа: PRB/R 436 с ЭПРА</t>
        </is>
      </c>
      <c r="E63" s="181" t="inlineStr">
        <is>
          <t>шт</t>
        </is>
      </c>
      <c r="F63" s="181" t="n">
        <v>13</v>
      </c>
      <c r="G63" s="115" t="n">
        <v>1094.65</v>
      </c>
      <c r="H63" s="115">
        <f>ROUND(F63*G63,2)</f>
        <v/>
      </c>
    </row>
    <row r="64" ht="15" customHeight="1" s="160">
      <c r="A64" s="181" t="n">
        <v>48</v>
      </c>
      <c r="B64" s="127" t="n"/>
      <c r="C64" s="121" t="inlineStr">
        <is>
          <t>21.1.08.03-0521</t>
        </is>
      </c>
      <c r="D64" s="182" t="inlineStr">
        <is>
          <t>Кабель контрольный КВВГнг(A)-LS 7x2,5</t>
        </is>
      </c>
      <c r="E64" s="181" t="inlineStr">
        <is>
          <t>1000 м</t>
        </is>
      </c>
      <c r="F64" s="181" t="n">
        <v>0.612</v>
      </c>
      <c r="G64" s="115" t="n">
        <v>20950.79</v>
      </c>
      <c r="H64" s="115">
        <f>ROUND(F64*G64,2)</f>
        <v/>
      </c>
    </row>
    <row r="65" ht="15" customHeight="1" s="160">
      <c r="A65" s="181" t="n">
        <v>49</v>
      </c>
      <c r="B65" s="127" t="n"/>
      <c r="C65" s="121" t="inlineStr">
        <is>
          <t>20.2.07.02-0002</t>
        </is>
      </c>
      <c r="D65" s="182" t="inlineStr">
        <is>
          <t>Лоток кабельный замковый неперфорированный 100х50 мм, горячеоцинкованный</t>
        </is>
      </c>
      <c r="E65" s="181" t="inlineStr">
        <is>
          <t>м</t>
        </is>
      </c>
      <c r="F65" s="181" t="n">
        <v>945</v>
      </c>
      <c r="G65" s="115" t="n">
        <v>11.65</v>
      </c>
      <c r="H65" s="115">
        <f>ROUND(F65*G65,2)</f>
        <v/>
      </c>
    </row>
    <row r="66" ht="15" customHeight="1" s="160">
      <c r="A66" s="181" t="n">
        <v>50</v>
      </c>
      <c r="B66" s="127" t="n"/>
      <c r="C66" s="121" t="inlineStr">
        <is>
          <t>08.4.03.03-0031</t>
        </is>
      </c>
      <c r="D66" s="182" t="inlineStr">
        <is>
          <t>Сталь арматурная, горячекатаная, периодического профиля, класс А-III, диаметр 10 мм</t>
        </is>
      </c>
      <c r="E66" s="181" t="inlineStr">
        <is>
          <t>т</t>
        </is>
      </c>
      <c r="F66" s="181" t="n">
        <v>0.8064</v>
      </c>
      <c r="G66" s="115" t="n">
        <v>8014.15</v>
      </c>
      <c r="H66" s="115">
        <f>ROUND(F66*G66,2)</f>
        <v/>
      </c>
    </row>
    <row r="67" ht="15" customHeight="1" s="160">
      <c r="A67" s="181" t="n">
        <v>51</v>
      </c>
      <c r="B67" s="127" t="n"/>
      <c r="C67" s="121" t="inlineStr">
        <is>
          <t>10.1.02.03-0001</t>
        </is>
      </c>
      <c r="D67" s="182" t="inlineStr">
        <is>
          <t>Проволока алюминиевая, марка АМЦ, диаметр 1,4-1,8 мм</t>
        </is>
      </c>
      <c r="E67" s="181" t="inlineStr">
        <is>
          <t>т</t>
        </is>
      </c>
      <c r="F67" s="181" t="n">
        <v>0.205058</v>
      </c>
      <c r="G67" s="115" t="n">
        <v>30090</v>
      </c>
      <c r="H67" s="115">
        <f>ROUND(F67*G67,2)</f>
        <v/>
      </c>
    </row>
    <row r="68" ht="15" customHeight="1" s="160">
      <c r="A68" s="181" t="n">
        <v>52</v>
      </c>
      <c r="B68" s="127" t="n"/>
      <c r="C68" s="121" t="inlineStr">
        <is>
          <t>Прайс из СД  ОП</t>
        </is>
      </c>
      <c r="D68" s="182" t="inlineStr">
        <is>
          <t>Кронштейн консольный для крепления светодиодных прожекторов ,Diode System</t>
        </is>
      </c>
      <c r="E68" s="181" t="inlineStr">
        <is>
          <t>шт</t>
        </is>
      </c>
      <c r="F68" s="181" t="n">
        <v>13</v>
      </c>
      <c r="G68" s="115" t="n">
        <v>430.22</v>
      </c>
      <c r="H68" s="115">
        <f>ROUND(F68*G68,2)</f>
        <v/>
      </c>
    </row>
    <row r="69" ht="15" customHeight="1" s="160">
      <c r="A69" s="181" t="n">
        <v>53</v>
      </c>
      <c r="B69" s="127" t="n"/>
      <c r="C69" s="121" t="inlineStr">
        <is>
          <t>21.1.06.10-0377</t>
        </is>
      </c>
      <c r="D69" s="182" t="inlineStr">
        <is>
          <t>Кабель силовой с медными жилами ВВГнг(A)-LS 3х2,5ок(N, РЕ)-1000</t>
        </is>
      </c>
      <c r="E69" s="181" t="inlineStr">
        <is>
          <t>1000 м</t>
        </is>
      </c>
      <c r="F69" s="181" t="n">
        <v>0.3213</v>
      </c>
      <c r="G69" s="115" t="n">
        <v>14498.24</v>
      </c>
      <c r="H69" s="115">
        <f>ROUND(F69*G69,2)</f>
        <v/>
      </c>
    </row>
    <row r="70" ht="15" customHeight="1" s="160">
      <c r="A70" s="181" t="n">
        <v>54</v>
      </c>
      <c r="B70" s="127" t="n"/>
      <c r="C70" s="121" t="inlineStr">
        <is>
          <t>20.2.03.06-0011</t>
        </is>
      </c>
      <c r="D70" s="182" t="inlineStr">
        <is>
          <t>Крышка лотка PNK: 50 замковая, длина 2,5 м</t>
        </is>
      </c>
      <c r="E70" s="181" t="inlineStr">
        <is>
          <t>шт</t>
        </is>
      </c>
      <c r="F70" s="181" t="n">
        <v>378</v>
      </c>
      <c r="G70" s="115" t="n">
        <v>12.07</v>
      </c>
      <c r="H70" s="115">
        <f>ROUND(F70*G70,2)</f>
        <v/>
      </c>
    </row>
    <row r="71" ht="15" customHeight="1" s="160">
      <c r="A71" s="181" t="n">
        <v>55</v>
      </c>
      <c r="B71" s="127" t="n"/>
      <c r="C71" s="121" t="inlineStr">
        <is>
          <t>Прайс из СД  ОП</t>
        </is>
      </c>
      <c r="D71" s="182" t="inlineStr">
        <is>
          <t>Кронштейн поворотный для крепления светодиодных светильников ,Diode System</t>
        </is>
      </c>
      <c r="E71" s="181" t="inlineStr">
        <is>
          <t>шт</t>
        </is>
      </c>
      <c r="F71" s="181" t="n">
        <v>45</v>
      </c>
      <c r="G71" s="115" t="n">
        <v>65.98999999999999</v>
      </c>
      <c r="H71" s="115">
        <f>ROUND(F71*G71,2)</f>
        <v/>
      </c>
    </row>
    <row r="72" ht="15" customHeight="1" s="160">
      <c r="A72" s="181" t="n">
        <v>56</v>
      </c>
      <c r="B72" s="127" t="n"/>
      <c r="C72" s="121" t="inlineStr">
        <is>
          <t>07.2.07.12-0002</t>
        </is>
      </c>
      <c r="D72" s="182" t="inlineStr">
        <is>
          <t>Элементы конструктивные вспомогательного назначения массой не более 50 кг с преобладанием толстолистовой стали с отверстиями</t>
        </is>
      </c>
      <c r="E72" s="181" t="inlineStr">
        <is>
          <t>т</t>
        </is>
      </c>
      <c r="F72" s="181" t="n">
        <v>0.291284</v>
      </c>
      <c r="G72" s="115" t="n">
        <v>7441</v>
      </c>
      <c r="H72" s="115">
        <f>ROUND(F72*G72,2)</f>
        <v/>
      </c>
    </row>
    <row r="73" ht="15" customHeight="1" s="160">
      <c r="A73" s="181" t="n">
        <v>57</v>
      </c>
      <c r="B73" s="127" t="n"/>
      <c r="C73" s="121" t="inlineStr">
        <is>
          <t>08.4.01.01-0022</t>
        </is>
      </c>
      <c r="D73" s="182" t="inlineStr">
        <is>
          <t>Детали анкерные с резьбой из прямых или гнутых круглых стержней</t>
        </is>
      </c>
      <c r="E73" s="181" t="inlineStr">
        <is>
          <t>т</t>
        </is>
      </c>
      <c r="F73" s="181" t="n">
        <v>0.1856</v>
      </c>
      <c r="G73" s="115" t="n">
        <v>10100</v>
      </c>
      <c r="H73" s="115">
        <f>ROUND(F73*G73,2)</f>
        <v/>
      </c>
    </row>
    <row r="74" ht="15" customHeight="1" s="160">
      <c r="A74" s="181" t="n">
        <v>58</v>
      </c>
      <c r="B74" s="127" t="n"/>
      <c r="C74" s="121" t="inlineStr">
        <is>
          <t>23.5.02.02-0002</t>
        </is>
      </c>
      <c r="D74" s="182" t="inlineStr">
        <is>
          <t>Трубы стальные электросварные прямошовные из стали марок БСт2кп-БСт4кп и БСт2пс-БСт4пс, наружный диаметр 32 мм, толщина стенки 2,0 мм</t>
        </is>
      </c>
      <c r="E74" s="181" t="inlineStr">
        <is>
          <t>м</t>
        </is>
      </c>
      <c r="F74" s="181" t="n">
        <v>135.96</v>
      </c>
      <c r="G74" s="115" t="n">
        <v>13.49</v>
      </c>
      <c r="H74" s="115">
        <f>ROUND(F74*G74,2)</f>
        <v/>
      </c>
    </row>
    <row r="75" ht="15" customHeight="1" s="160">
      <c r="A75" s="181" t="n">
        <v>59</v>
      </c>
      <c r="B75" s="127" t="n"/>
      <c r="C75" s="121" t="inlineStr">
        <is>
          <t>21.1.08.03-0525</t>
        </is>
      </c>
      <c r="D75" s="182" t="inlineStr">
        <is>
          <t>Кабель контрольный КВВГнг(A)-LS 10х1,5</t>
        </is>
      </c>
      <c r="E75" s="181" t="inlineStr">
        <is>
          <t>1000 м</t>
        </is>
      </c>
      <c r="F75" s="181" t="n">
        <v>0.08160000000000001</v>
      </c>
      <c r="G75" s="115" t="n">
        <v>18194.41</v>
      </c>
      <c r="H75" s="115">
        <f>ROUND(F75*G75,2)</f>
        <v/>
      </c>
    </row>
    <row r="76" ht="15" customHeight="1" s="160">
      <c r="A76" s="181" t="n">
        <v>60</v>
      </c>
      <c r="B76" s="127" t="n"/>
      <c r="C76" s="121" t="inlineStr">
        <is>
          <t>08.4.01.02-0013</t>
        </is>
      </c>
      <c r="D76" s="182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76" s="181" t="inlineStr">
        <is>
          <t>т</t>
        </is>
      </c>
      <c r="F76" s="181" t="n">
        <v>0.1824</v>
      </c>
      <c r="G76" s="115" t="n">
        <v>6800</v>
      </c>
      <c r="H76" s="115">
        <f>ROUND(F76*G76,2)</f>
        <v/>
      </c>
    </row>
    <row r="77" ht="15" customHeight="1" s="160">
      <c r="A77" s="181" t="n">
        <v>61</v>
      </c>
      <c r="B77" s="127" t="n"/>
      <c r="C77" s="121" t="inlineStr">
        <is>
          <t>08.4.03.02-0002</t>
        </is>
      </c>
      <c r="D77" s="182" t="inlineStr">
        <is>
          <t>Сталь арматурная, горячекатаная, гладкая, класс А-I, диаметр 8 мм</t>
        </is>
      </c>
      <c r="E77" s="181" t="inlineStr">
        <is>
          <t>т</t>
        </is>
      </c>
      <c r="F77" s="181" t="n">
        <v>0.1536</v>
      </c>
      <c r="G77" s="115" t="n">
        <v>6780</v>
      </c>
      <c r="H77" s="115">
        <f>ROUND(F77*G77,2)</f>
        <v/>
      </c>
    </row>
    <row r="78" ht="15" customHeight="1" s="160">
      <c r="A78" s="181" t="n">
        <v>62</v>
      </c>
      <c r="B78" s="127" t="n"/>
      <c r="C78" s="121" t="inlineStr">
        <is>
          <t>10.3.02.03-0011</t>
        </is>
      </c>
      <c r="D78" s="182" t="inlineStr">
        <is>
          <t>Припои оловянно-свинцовые бессурьмянистые, марка ПОС30</t>
        </is>
      </c>
      <c r="E78" s="181" t="inlineStr">
        <is>
          <t>т</t>
        </is>
      </c>
      <c r="F78" s="181" t="n">
        <v>0.015015</v>
      </c>
      <c r="G78" s="115" t="n">
        <v>68050</v>
      </c>
      <c r="H78" s="115">
        <f>ROUND(F78*G78,2)</f>
        <v/>
      </c>
    </row>
    <row r="79" ht="15" customHeight="1" s="160">
      <c r="A79" s="181" t="n">
        <v>63</v>
      </c>
      <c r="B79" s="127" t="n"/>
      <c r="C79" s="121" t="inlineStr">
        <is>
          <t>02.2.05.04-1772</t>
        </is>
      </c>
      <c r="D79" s="182" t="inlineStr">
        <is>
          <t>Щебень М 600, фракция 20-40 мм, группа 2</t>
        </is>
      </c>
      <c r="E79" s="181" t="inlineStr">
        <is>
          <t>м3</t>
        </is>
      </c>
      <c r="F79" s="181" t="n">
        <v>7.8</v>
      </c>
      <c r="G79" s="115" t="n">
        <v>114.13</v>
      </c>
      <c r="H79" s="115">
        <f>ROUND(F79*G79,2)</f>
        <v/>
      </c>
    </row>
    <row r="80" ht="15" customHeight="1" s="160">
      <c r="A80" s="181" t="n">
        <v>64</v>
      </c>
      <c r="B80" s="127" t="n"/>
      <c r="C80" s="121" t="inlineStr">
        <is>
          <t>04.1.02.05-0048 надбавка</t>
        </is>
      </c>
      <c r="D80" s="182" t="inlineStr">
        <is>
          <t>Надбавка по морозостойкости F300 2+2=4%. Смеси бетонные тяжелого бетона (БСТ), крупность заполнителя 20 мм, класс В30 (М400)</t>
        </is>
      </c>
      <c r="E80" s="181" t="inlineStr">
        <is>
          <t>м3</t>
        </is>
      </c>
      <c r="F80" s="181" t="n">
        <v>25.6</v>
      </c>
      <c r="G80" s="115" t="n">
        <v>28.94</v>
      </c>
      <c r="H80" s="115">
        <f>ROUND(F80*G80,2)</f>
        <v/>
      </c>
    </row>
    <row r="81" ht="15" customHeight="1" s="160">
      <c r="A81" s="181" t="n">
        <v>65</v>
      </c>
      <c r="B81" s="127" t="n"/>
      <c r="C81" s="121" t="inlineStr">
        <is>
          <t>Прайс из СД  ОП</t>
        </is>
      </c>
      <c r="D81" s="182" t="inlineStr">
        <is>
          <t>Зажим кабельный PG21</t>
        </is>
      </c>
      <c r="E81" s="181" t="inlineStr">
        <is>
          <t>шт</t>
        </is>
      </c>
      <c r="F81" s="181" t="n">
        <v>100</v>
      </c>
      <c r="G81" s="115" t="n">
        <v>6.45</v>
      </c>
      <c r="H81" s="115">
        <f>ROUND(F81*G81,2)</f>
        <v/>
      </c>
    </row>
    <row r="82" ht="15" customHeight="1" s="160">
      <c r="A82" s="181" t="n">
        <v>66</v>
      </c>
      <c r="B82" s="127" t="n"/>
      <c r="C82" s="121" t="inlineStr">
        <is>
          <t>Прайс из СД  ОП</t>
        </is>
      </c>
      <c r="D82" s="182" t="inlineStr">
        <is>
          <t>Горизонтальный угол для поворота прямого листового лотка на 90град. НА 90х50 ,код 600131,Стандарт Электрик</t>
        </is>
      </c>
      <c r="E82" s="181" t="inlineStr">
        <is>
          <t>шт</t>
        </is>
      </c>
      <c r="F82" s="181" t="n">
        <v>8</v>
      </c>
      <c r="G82" s="115" t="n">
        <v>72.72</v>
      </c>
      <c r="H82" s="115">
        <f>ROUND(F82*G82,2)</f>
        <v/>
      </c>
    </row>
    <row r="83" ht="15" customHeight="1" s="160">
      <c r="A83" s="181" t="n">
        <v>67</v>
      </c>
      <c r="B83" s="127" t="n"/>
      <c r="C83" s="121" t="inlineStr">
        <is>
          <t>14.5.09.11-0102</t>
        </is>
      </c>
      <c r="D83" s="182" t="inlineStr">
        <is>
          <t>Уайт-спирит</t>
        </is>
      </c>
      <c r="E83" s="181" t="inlineStr">
        <is>
          <t>кг</t>
        </is>
      </c>
      <c r="F83" s="181" t="n">
        <v>70.363877</v>
      </c>
      <c r="G83" s="115" t="n">
        <v>6.67</v>
      </c>
      <c r="H83" s="115">
        <f>ROUND(F83*G83,2)</f>
        <v/>
      </c>
    </row>
    <row r="84" ht="15" customHeight="1" s="160">
      <c r="A84" s="181" t="n">
        <v>68</v>
      </c>
      <c r="B84" s="127" t="n"/>
      <c r="C84" s="121" t="inlineStr">
        <is>
          <t>11.2.13.04-0011</t>
        </is>
      </c>
      <c r="D84" s="182" t="inlineStr">
        <is>
          <t>Щиты из досок, толщина 25 мм</t>
        </is>
      </c>
      <c r="E84" s="181" t="inlineStr">
        <is>
          <t>м2</t>
        </is>
      </c>
      <c r="F84" s="181" t="n">
        <v>12.672</v>
      </c>
      <c r="G84" s="115" t="n">
        <v>35.53</v>
      </c>
      <c r="H84" s="115">
        <f>ROUND(F84*G84,2)</f>
        <v/>
      </c>
    </row>
    <row r="85" ht="15" customHeight="1" s="160">
      <c r="A85" s="181" t="n">
        <v>69</v>
      </c>
      <c r="B85" s="127" t="n"/>
      <c r="C85" s="121" t="inlineStr">
        <is>
          <t>Прайс из СД  ОП</t>
        </is>
      </c>
      <c r="D85" s="182" t="inlineStr">
        <is>
          <t>Крышка для горизонтального угла  КНА 50 ,код 600731,Стандарт Электрик</t>
        </is>
      </c>
      <c r="E85" s="181" t="inlineStr">
        <is>
          <t>шт</t>
        </is>
      </c>
      <c r="F85" s="181" t="n">
        <v>8</v>
      </c>
      <c r="G85" s="115" t="n">
        <v>48.99</v>
      </c>
      <c r="H85" s="115">
        <f>ROUND(F85*G85,2)</f>
        <v/>
      </c>
    </row>
    <row r="86" ht="15" customHeight="1" s="160">
      <c r="A86" s="181" t="n">
        <v>70</v>
      </c>
      <c r="B86" s="127" t="n"/>
      <c r="C86" s="121" t="inlineStr">
        <is>
          <t>01.3.01.01-0001</t>
        </is>
      </c>
      <c r="D86" s="182" t="inlineStr">
        <is>
          <t>Бензин авиационный Б-70</t>
        </is>
      </c>
      <c r="E86" s="181" t="inlineStr">
        <is>
          <t>т</t>
        </is>
      </c>
      <c r="F86" s="181" t="n">
        <v>0.0848</v>
      </c>
      <c r="G86" s="115" t="n">
        <v>4488.4</v>
      </c>
      <c r="H86" s="115">
        <f>ROUND(F86*G86,2)</f>
        <v/>
      </c>
    </row>
    <row r="87" ht="15" customHeight="1" s="160">
      <c r="A87" s="181" t="n">
        <v>71</v>
      </c>
      <c r="B87" s="127" t="n"/>
      <c r="C87" s="121" t="inlineStr">
        <is>
          <t>01.7.07.29-0241</t>
        </is>
      </c>
      <c r="D87" s="182" t="inlineStr">
        <is>
          <t>Хомутик</t>
        </is>
      </c>
      <c r="E87" s="181" t="inlineStr">
        <is>
          <t>10 шт</t>
        </is>
      </c>
      <c r="F87" s="181" t="n">
        <v>5.28</v>
      </c>
      <c r="G87" s="115" t="n">
        <v>72</v>
      </c>
      <c r="H87" s="115">
        <f>ROUND(F87*G87,2)</f>
        <v/>
      </c>
    </row>
    <row r="88" ht="15" customHeight="1" s="160">
      <c r="A88" s="181" t="n">
        <v>72</v>
      </c>
      <c r="B88" s="127" t="n"/>
      <c r="C88" s="121" t="inlineStr">
        <is>
          <t>07.2.07.12-0011</t>
        </is>
      </c>
      <c r="D88" s="182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88" s="181" t="inlineStr">
        <is>
          <t>т</t>
        </is>
      </c>
      <c r="F88" s="181" t="n">
        <v>0.032052</v>
      </c>
      <c r="G88" s="115" t="n">
        <v>11255</v>
      </c>
      <c r="H88" s="115">
        <f>ROUND(F88*G88,2)</f>
        <v/>
      </c>
    </row>
    <row r="89" ht="15" customHeight="1" s="160">
      <c r="A89" s="181" t="n">
        <v>73</v>
      </c>
      <c r="B89" s="127" t="n"/>
      <c r="C89" s="121" t="inlineStr">
        <is>
          <t>14.2.01.05-0003</t>
        </is>
      </c>
      <c r="D89" s="182" t="inlineStr">
        <is>
          <t>Композиция цинконаполненная</t>
        </is>
      </c>
      <c r="E89" s="181" t="inlineStr">
        <is>
          <t>кг</t>
        </is>
      </c>
      <c r="F89" s="181" t="n">
        <v>3.08</v>
      </c>
      <c r="G89" s="115" t="n">
        <v>114.42</v>
      </c>
      <c r="H89" s="115">
        <f>ROUND(F89*G89,2)</f>
        <v/>
      </c>
    </row>
    <row r="90" ht="15" customHeight="1" s="160">
      <c r="A90" s="181" t="n">
        <v>74</v>
      </c>
      <c r="B90" s="127" t="n"/>
      <c r="C90" s="121" t="inlineStr">
        <is>
          <t>20.5.04.09-0002</t>
        </is>
      </c>
      <c r="D90" s="182" t="inlineStr">
        <is>
          <t>Сжимы типа У731М, для магистральных и ответвительных проводов и кабелей</t>
        </is>
      </c>
      <c r="E90" s="181" t="inlineStr">
        <is>
          <t>100 шт</t>
        </is>
      </c>
      <c r="F90" s="181" t="n">
        <v>1.55</v>
      </c>
      <c r="G90" s="115" t="n">
        <v>223.94</v>
      </c>
      <c r="H90" s="115">
        <f>ROUND(F90*G90,2)</f>
        <v/>
      </c>
    </row>
    <row r="91" ht="15" customHeight="1" s="160">
      <c r="A91" s="181" t="n">
        <v>75</v>
      </c>
      <c r="B91" s="127" t="n"/>
      <c r="C91" s="121" t="inlineStr">
        <is>
          <t>20.1.02.04-0003</t>
        </is>
      </c>
      <c r="D91" s="182" t="inlineStr">
        <is>
          <t>Клемма строительно-монтажная для распределительных коробок на 3 проводника сечением до 6 мм2 WAGO 773-173</t>
        </is>
      </c>
      <c r="E91" s="181" t="inlineStr">
        <is>
          <t>100 шт</t>
        </is>
      </c>
      <c r="F91" s="181" t="n">
        <v>1.6116</v>
      </c>
      <c r="G91" s="115" t="n">
        <v>213</v>
      </c>
      <c r="H91" s="115">
        <f>ROUND(F91*G91,2)</f>
        <v/>
      </c>
    </row>
    <row r="92" ht="15" customHeight="1" s="160">
      <c r="A92" s="181" t="n">
        <v>76</v>
      </c>
      <c r="B92" s="127" t="n"/>
      <c r="C92" s="121" t="inlineStr">
        <is>
          <t>01.7.11.04-0071</t>
        </is>
      </c>
      <c r="D92" s="182" t="inlineStr">
        <is>
          <t>Проволока сварочная легированная, диаметр 2 мм</t>
        </is>
      </c>
      <c r="E92" s="181" t="inlineStr">
        <is>
          <t>т</t>
        </is>
      </c>
      <c r="F92" s="181" t="n">
        <v>0.01763</v>
      </c>
      <c r="G92" s="115" t="n">
        <v>16136</v>
      </c>
      <c r="H92" s="115">
        <f>ROUND(F92*G92,2)</f>
        <v/>
      </c>
    </row>
    <row r="93" ht="15" customHeight="1" s="160">
      <c r="A93" s="181" t="n">
        <v>77</v>
      </c>
      <c r="B93" s="127" t="n"/>
      <c r="C93" s="121" t="inlineStr">
        <is>
          <t>01.7.11.07-0032</t>
        </is>
      </c>
      <c r="D93" s="182" t="inlineStr">
        <is>
          <t>Электроды сварочные Э42, диаметр 4 мм</t>
        </is>
      </c>
      <c r="E93" s="181" t="inlineStr">
        <is>
          <t>т</t>
        </is>
      </c>
      <c r="F93" s="181" t="n">
        <v>0.027293</v>
      </c>
      <c r="G93" s="115" t="n">
        <v>10315.01</v>
      </c>
      <c r="H93" s="115">
        <f>ROUND(F93*G93,2)</f>
        <v/>
      </c>
    </row>
    <row r="94" ht="15" customHeight="1" s="160">
      <c r="A94" s="181" t="n">
        <v>78</v>
      </c>
      <c r="B94" s="127" t="n"/>
      <c r="C94" s="121" t="inlineStr">
        <is>
          <t>Прайс из СД  ОП</t>
        </is>
      </c>
      <c r="D94" s="182" t="inlineStr">
        <is>
          <t>Зажим кабельный PG13,5</t>
        </is>
      </c>
      <c r="E94" s="181" t="inlineStr">
        <is>
          <t>шт</t>
        </is>
      </c>
      <c r="F94" s="181" t="n">
        <v>58</v>
      </c>
      <c r="G94" s="115" t="n">
        <v>4.24</v>
      </c>
      <c r="H94" s="115">
        <f>ROUND(F94*G94,2)</f>
        <v/>
      </c>
    </row>
    <row r="95" ht="15" customHeight="1" s="160">
      <c r="A95" s="181" t="n">
        <v>79</v>
      </c>
      <c r="B95" s="127" t="n"/>
      <c r="C95" s="121" t="inlineStr">
        <is>
          <t>01.7.02.07-0011</t>
        </is>
      </c>
      <c r="D95" s="182" t="inlineStr">
        <is>
          <t>Прессшпан листовой, марка А</t>
        </is>
      </c>
      <c r="E95" s="181" t="inlineStr">
        <is>
          <t>кг</t>
        </is>
      </c>
      <c r="F95" s="181" t="n">
        <v>4.8</v>
      </c>
      <c r="G95" s="115" t="n">
        <v>47.57</v>
      </c>
      <c r="H95" s="115">
        <f>ROUND(F95*G95,2)</f>
        <v/>
      </c>
    </row>
    <row r="96" ht="15" customHeight="1" s="160">
      <c r="A96" s="181" t="n">
        <v>80</v>
      </c>
      <c r="B96" s="127" t="n"/>
      <c r="C96" s="121" t="inlineStr">
        <is>
          <t>999-9950</t>
        </is>
      </c>
      <c r="D96" s="182" t="inlineStr">
        <is>
          <t>Вспомогательные ненормируемые материальные ресурсы</t>
        </is>
      </c>
      <c r="E96" s="181" t="inlineStr">
        <is>
          <t>руб</t>
        </is>
      </c>
      <c r="F96" s="181" t="n">
        <v>202.879897</v>
      </c>
      <c r="G96" s="115" t="n">
        <v>1</v>
      </c>
      <c r="H96" s="115">
        <f>ROUND(F96*G96,2)</f>
        <v/>
      </c>
    </row>
    <row r="97" ht="15" customHeight="1" s="160">
      <c r="A97" s="181" t="n">
        <v>81</v>
      </c>
      <c r="B97" s="127" t="n"/>
      <c r="C97" s="121" t="inlineStr">
        <is>
          <t>01.7.06.07-0002</t>
        </is>
      </c>
      <c r="D97" s="182" t="inlineStr">
        <is>
          <t>Лента монтажная, тип ЛМ-5</t>
        </is>
      </c>
      <c r="E97" s="181" t="inlineStr">
        <is>
          <t>10 м</t>
        </is>
      </c>
      <c r="F97" s="181" t="n">
        <v>29.02943</v>
      </c>
      <c r="G97" s="115" t="n">
        <v>6.9</v>
      </c>
      <c r="H97" s="115">
        <f>ROUND(F97*G97,2)</f>
        <v/>
      </c>
    </row>
    <row r="98" ht="15" customHeight="1" s="160">
      <c r="A98" s="181" t="n">
        <v>82</v>
      </c>
      <c r="B98" s="127" t="n"/>
      <c r="C98" s="121" t="inlineStr">
        <is>
          <t>11.1.03.06-0095</t>
        </is>
      </c>
      <c r="D98" s="182" t="inlineStr">
        <is>
          <t>Доска обрезная, хвойных пород, ширина 75-150 мм, толщина 44 мм и более, длина 4-6,5 м, сорт III</t>
        </is>
      </c>
      <c r="E98" s="181" t="inlineStr">
        <is>
          <t>м3</t>
        </is>
      </c>
      <c r="F98" s="181" t="n">
        <v>0.17664</v>
      </c>
      <c r="G98" s="115" t="n">
        <v>1056</v>
      </c>
      <c r="H98" s="115">
        <f>ROUND(F98*G98,2)</f>
        <v/>
      </c>
    </row>
    <row r="99" ht="15" customHeight="1" s="160">
      <c r="A99" s="181" t="n">
        <v>83</v>
      </c>
      <c r="B99" s="127" t="n"/>
      <c r="C99" s="121" t="inlineStr">
        <is>
          <t>23.8.04.06-0310</t>
        </is>
      </c>
      <c r="D99" s="182" t="inlineStr">
        <is>
          <t>Отводы 90° с радиусом кривизны R=1,5 Ду на давление до 16 МПа, номинальный диаметр 30 мм, наружный диаметр 32 мм, толщина стенки 2,0 мм</t>
        </is>
      </c>
      <c r="E99" s="181" t="inlineStr">
        <is>
          <t>шт</t>
        </is>
      </c>
      <c r="F99" s="181" t="n">
        <v>41</v>
      </c>
      <c r="G99" s="115" t="n">
        <v>4.5</v>
      </c>
      <c r="H99" s="115">
        <f>ROUND(F99*G99,2)</f>
        <v/>
      </c>
    </row>
    <row r="100" ht="15" customHeight="1" s="160">
      <c r="A100" s="181" t="n">
        <v>84</v>
      </c>
      <c r="B100" s="127" t="n"/>
      <c r="C100" s="121" t="inlineStr">
        <is>
          <t>25.2.01.01-0017</t>
        </is>
      </c>
      <c r="D100" s="182" t="inlineStr">
        <is>
          <t>Бирки маркировочные пластмассовые</t>
        </is>
      </c>
      <c r="E100" s="181" t="inlineStr">
        <is>
          <t>100 шт</t>
        </is>
      </c>
      <c r="F100" s="181" t="n">
        <v>5.76</v>
      </c>
      <c r="G100" s="115" t="n">
        <v>30.74</v>
      </c>
      <c r="H100" s="115">
        <f>ROUND(F100*G100,2)</f>
        <v/>
      </c>
    </row>
    <row r="101" ht="15" customHeight="1" s="160">
      <c r="A101" s="181" t="n">
        <v>85</v>
      </c>
      <c r="B101" s="127" t="n"/>
      <c r="C101" s="121" t="inlineStr">
        <is>
          <t>Прайс из СД  ОП</t>
        </is>
      </c>
      <c r="D101" s="182" t="inlineStr">
        <is>
          <t>Заглушка для листового лотка ЕС50 ,код 300411,Стандарт Электрик</t>
        </is>
      </c>
      <c r="E101" s="181" t="inlineStr">
        <is>
          <t>шт</t>
        </is>
      </c>
      <c r="F101" s="181" t="n">
        <v>10</v>
      </c>
      <c r="G101" s="115" t="n">
        <v>16.5</v>
      </c>
      <c r="H101" s="115">
        <f>ROUND(F101*G101,2)</f>
        <v/>
      </c>
    </row>
    <row r="102" ht="15" customHeight="1" s="160">
      <c r="A102" s="181" t="n">
        <v>86</v>
      </c>
      <c r="B102" s="127" t="n"/>
      <c r="C102" s="121" t="inlineStr">
        <is>
          <t>01.7.20.04-0003</t>
        </is>
      </c>
      <c r="D102" s="182" t="inlineStr">
        <is>
          <t>Нитки суровые</t>
        </is>
      </c>
      <c r="E102" s="181" t="inlineStr">
        <is>
          <t>кг</t>
        </is>
      </c>
      <c r="F102" s="181" t="n">
        <v>0.96</v>
      </c>
      <c r="G102" s="115" t="n">
        <v>155</v>
      </c>
      <c r="H102" s="115">
        <f>ROUND(F102*G102,2)</f>
        <v/>
      </c>
    </row>
    <row r="103" ht="15" customHeight="1" s="160">
      <c r="A103" s="181" t="n">
        <v>87</v>
      </c>
      <c r="B103" s="127" t="n"/>
      <c r="C103" s="121" t="inlineStr">
        <is>
          <t>21.1.08.03-0512</t>
        </is>
      </c>
      <c r="D103" s="182" t="inlineStr">
        <is>
          <t>Кабель контрольный КВВГнг(A)-LS 4x1,5</t>
        </is>
      </c>
      <c r="E103" s="181" t="inlineStr">
        <is>
          <t>1000 м</t>
        </is>
      </c>
      <c r="F103" s="181" t="n">
        <v>0.0204</v>
      </c>
      <c r="G103" s="115" t="n">
        <v>6713.83</v>
      </c>
      <c r="H103" s="115">
        <f>ROUND(F103*G103,2)</f>
        <v/>
      </c>
    </row>
    <row r="104" ht="15" customHeight="1" s="160">
      <c r="A104" s="181" t="n">
        <v>88</v>
      </c>
      <c r="B104" s="127" t="n"/>
      <c r="C104" s="121" t="inlineStr">
        <is>
          <t>01.7.20.08-0072</t>
        </is>
      </c>
      <c r="D104" s="182" t="inlineStr">
        <is>
          <t>Канат трехпрядный из капроновых нитей</t>
        </is>
      </c>
      <c r="E104" s="181" t="inlineStr">
        <is>
          <t>т</t>
        </is>
      </c>
      <c r="F104" s="181" t="n">
        <v>0.00147</v>
      </c>
      <c r="G104" s="115" t="n">
        <v>87116</v>
      </c>
      <c r="H104" s="115">
        <f>ROUND(F104*G104,2)</f>
        <v/>
      </c>
    </row>
    <row r="105" ht="15" customHeight="1" s="160">
      <c r="A105" s="181" t="n">
        <v>89</v>
      </c>
      <c r="B105" s="127" t="n"/>
      <c r="C105" s="121" t="inlineStr">
        <is>
          <t>Прайс из СД  ОП</t>
        </is>
      </c>
      <c r="D105" s="182" t="inlineStr">
        <is>
          <t>Анкер втулочный FSA 8/15 S ,арт.68520 ,Fischer,Германия</t>
        </is>
      </c>
      <c r="E105" s="181" t="inlineStr">
        <is>
          <t>шт</t>
        </is>
      </c>
      <c r="F105" s="181" t="n">
        <v>40</v>
      </c>
      <c r="G105" s="115" t="n">
        <v>2.88</v>
      </c>
      <c r="H105" s="115">
        <f>ROUND(F105*G105,2)</f>
        <v/>
      </c>
    </row>
    <row r="106" ht="15" customHeight="1" s="160">
      <c r="A106" s="181" t="n">
        <v>90</v>
      </c>
      <c r="B106" s="127" t="n"/>
      <c r="C106" s="121" t="inlineStr">
        <is>
          <t>01.7.15.06-0111</t>
        </is>
      </c>
      <c r="D106" s="182" t="inlineStr">
        <is>
          <t>Гвозди строительные</t>
        </is>
      </c>
      <c r="E106" s="181" t="inlineStr">
        <is>
          <t>т</t>
        </is>
      </c>
      <c r="F106" s="181" t="n">
        <v>0.009475000000000001</v>
      </c>
      <c r="G106" s="115" t="n">
        <v>11978</v>
      </c>
      <c r="H106" s="115">
        <f>ROUND(F106*G106,2)</f>
        <v/>
      </c>
    </row>
    <row r="107" ht="15" customHeight="1" s="160">
      <c r="A107" s="181" t="n">
        <v>91</v>
      </c>
      <c r="B107" s="127" t="n"/>
      <c r="C107" s="121" t="inlineStr">
        <is>
          <t>08.4.03.02-0005</t>
        </is>
      </c>
      <c r="D107" s="182" t="inlineStr">
        <is>
          <t>Сталь арматурная, горячекатаная, гладкая, класс А-I, диаметр 14 мм</t>
        </is>
      </c>
      <c r="E107" s="181" t="inlineStr">
        <is>
          <t>т</t>
        </is>
      </c>
      <c r="F107" s="181" t="n">
        <v>0.016704</v>
      </c>
      <c r="G107" s="115" t="n">
        <v>6210</v>
      </c>
      <c r="H107" s="115">
        <f>ROUND(F107*G107,2)</f>
        <v/>
      </c>
    </row>
    <row r="108" ht="15" customHeight="1" s="160">
      <c r="A108" s="181" t="n">
        <v>92</v>
      </c>
      <c r="B108" s="127" t="n"/>
      <c r="C108" s="121" t="inlineStr">
        <is>
          <t>25.2.01.06-0062</t>
        </is>
      </c>
      <c r="D108" s="182" t="inlineStr">
        <is>
          <t>Зажим соединительный: одноболтовой (КС-055-11) (КС-336)</t>
        </is>
      </c>
      <c r="E108" s="181" t="inlineStr">
        <is>
          <t>шт</t>
        </is>
      </c>
      <c r="F108" s="181" t="n">
        <v>1</v>
      </c>
      <c r="G108" s="115" t="n">
        <v>103.5</v>
      </c>
      <c r="H108" s="115">
        <f>ROUND(F108*G108,2)</f>
        <v/>
      </c>
    </row>
    <row r="109" ht="15" customHeight="1" s="160">
      <c r="A109" s="181" t="n">
        <v>93</v>
      </c>
      <c r="B109" s="127" t="n"/>
      <c r="C109" s="121" t="inlineStr">
        <is>
          <t>01.7.15.03-0042</t>
        </is>
      </c>
      <c r="D109" s="182" t="inlineStr">
        <is>
          <t>Болты с гайками и шайбами строительные</t>
        </is>
      </c>
      <c r="E109" s="181" t="inlineStr">
        <is>
          <t>кг</t>
        </is>
      </c>
      <c r="F109" s="181" t="n">
        <v>11.184594</v>
      </c>
      <c r="G109" s="115" t="n">
        <v>9.039999999999999</v>
      </c>
      <c r="H109" s="115">
        <f>ROUND(F109*G109,2)</f>
        <v/>
      </c>
    </row>
    <row r="110" ht="15" customHeight="1" s="160">
      <c r="A110" s="181" t="n">
        <v>94</v>
      </c>
      <c r="B110" s="127" t="n"/>
      <c r="C110" s="121" t="inlineStr">
        <is>
          <t>11.1.02.04-0031</t>
        </is>
      </c>
      <c r="D110" s="182" t="inlineStr">
        <is>
          <t>Лесоматериалы круглые, хвойных пород, для строительства, диаметр 14-24 см, длина 3-6,5 м</t>
        </is>
      </c>
      <c r="E110" s="181" t="inlineStr">
        <is>
          <t>м3</t>
        </is>
      </c>
      <c r="F110" s="181" t="n">
        <v>0.17664</v>
      </c>
      <c r="G110" s="115" t="n">
        <v>558.33</v>
      </c>
      <c r="H110" s="115">
        <f>ROUND(F110*G110,2)</f>
        <v/>
      </c>
    </row>
    <row r="111" ht="15" customHeight="1" s="160">
      <c r="A111" s="181" t="n">
        <v>95</v>
      </c>
      <c r="B111" s="127" t="n"/>
      <c r="C111" s="121" t="inlineStr">
        <is>
          <t>01.3.02.09-0022</t>
        </is>
      </c>
      <c r="D111" s="182" t="inlineStr">
        <is>
          <t>Пропан-бутан смесь техническая</t>
        </is>
      </c>
      <c r="E111" s="181" t="inlineStr">
        <is>
          <t>кг</t>
        </is>
      </c>
      <c r="F111" s="181" t="n">
        <v>16.185216</v>
      </c>
      <c r="G111" s="115" t="n">
        <v>6.09</v>
      </c>
      <c r="H111" s="115">
        <f>ROUND(F111*G111,2)</f>
        <v/>
      </c>
    </row>
    <row r="112" ht="15" customHeight="1" s="160">
      <c r="A112" s="181" t="n">
        <v>96</v>
      </c>
      <c r="B112" s="127" t="n"/>
      <c r="C112" s="121" t="inlineStr">
        <is>
          <t>Прайс из СД  ОП</t>
        </is>
      </c>
      <c r="D112" s="182" t="inlineStr">
        <is>
          <t>Зажим кабельный PG29</t>
        </is>
      </c>
      <c r="E112" s="181" t="inlineStr">
        <is>
          <t>шт</t>
        </is>
      </c>
      <c r="F112" s="181" t="n">
        <v>8</v>
      </c>
      <c r="G112" s="115" t="n">
        <v>10.67</v>
      </c>
      <c r="H112" s="115">
        <f>ROUND(F112*G112,2)</f>
        <v/>
      </c>
    </row>
    <row r="113" ht="15" customHeight="1" s="160">
      <c r="A113" s="181" t="n">
        <v>97</v>
      </c>
      <c r="B113" s="127" t="n"/>
      <c r="C113" s="121" t="inlineStr">
        <is>
          <t>21.2.01.02-0141</t>
        </is>
      </c>
      <c r="D113" s="182" t="inlineStr">
        <is>
          <t>Провод неизолированный для воздушных линий электропередачи медные, марка М, сечение 4 мм2</t>
        </is>
      </c>
      <c r="E113" s="181" t="inlineStr">
        <is>
          <t>т</t>
        </is>
      </c>
      <c r="F113" s="181" t="n">
        <v>0.00088</v>
      </c>
      <c r="G113" s="115" t="n">
        <v>96440</v>
      </c>
      <c r="H113" s="115">
        <f>ROUND(F113*G113,2)</f>
        <v/>
      </c>
    </row>
    <row r="114">
      <c r="A114" s="181" t="n">
        <v>98</v>
      </c>
      <c r="B114" s="127" t="n"/>
      <c r="C114" s="121" t="inlineStr">
        <is>
          <t>25.2.01.01-0001</t>
        </is>
      </c>
      <c r="D114" s="182" t="inlineStr">
        <is>
          <t>Бирки-оконцеватели</t>
        </is>
      </c>
      <c r="E114" s="181" t="inlineStr">
        <is>
          <t>100 шт</t>
        </is>
      </c>
      <c r="F114" s="181" t="n">
        <v>1.2852</v>
      </c>
      <c r="G114" s="115" t="n">
        <v>63</v>
      </c>
      <c r="H114" s="115">
        <f>ROUND(F114*G114,2)</f>
        <v/>
      </c>
    </row>
    <row r="115" ht="31.5" customHeight="1" s="160">
      <c r="A115" s="181" t="n">
        <v>99</v>
      </c>
      <c r="B115" s="127" t="n"/>
      <c r="C115" s="121" t="inlineStr">
        <is>
          <t>24.3.01.06-0041</t>
        </is>
      </c>
      <c r="D115" s="182" t="inlineStr">
        <is>
          <t>Трубы ПВХ, номинальный внутренний диаметр 16 мм</t>
        </is>
      </c>
      <c r="E115" s="181" t="inlineStr">
        <is>
          <t>м</t>
        </is>
      </c>
      <c r="F115" s="181" t="n">
        <v>30.36</v>
      </c>
      <c r="G115" s="115" t="n">
        <v>2.15</v>
      </c>
      <c r="H115" s="115">
        <f>ROUND(F115*G115,2)</f>
        <v/>
      </c>
    </row>
    <row r="116" ht="15" customHeight="1" s="160">
      <c r="A116" s="181" t="n">
        <v>100</v>
      </c>
      <c r="B116" s="127" t="n"/>
      <c r="C116" s="121" t="inlineStr">
        <is>
          <t>Прайс из СД  ОП</t>
        </is>
      </c>
      <c r="D116" s="182" t="inlineStr">
        <is>
          <t>Зажим кабельный PG16</t>
        </is>
      </c>
      <c r="E116" s="181" t="inlineStr">
        <is>
          <t>шт</t>
        </is>
      </c>
      <c r="F116" s="181" t="n">
        <v>14</v>
      </c>
      <c r="G116" s="115" t="n">
        <v>4.62</v>
      </c>
      <c r="H116" s="115">
        <f>ROUND(F116*G116,2)</f>
        <v/>
      </c>
    </row>
    <row r="117" ht="31.5" customHeight="1" s="160">
      <c r="A117" s="181" t="n">
        <v>101</v>
      </c>
      <c r="B117" s="127" t="n"/>
      <c r="C117" s="121" t="inlineStr">
        <is>
          <t>10.3.02.03-0012</t>
        </is>
      </c>
      <c r="D117" s="182" t="inlineStr">
        <is>
          <t>Припои оловянно-свинцовые бессурьмянистые, марка ПОС40</t>
        </is>
      </c>
      <c r="E117" s="181" t="inlineStr">
        <is>
          <t>т</t>
        </is>
      </c>
      <c r="F117" s="181" t="n">
        <v>0.00096</v>
      </c>
      <c r="G117" s="115" t="n">
        <v>65750</v>
      </c>
      <c r="H117" s="115">
        <f>ROUND(F117*G117,2)</f>
        <v/>
      </c>
    </row>
    <row r="118">
      <c r="A118" s="181" t="n">
        <v>102</v>
      </c>
      <c r="B118" s="127" t="n"/>
      <c r="C118" s="121" t="inlineStr">
        <is>
          <t>01.7.11.07-0034</t>
        </is>
      </c>
      <c r="D118" s="182" t="inlineStr">
        <is>
          <t>Электроды сварочные Э42А, диаметр 4 мм</t>
        </is>
      </c>
      <c r="E118" s="181" t="inlineStr">
        <is>
          <t>кг</t>
        </is>
      </c>
      <c r="F118" s="181" t="n">
        <v>5.948889</v>
      </c>
      <c r="G118" s="115" t="n">
        <v>10.57</v>
      </c>
      <c r="H118" s="115">
        <f>ROUND(F118*G118,2)</f>
        <v/>
      </c>
    </row>
    <row r="119" ht="31.5" customHeight="1" s="160">
      <c r="A119" s="181" t="n">
        <v>103</v>
      </c>
      <c r="B119" s="127" t="n"/>
      <c r="C119" s="121" t="inlineStr">
        <is>
          <t>11.1.03.06-0087</t>
        </is>
      </c>
      <c r="D119" s="182" t="inlineStr">
        <is>
          <t>Доска обрезная, хвойных пород, ширина 75-150 мм, толщина 25 мм, длина 4-6,5 м, сорт III</t>
        </is>
      </c>
      <c r="E119" s="181" t="inlineStr">
        <is>
          <t>м3</t>
        </is>
      </c>
      <c r="F119" s="181" t="n">
        <v>0.0512</v>
      </c>
      <c r="G119" s="115" t="n">
        <v>1100</v>
      </c>
      <c r="H119" s="115">
        <f>ROUND(F119*G119,2)</f>
        <v/>
      </c>
    </row>
    <row r="120">
      <c r="A120" s="181" t="n">
        <v>104</v>
      </c>
      <c r="B120" s="127" t="n"/>
      <c r="C120" s="121" t="inlineStr">
        <is>
          <t>20.1.01.14-0001</t>
        </is>
      </c>
      <c r="D120" s="182" t="inlineStr">
        <is>
          <t>Зажим для троса, диаметр 6,7 мм</t>
        </is>
      </c>
      <c r="E120" s="181" t="inlineStr">
        <is>
          <t>шт</t>
        </is>
      </c>
      <c r="F120" s="181" t="n">
        <v>2</v>
      </c>
      <c r="G120" s="115" t="n">
        <v>27.59</v>
      </c>
      <c r="H120" s="115">
        <f>ROUND(F120*G120,2)</f>
        <v/>
      </c>
    </row>
    <row r="121">
      <c r="A121" s="181" t="n">
        <v>105</v>
      </c>
      <c r="B121" s="127" t="n"/>
      <c r="C121" s="121" t="inlineStr">
        <is>
          <t>14.4.02.09-0001</t>
        </is>
      </c>
      <c r="D121" s="182" t="inlineStr">
        <is>
          <t>Краска</t>
        </is>
      </c>
      <c r="E121" s="181" t="inlineStr">
        <is>
          <t>кг</t>
        </is>
      </c>
      <c r="F121" s="181" t="n">
        <v>1.653</v>
      </c>
      <c r="G121" s="115" t="n">
        <v>28.6</v>
      </c>
      <c r="H121" s="115">
        <f>ROUND(F121*G121,2)</f>
        <v/>
      </c>
    </row>
    <row r="122" ht="31.5" customHeight="1" s="160">
      <c r="A122" s="181" t="n">
        <v>106</v>
      </c>
      <c r="B122" s="127" t="n"/>
      <c r="C122" s="121" t="inlineStr">
        <is>
          <t>08.3.03.06-0002</t>
        </is>
      </c>
      <c r="D122" s="182" t="inlineStr">
        <is>
          <t>Проволока горячекатаная в мотках, диаметр 6,3-6,5 мм</t>
        </is>
      </c>
      <c r="E122" s="181" t="inlineStr">
        <is>
          <t>т</t>
        </is>
      </c>
      <c r="F122" s="181" t="n">
        <v>0.010249</v>
      </c>
      <c r="G122" s="115" t="n">
        <v>4455.2</v>
      </c>
      <c r="H122" s="115">
        <f>ROUND(F122*G122,2)</f>
        <v/>
      </c>
      <c r="I122" s="151" t="n"/>
      <c r="J122" s="151" t="n"/>
    </row>
    <row r="123" ht="47.25" customHeight="1" s="160">
      <c r="A123" s="181" t="n">
        <v>107</v>
      </c>
      <c r="B123" s="127" t="n"/>
      <c r="C123" s="121" t="inlineStr">
        <is>
          <t>01.7.06.05-0042</t>
        </is>
      </c>
      <c r="D123" s="182" t="inlineStr">
        <is>
          <t>Лента липкая изоляционная на поликасиновом компаунде, ширина 20-30 мм, толщина от 0,14 до 0,19 мм</t>
        </is>
      </c>
      <c r="E123" s="181" t="inlineStr">
        <is>
          <t>кг</t>
        </is>
      </c>
      <c r="F123" s="181" t="n">
        <v>0.48</v>
      </c>
      <c r="G123" s="115" t="n">
        <v>91.29000000000001</v>
      </c>
      <c r="H123" s="115">
        <f>ROUND(F123*G123,2)</f>
        <v/>
      </c>
    </row>
    <row r="124" ht="31.5" customHeight="1" s="160">
      <c r="A124" s="181" t="n">
        <v>108</v>
      </c>
      <c r="B124" s="127" t="n"/>
      <c r="C124" s="121" t="inlineStr">
        <is>
          <t>07.2.07.04-0007</t>
        </is>
      </c>
      <c r="D124" s="182" t="inlineStr">
        <is>
          <t>Конструкции стальные индивидуальные решетчатые сварные, масса до 0,1 т</t>
        </is>
      </c>
      <c r="E124" s="181" t="inlineStr">
        <is>
          <t>т</t>
        </is>
      </c>
      <c r="F124" s="181" t="n">
        <v>0.00377</v>
      </c>
      <c r="G124" s="115" t="n">
        <v>11500</v>
      </c>
      <c r="H124" s="115">
        <f>ROUND(F124*G124,2)</f>
        <v/>
      </c>
    </row>
    <row r="125" ht="31.5" customHeight="1" s="160">
      <c r="A125" s="181" t="n">
        <v>109</v>
      </c>
      <c r="B125" s="127" t="n"/>
      <c r="C125" s="121" t="inlineStr">
        <is>
          <t>08.3.07.01-0076</t>
        </is>
      </c>
      <c r="D125" s="182" t="inlineStr">
        <is>
          <t>Прокат полосовой, горячекатаный, марка стали Ст3сп, ширина 50-200 мм, толщина 4-5 мм</t>
        </is>
      </c>
      <c r="E125" s="181" t="inlineStr">
        <is>
          <t>т</t>
        </is>
      </c>
      <c r="F125" s="181" t="n">
        <v>0.008567999999999999</v>
      </c>
      <c r="G125" s="115" t="n">
        <v>5000</v>
      </c>
      <c r="H125" s="115">
        <f>ROUND(F125*G125,2)</f>
        <v/>
      </c>
    </row>
    <row r="126">
      <c r="A126" s="181" t="n">
        <v>110</v>
      </c>
      <c r="B126" s="127" t="n"/>
      <c r="C126" s="121" t="inlineStr">
        <is>
          <t>20.1.02.06-0001</t>
        </is>
      </c>
      <c r="D126" s="182" t="inlineStr">
        <is>
          <t>Жир паяльный</t>
        </is>
      </c>
      <c r="E126" s="181" t="inlineStr">
        <is>
          <t>кг</t>
        </is>
      </c>
      <c r="F126" s="181" t="n">
        <v>0.36</v>
      </c>
      <c r="G126" s="115" t="n">
        <v>100.8</v>
      </c>
      <c r="H126" s="115">
        <f>ROUND(F126*G126,2)</f>
        <v/>
      </c>
    </row>
    <row r="127">
      <c r="A127" s="181" t="n">
        <v>111</v>
      </c>
      <c r="B127" s="127" t="n"/>
      <c r="C127" s="121" t="inlineStr">
        <is>
          <t>14.4.03.17-0011</t>
        </is>
      </c>
      <c r="D127" s="182" t="inlineStr">
        <is>
          <t>Лак электроизоляционный 318</t>
        </is>
      </c>
      <c r="E127" s="181" t="inlineStr">
        <is>
          <t>кг</t>
        </is>
      </c>
      <c r="F127" s="181" t="n">
        <v>0.96</v>
      </c>
      <c r="G127" s="115" t="n">
        <v>35.63</v>
      </c>
      <c r="H127" s="115">
        <f>ROUND(F127*G127,2)</f>
        <v/>
      </c>
    </row>
    <row r="128">
      <c r="A128" s="181" t="n">
        <v>112</v>
      </c>
      <c r="B128" s="127" t="n"/>
      <c r="C128" s="121" t="inlineStr">
        <is>
          <t>22.2.02.11-0051</t>
        </is>
      </c>
      <c r="D128" s="182" t="inlineStr">
        <is>
          <t>Гайки установочные заземляющие</t>
        </is>
      </c>
      <c r="E128" s="181" t="inlineStr">
        <is>
          <t>100 шт</t>
        </is>
      </c>
      <c r="F128" s="181" t="n">
        <v>0.3765</v>
      </c>
      <c r="G128" s="115" t="n">
        <v>88.5</v>
      </c>
      <c r="H128" s="115">
        <f>ROUND(F128*G128,2)</f>
        <v/>
      </c>
    </row>
    <row r="129">
      <c r="A129" s="181" t="n">
        <v>113</v>
      </c>
      <c r="B129" s="127" t="n"/>
      <c r="C129" s="121" t="inlineStr">
        <is>
          <t>20.1.02.23-0082</t>
        </is>
      </c>
      <c r="D129" s="182" t="inlineStr">
        <is>
          <t>Перемычки гибкие, тип ПГС-50</t>
        </is>
      </c>
      <c r="E129" s="181" t="inlineStr">
        <is>
          <t>10 шт</t>
        </is>
      </c>
      <c r="F129" s="181" t="n">
        <v>0.82</v>
      </c>
      <c r="G129" s="115" t="n">
        <v>39</v>
      </c>
      <c r="H129" s="115">
        <f>ROUND(F129*G129,2)</f>
        <v/>
      </c>
    </row>
    <row r="130">
      <c r="A130" s="181" t="n">
        <v>114</v>
      </c>
      <c r="B130" s="127" t="n"/>
      <c r="C130" s="121" t="inlineStr">
        <is>
          <t>01.3.02.03-0001</t>
        </is>
      </c>
      <c r="D130" s="182" t="inlineStr">
        <is>
          <t>Ацетилен газообразный технический</t>
        </is>
      </c>
      <c r="E130" s="181" t="inlineStr">
        <is>
          <t>м3</t>
        </is>
      </c>
      <c r="F130" s="181" t="n">
        <v>0.82</v>
      </c>
      <c r="G130" s="115" t="n">
        <v>38.51</v>
      </c>
      <c r="H130" s="115">
        <f>ROUND(F130*G130,2)</f>
        <v/>
      </c>
    </row>
    <row r="131">
      <c r="A131" s="181" t="n">
        <v>115</v>
      </c>
      <c r="B131" s="127" t="n"/>
      <c r="C131" s="121" t="inlineStr">
        <is>
          <t>20.2.02.02-0011</t>
        </is>
      </c>
      <c r="D131" s="182" t="inlineStr">
        <is>
          <t>Заглушки</t>
        </is>
      </c>
      <c r="E131" s="181" t="inlineStr">
        <is>
          <t>10 шт</t>
        </is>
      </c>
      <c r="F131" s="181" t="n">
        <v>1.3566</v>
      </c>
      <c r="G131" s="115" t="n">
        <v>19.9</v>
      </c>
      <c r="H131" s="115">
        <f>ROUND(F131*G131,2)</f>
        <v/>
      </c>
    </row>
    <row r="132" ht="31.5" customHeight="1" s="160">
      <c r="A132" s="181" t="n">
        <v>116</v>
      </c>
      <c r="B132" s="127" t="n"/>
      <c r="C132" s="121" t="inlineStr">
        <is>
          <t>11.1.03.01-0079</t>
        </is>
      </c>
      <c r="D132" s="182" t="inlineStr">
        <is>
          <t>Бруски обрезные, хвойных пород, длина 4-6,5 м, ширина 75-150 мм, толщина 40-75 мм, сорт III</t>
        </is>
      </c>
      <c r="E132" s="181" t="inlineStr">
        <is>
          <t>м3</t>
        </is>
      </c>
      <c r="F132" s="181" t="n">
        <v>0.02048</v>
      </c>
      <c r="G132" s="115" t="n">
        <v>1287</v>
      </c>
      <c r="H132" s="115">
        <f>ROUND(F132*G132,2)</f>
        <v/>
      </c>
    </row>
    <row r="133">
      <c r="A133" s="181" t="n">
        <v>117</v>
      </c>
      <c r="B133" s="127" t="n"/>
      <c r="C133" s="121" t="inlineStr">
        <is>
          <t>14.4.03.03-0002</t>
        </is>
      </c>
      <c r="D133" s="182" t="inlineStr">
        <is>
          <t>Лак битумный БТ-123</t>
        </is>
      </c>
      <c r="E133" s="181" t="inlineStr">
        <is>
          <t>т</t>
        </is>
      </c>
      <c r="F133" s="181" t="n">
        <v>0.002475</v>
      </c>
      <c r="G133" s="115" t="n">
        <v>7826.9</v>
      </c>
      <c r="H133" s="115">
        <f>ROUND(F133*G133,2)</f>
        <v/>
      </c>
    </row>
    <row r="134">
      <c r="A134" s="181" t="n">
        <v>118</v>
      </c>
      <c r="B134" s="127" t="n"/>
      <c r="C134" s="121" t="inlineStr">
        <is>
          <t>01.7.06.11-0021</t>
        </is>
      </c>
      <c r="D134" s="182" t="inlineStr">
        <is>
          <t>Лента ФУМ</t>
        </is>
      </c>
      <c r="E134" s="181" t="inlineStr">
        <is>
          <t>кг</t>
        </is>
      </c>
      <c r="F134" s="181" t="n">
        <v>0.04254</v>
      </c>
      <c r="G134" s="115" t="n">
        <v>444</v>
      </c>
      <c r="H134" s="115">
        <f>ROUND(F134*G134,2)</f>
        <v/>
      </c>
    </row>
    <row r="135" ht="47.25" customHeight="1" s="160">
      <c r="A135" s="181" t="n">
        <v>119</v>
      </c>
      <c r="B135" s="127" t="n"/>
      <c r="C135" s="121" t="inlineStr">
        <is>
          <t>01.7.06.05-0041</t>
        </is>
      </c>
      <c r="D135" s="182" t="inlineStr">
        <is>
          <t>Лента изоляционная прорезиненная односторонняя, ширина 20 мм, толщина 0,25-0,35 мм</t>
        </is>
      </c>
      <c r="E135" s="181" t="inlineStr">
        <is>
          <t>кг</t>
        </is>
      </c>
      <c r="F135" s="181" t="n">
        <v>0.512</v>
      </c>
      <c r="G135" s="115" t="n">
        <v>30.4</v>
      </c>
      <c r="H135" s="115">
        <f>ROUND(F135*G135,2)</f>
        <v/>
      </c>
    </row>
    <row r="136">
      <c r="A136" s="181" t="n">
        <v>120</v>
      </c>
      <c r="B136" s="127" t="n"/>
      <c r="C136" s="121" t="inlineStr">
        <is>
          <t>01.3.02.08-0001</t>
        </is>
      </c>
      <c r="D136" s="182" t="inlineStr">
        <is>
          <t>Кислород газообразный технический</t>
        </is>
      </c>
      <c r="E136" s="181" t="inlineStr">
        <is>
          <t>м3</t>
        </is>
      </c>
      <c r="F136" s="181" t="n">
        <v>2.044053</v>
      </c>
      <c r="G136" s="115" t="n">
        <v>6.22</v>
      </c>
      <c r="H136" s="115">
        <f>ROUND(F136*G136,2)</f>
        <v/>
      </c>
    </row>
    <row r="137">
      <c r="A137" s="181" t="n">
        <v>121</v>
      </c>
      <c r="B137" s="127" t="n"/>
      <c r="C137" s="121" t="inlineStr">
        <is>
          <t>27.2.03.01-0021</t>
        </is>
      </c>
      <c r="D137" s="182" t="inlineStr">
        <is>
          <t>Крюк</t>
        </is>
      </c>
      <c r="E137" s="181" t="inlineStr">
        <is>
          <t>шт</t>
        </is>
      </c>
      <c r="F137" s="181" t="n">
        <v>1</v>
      </c>
      <c r="G137" s="115" t="n">
        <v>10.24</v>
      </c>
      <c r="H137" s="115">
        <f>ROUND(F137*G137,2)</f>
        <v/>
      </c>
    </row>
    <row r="138">
      <c r="A138" s="181" t="n">
        <v>122</v>
      </c>
      <c r="B138" s="127" t="n"/>
      <c r="C138" s="121" t="inlineStr">
        <is>
          <t>01.3.01.05-0009</t>
        </is>
      </c>
      <c r="D138" s="182" t="inlineStr">
        <is>
          <t>Парафин нефтяной твердый Т-1</t>
        </is>
      </c>
      <c r="E138" s="181" t="inlineStr">
        <is>
          <t>т</t>
        </is>
      </c>
      <c r="F138" s="181" t="n">
        <v>0.00124</v>
      </c>
      <c r="G138" s="115" t="n">
        <v>8105.71</v>
      </c>
      <c r="H138" s="115">
        <f>ROUND(F138*G138,2)</f>
        <v/>
      </c>
    </row>
    <row r="139">
      <c r="A139" s="181" t="n">
        <v>123</v>
      </c>
      <c r="B139" s="127" t="n"/>
      <c r="C139" s="121" t="inlineStr">
        <is>
          <t>01.7.11.07-0054</t>
        </is>
      </c>
      <c r="D139" s="182" t="inlineStr">
        <is>
          <t>Электроды сварочные Э42, диаметр 6 мм</t>
        </is>
      </c>
      <c r="E139" s="181" t="inlineStr">
        <is>
          <t>т</t>
        </is>
      </c>
      <c r="F139" s="181" t="n">
        <v>0.001024</v>
      </c>
      <c r="G139" s="115" t="n">
        <v>9424</v>
      </c>
      <c r="H139" s="115">
        <f>ROUND(F139*G139,2)</f>
        <v/>
      </c>
    </row>
    <row r="140" ht="31.5" customHeight="1" s="160">
      <c r="A140" s="181" t="n">
        <v>124</v>
      </c>
      <c r="B140" s="127" t="n"/>
      <c r="C140" s="121" t="inlineStr">
        <is>
          <t>23.8.03.02-0001</t>
        </is>
      </c>
      <c r="D140" s="182" t="inlineStr">
        <is>
          <t>Клипса для крепежа гофротрубы, номинальный диаметр 16 мм</t>
        </is>
      </c>
      <c r="E140" s="181" t="inlineStr">
        <is>
          <t>10 шт</t>
        </is>
      </c>
      <c r="F140" s="181" t="n">
        <v>5.3</v>
      </c>
      <c r="G140" s="115" t="n">
        <v>1.8</v>
      </c>
      <c r="H140" s="115">
        <f>ROUND(F140*G140,2)</f>
        <v/>
      </c>
    </row>
    <row r="141">
      <c r="A141" s="181" t="n">
        <v>125</v>
      </c>
      <c r="B141" s="127" t="n"/>
      <c r="C141" s="121" t="inlineStr">
        <is>
          <t>01.7.07.12-0024</t>
        </is>
      </c>
      <c r="D141" s="182" t="inlineStr">
        <is>
          <t>Пленка полиэтиленовая, толщина 0,15 мм</t>
        </is>
      </c>
      <c r="E141" s="181" t="inlineStr">
        <is>
          <t>м2</t>
        </is>
      </c>
      <c r="F141" s="181" t="n">
        <v>2.5856</v>
      </c>
      <c r="G141" s="115" t="n">
        <v>3.62</v>
      </c>
      <c r="H141" s="115">
        <f>ROUND(F141*G141,2)</f>
        <v/>
      </c>
    </row>
    <row r="142">
      <c r="A142" s="181" t="n">
        <v>126</v>
      </c>
      <c r="B142" s="127" t="n"/>
      <c r="C142" s="121" t="inlineStr">
        <is>
          <t>25.2.01.11-0003</t>
        </is>
      </c>
      <c r="D142" s="182" t="inlineStr">
        <is>
          <t>Коуш для медных проводов 10 мм (КС-063)</t>
        </is>
      </c>
      <c r="E142" s="181" t="inlineStr">
        <is>
          <t>100 шт</t>
        </is>
      </c>
      <c r="F142" s="181" t="n">
        <v>0.01</v>
      </c>
      <c r="G142" s="115" t="n">
        <v>900</v>
      </c>
      <c r="H142" s="115">
        <f>ROUND(F142*G142,2)</f>
        <v/>
      </c>
    </row>
    <row r="143">
      <c r="A143" s="181" t="n">
        <v>127</v>
      </c>
      <c r="B143" s="127" t="n"/>
      <c r="C143" s="121" t="inlineStr">
        <is>
          <t>14.4.03.17-0101</t>
        </is>
      </c>
      <c r="D143" s="182" t="inlineStr">
        <is>
          <t>Лак канифольный КФ-965</t>
        </is>
      </c>
      <c r="E143" s="181" t="inlineStr">
        <is>
          <t>т</t>
        </is>
      </c>
      <c r="F143" s="181" t="n">
        <v>0.000126</v>
      </c>
      <c r="G143" s="115" t="n">
        <v>70200</v>
      </c>
      <c r="H143" s="115">
        <f>ROUND(F143*G143,2)</f>
        <v/>
      </c>
    </row>
    <row r="144">
      <c r="A144" s="181" t="n">
        <v>128</v>
      </c>
      <c r="B144" s="127" t="n"/>
      <c r="C144" s="121" t="inlineStr">
        <is>
          <t>03.1.02.03-0011</t>
        </is>
      </c>
      <c r="D144" s="182" t="inlineStr">
        <is>
          <t>Известь строительная негашеная комовая, сорт I</t>
        </is>
      </c>
      <c r="E144" s="181" t="inlineStr">
        <is>
          <t>т</t>
        </is>
      </c>
      <c r="F144" s="181" t="n">
        <v>0.011776</v>
      </c>
      <c r="G144" s="115" t="n">
        <v>734.5</v>
      </c>
      <c r="H144" s="115">
        <f>ROUND(F144*G144,2)</f>
        <v/>
      </c>
    </row>
    <row r="145">
      <c r="A145" s="181" t="n">
        <v>129</v>
      </c>
      <c r="B145" s="127" t="n"/>
      <c r="C145" s="121" t="inlineStr">
        <is>
          <t>01.7.15.14-0165</t>
        </is>
      </c>
      <c r="D145" s="182" t="inlineStr">
        <is>
          <t>Шурупы с полукруглой головкой 4x40 мм</t>
        </is>
      </c>
      <c r="E145" s="181" t="inlineStr">
        <is>
          <t>т</t>
        </is>
      </c>
      <c r="F145" s="181" t="n">
        <v>0.000637</v>
      </c>
      <c r="G145" s="115" t="n">
        <v>12430</v>
      </c>
      <c r="H145" s="115">
        <f>ROUND(F145*G145,2)</f>
        <v/>
      </c>
    </row>
    <row r="146" ht="63" customHeight="1" s="160">
      <c r="A146" s="181" t="n">
        <v>130</v>
      </c>
      <c r="B146" s="127" t="n"/>
      <c r="C146" s="121" t="inlineStr">
        <is>
          <t>23.5.02.02-0001</t>
        </is>
      </c>
      <c r="D146" s="182" t="inlineStr">
        <is>
          <t>Трубы стальные электросварные прямошовные из стали марок БСт2кп-БСт4кп и БСт2пс-БСт4пс, наружный диаметр 18 мм, толщина стенки 2,0 мм</t>
        </is>
      </c>
      <c r="E146" s="181" t="inlineStr">
        <is>
          <t>м</t>
        </is>
      </c>
      <c r="F146" s="181" t="n">
        <v>1.03</v>
      </c>
      <c r="G146" s="115" t="n">
        <v>7.24</v>
      </c>
      <c r="H146" s="115">
        <f>ROUND(F146*G146,2)</f>
        <v/>
      </c>
    </row>
    <row r="147">
      <c r="A147" s="181" t="n">
        <v>131</v>
      </c>
      <c r="B147" s="127" t="n"/>
      <c r="C147" s="121" t="inlineStr">
        <is>
          <t>01.3.01.02-0002</t>
        </is>
      </c>
      <c r="D147" s="182" t="inlineStr">
        <is>
          <t>Вазелин технический</t>
        </is>
      </c>
      <c r="E147" s="181" t="inlineStr">
        <is>
          <t>кг</t>
        </is>
      </c>
      <c r="F147" s="181" t="n">
        <v>0.126</v>
      </c>
      <c r="G147" s="115" t="n">
        <v>44.97</v>
      </c>
      <c r="H147" s="115">
        <f>ROUND(F147*G147,2)</f>
        <v/>
      </c>
    </row>
    <row r="148">
      <c r="A148" s="181" t="n">
        <v>132</v>
      </c>
      <c r="B148" s="127" t="n"/>
      <c r="C148" s="121" t="inlineStr">
        <is>
          <t>01.7.15.07-0152</t>
        </is>
      </c>
      <c r="D148" s="182" t="inlineStr">
        <is>
          <t>Дюбели с шурупом, размер 6x35 мм</t>
        </is>
      </c>
      <c r="E148" s="181" t="inlineStr">
        <is>
          <t>100 шт</t>
        </is>
      </c>
      <c r="F148" s="181" t="n">
        <v>0.525</v>
      </c>
      <c r="G148" s="115" t="n">
        <v>8</v>
      </c>
      <c r="H148" s="115">
        <f>ROUND(F148*G148,2)</f>
        <v/>
      </c>
    </row>
    <row r="149">
      <c r="A149" s="181" t="n">
        <v>133</v>
      </c>
      <c r="B149" s="127" t="n"/>
      <c r="C149" s="121" t="inlineStr">
        <is>
          <t>01.7.03.01-0001</t>
        </is>
      </c>
      <c r="D149" s="182" t="inlineStr">
        <is>
          <t>Вода</t>
        </is>
      </c>
      <c r="E149" s="181" t="inlineStr">
        <is>
          <t>м3</t>
        </is>
      </c>
      <c r="F149" s="181" t="n">
        <v>1.651872</v>
      </c>
      <c r="G149" s="115" t="n">
        <v>2.44</v>
      </c>
      <c r="H149" s="115">
        <f>ROUND(F149*G149,2)</f>
        <v/>
      </c>
    </row>
    <row r="150">
      <c r="A150" s="181" t="n">
        <v>134</v>
      </c>
      <c r="B150" s="127" t="n"/>
      <c r="C150" s="121" t="inlineStr">
        <is>
          <t>14.5.09.07-0030</t>
        </is>
      </c>
      <c r="D150" s="182" t="inlineStr">
        <is>
          <t>Растворитель Р-4</t>
        </is>
      </c>
      <c r="E150" s="181" t="inlineStr">
        <is>
          <t>кг</t>
        </is>
      </c>
      <c r="F150" s="181" t="n">
        <v>0.340486</v>
      </c>
      <c r="G150" s="115" t="n">
        <v>9.42</v>
      </c>
      <c r="H150" s="115">
        <f>ROUND(F150*G150,2)</f>
        <v/>
      </c>
    </row>
    <row r="151">
      <c r="A151" s="181" t="n">
        <v>135</v>
      </c>
      <c r="B151" s="127" t="n"/>
      <c r="C151" s="121" t="inlineStr">
        <is>
          <t>08.3.11.01-0091</t>
        </is>
      </c>
      <c r="D151" s="182" t="inlineStr">
        <is>
          <t>Швеллеры № 40, марка стали Ст0</t>
        </is>
      </c>
      <c r="E151" s="181" t="inlineStr">
        <is>
          <t>т</t>
        </is>
      </c>
      <c r="F151" s="181" t="n">
        <v>0.000603</v>
      </c>
      <c r="G151" s="115" t="n">
        <v>4920</v>
      </c>
      <c r="H151" s="115">
        <f>ROUND(F151*G151,2)</f>
        <v/>
      </c>
    </row>
    <row r="152">
      <c r="A152" s="181" t="n">
        <v>136</v>
      </c>
      <c r="B152" s="127" t="n"/>
      <c r="C152" s="121" t="inlineStr">
        <is>
          <t>01.7.03.04-0001</t>
        </is>
      </c>
      <c r="D152" s="182" t="inlineStr">
        <is>
          <t>Электроэнергия</t>
        </is>
      </c>
      <c r="E152" s="181" t="inlineStr">
        <is>
          <t>кВт-ч</t>
        </is>
      </c>
      <c r="F152" s="181" t="n">
        <v>5.76</v>
      </c>
      <c r="G152" s="115" t="n">
        <v>0.4</v>
      </c>
      <c r="H152" s="115">
        <f>ROUND(F152*G152,2)</f>
        <v/>
      </c>
    </row>
    <row r="153">
      <c r="A153" s="181" t="n">
        <v>137</v>
      </c>
      <c r="B153" s="127" t="n"/>
      <c r="C153" s="121" t="inlineStr">
        <is>
          <t>01.7.20.04-0005</t>
        </is>
      </c>
      <c r="D153" s="182" t="inlineStr">
        <is>
          <t>Нитки швейные</t>
        </is>
      </c>
      <c r="E153" s="181" t="inlineStr">
        <is>
          <t>кг</t>
        </is>
      </c>
      <c r="F153" s="181" t="n">
        <v>0.0126</v>
      </c>
      <c r="G153" s="115" t="n">
        <v>133.05</v>
      </c>
      <c r="H153" s="115">
        <f>ROUND(F153*G153,2)</f>
        <v/>
      </c>
    </row>
    <row r="154">
      <c r="A154" s="181" t="n">
        <v>138</v>
      </c>
      <c r="B154" s="127" t="n"/>
      <c r="C154" s="121" t="inlineStr">
        <is>
          <t>14.4.01.01-0003</t>
        </is>
      </c>
      <c r="D154" s="182" t="inlineStr">
        <is>
          <t>Грунтовка ГФ-021</t>
        </is>
      </c>
      <c r="E154" s="181" t="inlineStr">
        <is>
          <t>т</t>
        </is>
      </c>
      <c r="F154" s="181" t="n">
        <v>9.6e-05</v>
      </c>
      <c r="G154" s="115" t="n">
        <v>15620</v>
      </c>
      <c r="H154" s="115">
        <f>ROUND(F154*G154,2)</f>
        <v/>
      </c>
    </row>
    <row r="155">
      <c r="A155" s="181" t="n">
        <v>139</v>
      </c>
      <c r="B155" s="127" t="n"/>
      <c r="C155" s="121" t="inlineStr">
        <is>
          <t>01.7.20.08-0071</t>
        </is>
      </c>
      <c r="D155" s="182" t="inlineStr">
        <is>
          <t>Канат пеньковый пропитанный</t>
        </is>
      </c>
      <c r="E155" s="181" t="inlineStr">
        <is>
          <t>т</t>
        </is>
      </c>
      <c r="F155" s="181" t="n">
        <v>3.1e-05</v>
      </c>
      <c r="G155" s="115" t="n">
        <v>37900</v>
      </c>
      <c r="H155" s="115">
        <f>ROUND(F155*G155,2)</f>
        <v/>
      </c>
    </row>
    <row r="156">
      <c r="A156" s="181" t="n">
        <v>140</v>
      </c>
      <c r="B156" s="127" t="n"/>
      <c r="C156" s="121" t="inlineStr">
        <is>
          <t>01.7.15.07-0014</t>
        </is>
      </c>
      <c r="D156" s="182" t="inlineStr">
        <is>
          <t>Дюбели распорные полипропиленовые</t>
        </is>
      </c>
      <c r="E156" s="181" t="inlineStr">
        <is>
          <t>100 шт</t>
        </is>
      </c>
      <c r="F156" s="181" t="n">
        <v>0.008200000000000001</v>
      </c>
      <c r="G156" s="115" t="n">
        <v>86</v>
      </c>
      <c r="H156" s="115">
        <f>ROUND(F156*G156,2)</f>
        <v/>
      </c>
    </row>
    <row r="157">
      <c r="A157" s="181" t="n">
        <v>141</v>
      </c>
      <c r="B157" s="127" t="n"/>
      <c r="C157" s="121" t="inlineStr">
        <is>
          <t>01.7.20.08-0051</t>
        </is>
      </c>
      <c r="D157" s="182" t="inlineStr">
        <is>
          <t>Ветошь</t>
        </is>
      </c>
      <c r="E157" s="181" t="inlineStr">
        <is>
          <t>кг</t>
        </is>
      </c>
      <c r="F157" s="181" t="n">
        <v>0.385</v>
      </c>
      <c r="G157" s="115" t="n">
        <v>1.82</v>
      </c>
      <c r="H157" s="115">
        <f>ROUND(F157*G157,2)</f>
        <v/>
      </c>
    </row>
    <row r="158">
      <c r="A158" s="181" t="n">
        <v>142</v>
      </c>
      <c r="B158" s="127" t="n"/>
      <c r="C158" s="121" t="inlineStr">
        <is>
          <t>07.2.07.02-0001</t>
        </is>
      </c>
      <c r="D158" s="182" t="inlineStr">
        <is>
          <t>Кондуктор инвентарный металлический</t>
        </is>
      </c>
      <c r="E158" s="181" t="inlineStr">
        <is>
          <t>шт</t>
        </is>
      </c>
      <c r="F158" s="181" t="n">
        <v>0.001856</v>
      </c>
      <c r="G158" s="115" t="n">
        <v>346</v>
      </c>
      <c r="H158" s="115">
        <f>ROUND(F158*G158,2)</f>
        <v/>
      </c>
    </row>
    <row r="159" ht="47.25" customHeight="1" s="160">
      <c r="A159" s="181" t="n">
        <v>143</v>
      </c>
      <c r="B159" s="127" t="n"/>
      <c r="C159" s="121" t="inlineStr">
        <is>
          <t>03.2.01.01-0003</t>
        </is>
      </c>
      <c r="D159" s="182" t="inlineStr">
        <is>
          <t>Портландцемент общестроительного назначения бездобавочный М500 Д0 (ЦЕМ I 42,5Н)</t>
        </is>
      </c>
      <c r="E159" s="181" t="inlineStr">
        <is>
          <t>т</t>
        </is>
      </c>
      <c r="F159" s="181" t="n">
        <v>0.000679</v>
      </c>
      <c r="G159" s="115" t="n">
        <v>480</v>
      </c>
      <c r="H159" s="115">
        <f>ROUND(F159*G159,2)</f>
        <v/>
      </c>
    </row>
    <row r="160">
      <c r="A160" s="181" t="n">
        <v>144</v>
      </c>
      <c r="B160" s="127" t="n"/>
      <c r="C160" s="121" t="inlineStr">
        <is>
          <t>01.7.15.07-0031</t>
        </is>
      </c>
      <c r="D160" s="182" t="inlineStr">
        <is>
          <t>Дюбели распорные с гайкой</t>
        </is>
      </c>
      <c r="E160" s="181" t="inlineStr">
        <is>
          <t>100 шт</t>
        </is>
      </c>
      <c r="F160" s="181" t="n">
        <v>0.003016</v>
      </c>
      <c r="G160" s="115" t="n">
        <v>110</v>
      </c>
      <c r="H160" s="115">
        <f>ROUND(F160*G160,2)</f>
        <v/>
      </c>
    </row>
    <row r="161" ht="63" customHeight="1" s="160">
      <c r="A161" s="181" t="n">
        <v>145</v>
      </c>
      <c r="B161" s="127" t="n"/>
      <c r="C161" s="121" t="inlineStr">
        <is>
          <t>08.2.02.11-0007</t>
        </is>
      </c>
      <c r="D161" s="18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61" s="181" t="inlineStr">
        <is>
          <t>10 м</t>
        </is>
      </c>
      <c r="F161" s="181" t="n">
        <v>0.005812</v>
      </c>
      <c r="G161" s="115" t="n">
        <v>50.24</v>
      </c>
      <c r="H161" s="115">
        <f>ROUND(F161*G161,2)</f>
        <v/>
      </c>
    </row>
    <row r="162">
      <c r="A162" s="181" t="n">
        <v>146</v>
      </c>
      <c r="B162" s="127" t="n"/>
      <c r="C162" s="121" t="inlineStr">
        <is>
          <t>01.7.02.09-0002</t>
        </is>
      </c>
      <c r="D162" s="182" t="inlineStr">
        <is>
          <t>Шпагат бумажный</t>
        </is>
      </c>
      <c r="E162" s="181" t="inlineStr">
        <is>
          <t>кг</t>
        </is>
      </c>
      <c r="F162" s="181" t="n">
        <v>0.0252</v>
      </c>
      <c r="G162" s="115" t="n">
        <v>11.5</v>
      </c>
      <c r="H162" s="115">
        <f>ROUND(F162*G162,2)</f>
        <v/>
      </c>
    </row>
    <row r="163" ht="31.5" customHeight="1" s="160">
      <c r="A163" s="181" t="n">
        <v>147</v>
      </c>
      <c r="B163" s="127" t="n"/>
      <c r="C163" s="121" t="inlineStr">
        <is>
          <t>11.1.03.01-0077</t>
        </is>
      </c>
      <c r="D163" s="182" t="inlineStr">
        <is>
          <t>Бруски обрезные, хвойных пород, длина 4-6,5 м, ширина 75-150 мм, толщина 40-75 мм, сорт I</t>
        </is>
      </c>
      <c r="E163" s="181" t="inlineStr">
        <is>
          <t>м3</t>
        </is>
      </c>
      <c r="F163" s="181" t="n">
        <v>0.000155</v>
      </c>
      <c r="G163" s="115" t="n">
        <v>1700</v>
      </c>
      <c r="H163" s="115">
        <f>ROUND(F163*G163,2)</f>
        <v/>
      </c>
    </row>
    <row r="164" ht="31.5" customHeight="1" s="160">
      <c r="A164" s="181" t="n">
        <v>148</v>
      </c>
      <c r="B164" s="127" t="n"/>
      <c r="C164" s="121" t="inlineStr">
        <is>
          <t>02.3.01.02-1012</t>
        </is>
      </c>
      <c r="D164" s="182" t="inlineStr">
        <is>
          <t>Песок природный II класс, средний, круглые сита</t>
        </is>
      </c>
      <c r="E164" s="181" t="inlineStr">
        <is>
          <t>м3</t>
        </is>
      </c>
      <c r="F164" s="181" t="n">
        <v>0.000566</v>
      </c>
      <c r="G164" s="115" t="n">
        <v>59.99</v>
      </c>
      <c r="H164" s="115">
        <f>ROUND(F164*G164,2)</f>
        <v/>
      </c>
    </row>
    <row r="165">
      <c r="J165" s="131" t="n"/>
    </row>
    <row r="167">
      <c r="B167" s="162" t="inlineStr">
        <is>
          <t>Составил ______________________        Е.А. Князева</t>
        </is>
      </c>
    </row>
    <row r="168">
      <c r="B168" s="94" t="inlineStr">
        <is>
          <t xml:space="preserve">                         (подпись, инициалы, фамилия)</t>
        </is>
      </c>
    </row>
    <row r="170">
      <c r="B170" s="162" t="inlineStr">
        <is>
          <t>Проверил ______________________        А.В. Костянецкая</t>
        </is>
      </c>
    </row>
    <row r="171">
      <c r="B171" s="94" t="inlineStr">
        <is>
          <t xml:space="preserve">                        (подпись, инициалы, фамилия)</t>
        </is>
      </c>
    </row>
  </sheetData>
  <mergeCells count="15">
    <mergeCell ref="C9:C10"/>
    <mergeCell ref="A55:E55"/>
    <mergeCell ref="A12:E12"/>
    <mergeCell ref="A3:H3"/>
    <mergeCell ref="B9:B10"/>
    <mergeCell ref="A26:E26"/>
    <mergeCell ref="D9:D10"/>
    <mergeCell ref="E9:E10"/>
    <mergeCell ref="A9:A10"/>
    <mergeCell ref="F9:F10"/>
    <mergeCell ref="A52:E52"/>
    <mergeCell ref="A2:H2"/>
    <mergeCell ref="A28:E28"/>
    <mergeCell ref="A5:H5"/>
    <mergeCell ref="G9:H9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56" t="n"/>
      <c r="C1" s="156" t="n"/>
      <c r="D1" s="156" t="n"/>
      <c r="E1" s="156" t="n"/>
    </row>
    <row r="2">
      <c r="B2" s="156" t="n"/>
      <c r="C2" s="156" t="n"/>
      <c r="D2" s="156" t="n"/>
      <c r="E2" s="206" t="inlineStr">
        <is>
          <t>Приложение № 4</t>
        </is>
      </c>
    </row>
    <row r="3">
      <c r="B3" s="156" t="n"/>
      <c r="C3" s="156" t="n"/>
      <c r="D3" s="156" t="n"/>
      <c r="E3" s="156" t="n"/>
    </row>
    <row r="4">
      <c r="B4" s="156" t="n"/>
      <c r="C4" s="156" t="n"/>
      <c r="D4" s="156" t="n"/>
      <c r="E4" s="156" t="n"/>
    </row>
    <row r="5">
      <c r="B5" s="183" t="inlineStr">
        <is>
          <t>Ресурсная модель</t>
        </is>
      </c>
    </row>
    <row r="6">
      <c r="B6" s="18" t="n"/>
      <c r="C6" s="156" t="n"/>
      <c r="D6" s="156" t="n"/>
      <c r="E6" s="156" t="n"/>
    </row>
    <row r="7" ht="39.75" customHeight="1" s="160">
      <c r="B7" s="184">
        <f>'Прил.1 Сравнит табл'!B7</f>
        <v/>
      </c>
    </row>
    <row r="8">
      <c r="B8" s="185">
        <f>'Прил.1 Сравнит табл'!B9</f>
        <v/>
      </c>
    </row>
    <row r="9">
      <c r="B9" s="18" t="n"/>
      <c r="C9" s="156" t="n"/>
      <c r="D9" s="156" t="n"/>
      <c r="E9" s="156" t="n"/>
    </row>
    <row r="10" ht="51" customHeight="1" s="160">
      <c r="B10" s="186" t="inlineStr">
        <is>
          <t>Наименование</t>
        </is>
      </c>
      <c r="C10" s="186" t="inlineStr">
        <is>
          <t>Сметная стоимость в ценах на 01.01.2023
 (руб.)</t>
        </is>
      </c>
      <c r="D10" s="186" t="inlineStr">
        <is>
          <t>Удельный вес, 
(в СМР)</t>
        </is>
      </c>
      <c r="E10" s="186" t="inlineStr">
        <is>
          <t>Удельный вес, % 
(от всего по РМ)</t>
        </is>
      </c>
    </row>
    <row r="11">
      <c r="B11" s="32" t="inlineStr">
        <is>
          <t>Оплата труда рабочих</t>
        </is>
      </c>
      <c r="C11" s="36">
        <f>'Прил.5 Расчет СМР и ОБ'!J14</f>
        <v/>
      </c>
      <c r="D11" s="34">
        <f>C11/$C$24</f>
        <v/>
      </c>
      <c r="E11" s="34">
        <f>C11/$C$40</f>
        <v/>
      </c>
    </row>
    <row r="12">
      <c r="B12" s="32" t="inlineStr">
        <is>
          <t>Эксплуатация машин основных</t>
        </is>
      </c>
      <c r="C12" s="36">
        <f>'Прил.5 Расчет СМР и ОБ'!J24</f>
        <v/>
      </c>
      <c r="D12" s="34">
        <f>C12/$C$24</f>
        <v/>
      </c>
      <c r="E12" s="34">
        <f>C12/$C$40</f>
        <v/>
      </c>
    </row>
    <row r="13">
      <c r="B13" s="32" t="inlineStr">
        <is>
          <t>Эксплуатация машин прочих</t>
        </is>
      </c>
      <c r="C13" s="36">
        <f>'Прил.5 Расчет СМР и ОБ'!J44</f>
        <v/>
      </c>
      <c r="D13" s="34">
        <f>C13/$C$24</f>
        <v/>
      </c>
      <c r="E13" s="34">
        <f>C13/$C$40</f>
        <v/>
      </c>
    </row>
    <row r="14">
      <c r="B14" s="32" t="inlineStr">
        <is>
          <t>ЭКСПЛУАТАЦИЯ МАШИН, ВСЕГО:</t>
        </is>
      </c>
      <c r="C14" s="36">
        <f>C13+C12</f>
        <v/>
      </c>
      <c r="D14" s="34">
        <f>C14/$C$24</f>
        <v/>
      </c>
      <c r="E14" s="34">
        <f>C14/$C$40</f>
        <v/>
      </c>
    </row>
    <row r="15">
      <c r="B15" s="32" t="inlineStr">
        <is>
          <t>в том числе зарплата машинистов</t>
        </is>
      </c>
      <c r="C15" s="36">
        <f>'Прил.5 Расчет СМР и ОБ'!J16</f>
        <v/>
      </c>
      <c r="D15" s="34">
        <f>C15/$C$24</f>
        <v/>
      </c>
      <c r="E15" s="34">
        <f>C15/$C$40</f>
        <v/>
      </c>
    </row>
    <row r="16">
      <c r="B16" s="32" t="inlineStr">
        <is>
          <t>Материалы основные</t>
        </is>
      </c>
      <c r="C16" s="36">
        <f>'Прил.5 Расчет СМР и ОБ'!J74</f>
        <v/>
      </c>
      <c r="D16" s="34">
        <f>C16/$C$24</f>
        <v/>
      </c>
      <c r="E16" s="34">
        <f>C16/$C$40</f>
        <v/>
      </c>
    </row>
    <row r="17">
      <c r="B17" s="32" t="inlineStr">
        <is>
          <t>Материалы прочие</t>
        </is>
      </c>
      <c r="C17" s="36">
        <f>'Прил.5 Расчет СМР и ОБ'!J170</f>
        <v/>
      </c>
      <c r="D17" s="34">
        <f>C17/$C$24</f>
        <v/>
      </c>
      <c r="E17" s="34">
        <f>C17/$C$40</f>
        <v/>
      </c>
      <c r="G17" s="229" t="n"/>
    </row>
    <row r="18">
      <c r="B18" s="32" t="inlineStr">
        <is>
          <t>МАТЕРИАЛЫ, ВСЕГО:</t>
        </is>
      </c>
      <c r="C18" s="36">
        <f>C17+C16</f>
        <v/>
      </c>
      <c r="D18" s="34">
        <f>C18/$C$24</f>
        <v/>
      </c>
      <c r="E18" s="34">
        <f>C18/$C$40</f>
        <v/>
      </c>
    </row>
    <row r="19">
      <c r="B19" s="32" t="inlineStr">
        <is>
          <t>ИТОГО</t>
        </is>
      </c>
      <c r="C19" s="36">
        <f>C18+C14+C11</f>
        <v/>
      </c>
      <c r="D19" s="34" t="n"/>
      <c r="E19" s="32" t="n"/>
    </row>
    <row r="20">
      <c r="B20" s="32" t="inlineStr">
        <is>
          <t>Сметная прибыль, руб.</t>
        </is>
      </c>
      <c r="C20" s="36">
        <f>ROUND(C21*(C11+C15),2)</f>
        <v/>
      </c>
      <c r="D20" s="34">
        <f>C20/$C$24</f>
        <v/>
      </c>
      <c r="E20" s="34">
        <f>C20/$C$40</f>
        <v/>
      </c>
    </row>
    <row r="21">
      <c r="B21" s="32" t="inlineStr">
        <is>
          <t>Сметная прибыль, %</t>
        </is>
      </c>
      <c r="C21" s="37">
        <f>'Прил.5 Расчет СМР и ОБ'!E174</f>
        <v/>
      </c>
      <c r="D21" s="34" t="n"/>
      <c r="E21" s="32" t="n"/>
    </row>
    <row r="22">
      <c r="B22" s="32" t="inlineStr">
        <is>
          <t>Накладные расходы, руб.</t>
        </is>
      </c>
      <c r="C22" s="36">
        <f>ROUND(C23*(C11+C15),2)</f>
        <v/>
      </c>
      <c r="D22" s="34">
        <f>C22/$C$24</f>
        <v/>
      </c>
      <c r="E22" s="34">
        <f>C22/$C$40</f>
        <v/>
      </c>
    </row>
    <row r="23">
      <c r="B23" s="32" t="inlineStr">
        <is>
          <t>Накладные расходы, %</t>
        </is>
      </c>
      <c r="C23" s="37">
        <f>'Прил.5 Расчет СМР и ОБ'!E173</f>
        <v/>
      </c>
      <c r="D23" s="34" t="n"/>
      <c r="E23" s="32" t="n"/>
    </row>
    <row r="24">
      <c r="B24" s="32" t="inlineStr">
        <is>
          <t>ВСЕГО СМР с НР и СП</t>
        </is>
      </c>
      <c r="C24" s="36">
        <f>C19+C20+C22</f>
        <v/>
      </c>
      <c r="D24" s="34">
        <f>C24/$C$24</f>
        <v/>
      </c>
      <c r="E24" s="34">
        <f>C24/$C$40</f>
        <v/>
      </c>
    </row>
    <row r="25" ht="25.5" customHeight="1" s="160">
      <c r="B25" s="32" t="inlineStr">
        <is>
          <t>ВСЕГО стоимость оборудования, в том числе</t>
        </is>
      </c>
      <c r="C25" s="36">
        <f>'Прил.5 Расчет СМР и ОБ'!J52</f>
        <v/>
      </c>
      <c r="D25" s="34" t="n"/>
      <c r="E25" s="34">
        <f>C25/$C$40</f>
        <v/>
      </c>
    </row>
    <row r="26" ht="25.5" customHeight="1" s="160">
      <c r="B26" s="32" t="inlineStr">
        <is>
          <t>стоимость оборудования технологического</t>
        </is>
      </c>
      <c r="C26" s="36">
        <f>'Прил.5 Расчет СМР и ОБ'!J53</f>
        <v/>
      </c>
      <c r="D26" s="34" t="n"/>
      <c r="E26" s="34">
        <f>C26/$C$40</f>
        <v/>
      </c>
    </row>
    <row r="27">
      <c r="B27" s="32" t="inlineStr">
        <is>
          <t>ИТОГО (СМР + ОБОРУДОВАНИЕ)</t>
        </is>
      </c>
      <c r="C27" s="33">
        <f>C24+C25</f>
        <v/>
      </c>
      <c r="D27" s="34" t="n"/>
      <c r="E27" s="34">
        <f>C27/$C$40</f>
        <v/>
      </c>
    </row>
    <row r="28" ht="33" customHeight="1" s="160">
      <c r="B28" s="32" t="inlineStr">
        <is>
          <t>ПРОЧ. ЗАТР., УЧТЕННЫЕ ПОКАЗАТЕЛЕМ,  в том числе</t>
        </is>
      </c>
      <c r="C28" s="32" t="n"/>
      <c r="D28" s="32" t="n"/>
      <c r="E28" s="32" t="n"/>
    </row>
    <row r="29" ht="25.5" customHeight="1" s="160">
      <c r="B29" s="32" t="inlineStr">
        <is>
          <t>Временные здания и сооружения - 3,9%</t>
        </is>
      </c>
      <c r="C29" s="33">
        <f>ROUND(C24*3.9%,2)</f>
        <v/>
      </c>
      <c r="D29" s="32" t="n"/>
      <c r="E29" s="34">
        <f>C29/$C$40</f>
        <v/>
      </c>
    </row>
    <row r="30" ht="38.25" customHeight="1" s="160">
      <c r="B30" s="32" t="inlineStr">
        <is>
          <t>Дополнительные затраты при производстве строительно-монтажных работ в зимнее время - 2,1%</t>
        </is>
      </c>
      <c r="C30" s="33">
        <f>ROUND((C24+C29)*2.1%,2)</f>
        <v/>
      </c>
      <c r="D30" s="32" t="n"/>
      <c r="E30" s="34">
        <f>C30/$C$40</f>
        <v/>
      </c>
    </row>
    <row r="31">
      <c r="B31" s="32" t="inlineStr">
        <is>
          <t xml:space="preserve">Пусконаладочные работы </t>
        </is>
      </c>
      <c r="C31" s="33" t="n">
        <v>8698.200000000001</v>
      </c>
      <c r="D31" s="32" t="n"/>
      <c r="E31" s="34">
        <f>C31/$C$40</f>
        <v/>
      </c>
    </row>
    <row r="32" ht="25.5" customHeight="1" s="160">
      <c r="B32" s="32" t="inlineStr">
        <is>
          <t>Затраты по перевозке работников к месту работы и обратно</t>
        </is>
      </c>
      <c r="C32" s="33" t="n">
        <v>0</v>
      </c>
      <c r="D32" s="32" t="n"/>
      <c r="E32" s="34">
        <f>C32/$C$40</f>
        <v/>
      </c>
      <c r="G32" s="126" t="n"/>
    </row>
    <row r="33" ht="25.5" customHeight="1" s="160">
      <c r="B33" s="32" t="inlineStr">
        <is>
          <t>Затраты, связанные с осуществлением работ вахтовым методом</t>
        </is>
      </c>
      <c r="C33" s="33" t="n">
        <v>0</v>
      </c>
      <c r="D33" s="32" t="n"/>
      <c r="E33" s="34">
        <f>C33/$C$40</f>
        <v/>
      </c>
      <c r="G33" s="126" t="n"/>
    </row>
    <row r="34" ht="51" customHeight="1" s="160">
      <c r="B34" s="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3" t="n">
        <v>0</v>
      </c>
      <c r="D34" s="32" t="n"/>
      <c r="E34" s="34">
        <f>C34/$C$40</f>
        <v/>
      </c>
      <c r="G34" s="126" t="n"/>
    </row>
    <row r="35" ht="76.5" customHeight="1" s="160">
      <c r="B35" s="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3" t="n">
        <v>0</v>
      </c>
      <c r="D35" s="32" t="n"/>
      <c r="E35" s="34">
        <f>C35/$C$40</f>
        <v/>
      </c>
      <c r="G35" s="126" t="n"/>
    </row>
    <row r="36" ht="25.5" customHeight="1" s="160">
      <c r="B36" s="32" t="inlineStr">
        <is>
          <t>Строительный контроль и содержание службы заказчика - 2,14%</t>
        </is>
      </c>
      <c r="C36" s="33">
        <f>ROUND(SUM(C27:C35)*2.14%,2)</f>
        <v/>
      </c>
      <c r="D36" s="32" t="n"/>
      <c r="E36" s="34">
        <f>C36/$C$40</f>
        <v/>
      </c>
      <c r="G36" s="73" t="n"/>
      <c r="L36" s="20" t="n"/>
    </row>
    <row r="37">
      <c r="B37" s="32" t="inlineStr">
        <is>
          <t>Авторский надзор - 0,2%</t>
        </is>
      </c>
      <c r="C37" s="33">
        <f>ROUND(SUM(C27:C35)*0.2%,2)</f>
        <v/>
      </c>
      <c r="D37" s="32" t="n"/>
      <c r="E37" s="34">
        <f>C37/$C$40</f>
        <v/>
      </c>
      <c r="G37" s="73" t="n"/>
      <c r="L37" s="20" t="n"/>
    </row>
    <row r="38" ht="38.25" customHeight="1" s="160">
      <c r="B38" s="32" t="inlineStr">
        <is>
          <t>ИТОГО (СМР+ОБОРУДОВАНИЕ+ПРОЧ. ЗАТР., УЧТЕННЫЕ ПОКАЗАТЕЛЕМ)</t>
        </is>
      </c>
      <c r="C38" s="36">
        <f>SUM(C27:C37)</f>
        <v/>
      </c>
      <c r="D38" s="32" t="n"/>
      <c r="E38" s="34">
        <f>C38/$C$40</f>
        <v/>
      </c>
    </row>
    <row r="39" ht="13.5" customHeight="1" s="160">
      <c r="B39" s="32" t="inlineStr">
        <is>
          <t>Непредвиденные расходы</t>
        </is>
      </c>
      <c r="C39" s="36">
        <f>ROUND(C38*3%,2)</f>
        <v/>
      </c>
      <c r="D39" s="32" t="n"/>
      <c r="E39" s="34">
        <f>C39/$C$40</f>
        <v/>
      </c>
    </row>
    <row r="40">
      <c r="B40" s="32" t="inlineStr">
        <is>
          <t>ВСЕГО:</t>
        </is>
      </c>
      <c r="C40" s="36">
        <f>C39+C38</f>
        <v/>
      </c>
      <c r="D40" s="32" t="n"/>
      <c r="E40" s="34">
        <f>C40/$C$40</f>
        <v/>
      </c>
    </row>
    <row r="41">
      <c r="B41" s="32" t="inlineStr">
        <is>
          <t>ИТОГО ПОКАЗАТЕЛЬ НА ЕД. ИЗМ.</t>
        </is>
      </c>
      <c r="C41" s="36">
        <f>C40/'Прил.5 Расчет СМР и ОБ'!E177</f>
        <v/>
      </c>
      <c r="D41" s="32" t="n"/>
      <c r="E41" s="32" t="n"/>
    </row>
    <row r="42">
      <c r="B42" s="21" t="n"/>
      <c r="C42" s="156" t="n"/>
      <c r="D42" s="156" t="n"/>
      <c r="E42" s="156" t="n"/>
    </row>
    <row r="43">
      <c r="B43" s="156" t="inlineStr">
        <is>
          <t>Составил ______________________        Е.А. Князева</t>
        </is>
      </c>
      <c r="C43" s="157" t="n"/>
      <c r="D43" s="156" t="n"/>
      <c r="E43" s="156" t="n"/>
    </row>
    <row r="44">
      <c r="B44" s="159" t="inlineStr">
        <is>
          <t xml:space="preserve">                         (подпись, инициалы, фамилия)</t>
        </is>
      </c>
      <c r="C44" s="157" t="n"/>
      <c r="D44" s="156" t="n"/>
      <c r="E44" s="156" t="n"/>
    </row>
    <row r="45">
      <c r="B45" s="156" t="n"/>
      <c r="C45" s="157" t="n"/>
      <c r="D45" s="156" t="n"/>
      <c r="E45" s="156" t="n"/>
    </row>
    <row r="46">
      <c r="B46" s="156" t="inlineStr">
        <is>
          <t>Проверил ______________________        А.В. Костянецкая</t>
        </is>
      </c>
      <c r="C46" s="157" t="n"/>
      <c r="D46" s="156" t="n"/>
      <c r="E46" s="156" t="n"/>
    </row>
    <row r="47">
      <c r="B47" s="159" t="inlineStr">
        <is>
          <t xml:space="preserve">                        (подпись, инициалы, фамилия)</t>
        </is>
      </c>
      <c r="C47" s="157" t="n"/>
      <c r="D47" s="156" t="n"/>
      <c r="E47" s="156" t="n"/>
    </row>
    <row r="49">
      <c r="B49" s="156" t="n"/>
      <c r="C49" s="156" t="n"/>
      <c r="D49" s="156" t="n"/>
      <c r="E49" s="156" t="n"/>
    </row>
    <row r="50">
      <c r="B50" s="156" t="n"/>
      <c r="C50" s="156" t="n"/>
      <c r="D50" s="156" t="n"/>
      <c r="E50" s="15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N184"/>
  <sheetViews>
    <sheetView view="pageBreakPreview" topLeftCell="A56" workbookViewId="0">
      <selection activeCell="B180" sqref="B180"/>
    </sheetView>
  </sheetViews>
  <sheetFormatPr baseColWidth="8" defaultColWidth="9.140625" defaultRowHeight="15" outlineLevelRow="1"/>
  <cols>
    <col width="5.7109375" customWidth="1" style="157" min="1" max="1"/>
    <col width="22.5703125" customWidth="1" style="157" min="2" max="2"/>
    <col width="39.140625" customWidth="1" style="157" min="3" max="3"/>
    <col width="10.7109375" customWidth="1" style="157" min="4" max="4"/>
    <col width="12.7109375" customWidth="1" style="157" min="5" max="5"/>
    <col width="14.5703125" customWidth="1" style="157" min="6" max="6"/>
    <col width="13.42578125" customWidth="1" style="157" min="7" max="7"/>
    <col width="12.7109375" customWidth="1" style="157" min="8" max="8"/>
    <col width="14.5703125" customWidth="1" style="157" min="9" max="9"/>
    <col width="15.140625" customWidth="1" style="157" min="10" max="10"/>
    <col width="2.85546875" customWidth="1" style="157" min="11" max="11"/>
    <col width="10.7109375" customWidth="1" style="157" min="12" max="12"/>
    <col width="10.85546875" customWidth="1" style="157" min="13" max="13"/>
    <col width="9.140625" customWidth="1" style="157" min="14" max="14"/>
    <col width="9.140625" customWidth="1" style="160" min="15" max="15"/>
  </cols>
  <sheetData>
    <row r="2" ht="15.75" customHeight="1" s="160">
      <c r="I2" s="162" t="n"/>
      <c r="J2" s="74" t="inlineStr">
        <is>
          <t>Приложение №5</t>
        </is>
      </c>
    </row>
    <row r="4" ht="12.75" customFormat="1" customHeight="1" s="156">
      <c r="A4" s="183" t="inlineStr">
        <is>
          <t>Расчет стоимости СМР и оборудования</t>
        </is>
      </c>
      <c r="I4" s="183" t="n"/>
      <c r="J4" s="183" t="n"/>
    </row>
    <row r="5" ht="12.75" customFormat="1" customHeight="1" s="156">
      <c r="A5" s="183" t="n"/>
      <c r="B5" s="183" t="n"/>
      <c r="C5" s="183" t="n"/>
      <c r="D5" s="183" t="n"/>
      <c r="E5" s="183" t="n"/>
      <c r="F5" s="183" t="n"/>
      <c r="G5" s="183" t="n"/>
      <c r="H5" s="183" t="n"/>
      <c r="I5" s="183" t="n"/>
      <c r="J5" s="183" t="n"/>
    </row>
    <row r="6" ht="41.25" customFormat="1" customHeight="1" s="156">
      <c r="A6" s="118" t="inlineStr">
        <is>
          <t>Наименование разрабатываемого показателя УНЦ</t>
        </is>
      </c>
      <c r="B6" s="119" t="n"/>
      <c r="C6" s="119" t="n"/>
      <c r="D6" s="199" t="inlineStr">
        <is>
          <t>Комплекс систем безопасности ПС. Система охранного освещения</t>
        </is>
      </c>
    </row>
    <row r="7" ht="12.75" customFormat="1" customHeight="1" s="156">
      <c r="A7" s="199">
        <f>'Прил.1 Сравнит табл'!B9</f>
        <v/>
      </c>
      <c r="I7" s="184" t="n"/>
      <c r="J7" s="184" t="n"/>
    </row>
    <row r="8" ht="12.75" customFormat="1" customHeight="1" s="156"/>
    <row r="9" ht="27" customHeight="1" s="160">
      <c r="A9" s="186" t="inlineStr">
        <is>
          <t>№ пп.</t>
        </is>
      </c>
      <c r="B9" s="186" t="inlineStr">
        <is>
          <t>Код ресурса</t>
        </is>
      </c>
      <c r="C9" s="186" t="inlineStr">
        <is>
          <t>Наименование</t>
        </is>
      </c>
      <c r="D9" s="186" t="inlineStr">
        <is>
          <t>Ед. изм.</t>
        </is>
      </c>
      <c r="E9" s="186" t="inlineStr">
        <is>
          <t>Кол-во единиц по проектным данным</t>
        </is>
      </c>
      <c r="F9" s="186" t="inlineStr">
        <is>
          <t>Сметная стоимость в ценах на 01.01.2000 (руб.)</t>
        </is>
      </c>
      <c r="G9" s="225" t="n"/>
      <c r="H9" s="186" t="inlineStr">
        <is>
          <t>Удельный вес, %</t>
        </is>
      </c>
      <c r="I9" s="186" t="inlineStr">
        <is>
          <t>Сметная стоимость в ценах на 01.01.2023 (руб.)</t>
        </is>
      </c>
      <c r="J9" s="225" t="n"/>
    </row>
    <row r="10" ht="28.5" customHeight="1" s="160">
      <c r="A10" s="227" t="n"/>
      <c r="B10" s="227" t="n"/>
      <c r="C10" s="227" t="n"/>
      <c r="D10" s="227" t="n"/>
      <c r="E10" s="227" t="n"/>
      <c r="F10" s="186" t="inlineStr">
        <is>
          <t>на ед. изм.</t>
        </is>
      </c>
      <c r="G10" s="186" t="inlineStr">
        <is>
          <t>общая</t>
        </is>
      </c>
      <c r="H10" s="227" t="n"/>
      <c r="I10" s="186" t="inlineStr">
        <is>
          <t>на ед. изм.</t>
        </is>
      </c>
      <c r="J10" s="186" t="inlineStr">
        <is>
          <t>общая</t>
        </is>
      </c>
    </row>
    <row r="11">
      <c r="A11" s="186" t="n">
        <v>1</v>
      </c>
      <c r="B11" s="186" t="n">
        <v>2</v>
      </c>
      <c r="C11" s="186" t="n">
        <v>3</v>
      </c>
      <c r="D11" s="186" t="n">
        <v>4</v>
      </c>
      <c r="E11" s="186" t="n">
        <v>5</v>
      </c>
      <c r="F11" s="186" t="n">
        <v>6</v>
      </c>
      <c r="G11" s="186" t="n">
        <v>7</v>
      </c>
      <c r="H11" s="186" t="n">
        <v>8</v>
      </c>
      <c r="I11" s="186" t="n">
        <v>9</v>
      </c>
      <c r="J11" s="186" t="n">
        <v>10</v>
      </c>
    </row>
    <row r="12">
      <c r="A12" s="186" t="n"/>
      <c r="B12" s="200" t="inlineStr">
        <is>
          <t>Затраты труда рабочих-строителей</t>
        </is>
      </c>
      <c r="C12" s="224" t="n"/>
      <c r="D12" s="224" t="n"/>
      <c r="E12" s="224" t="n"/>
      <c r="F12" s="224" t="n"/>
      <c r="G12" s="224" t="n"/>
      <c r="H12" s="225" t="n"/>
      <c r="I12" s="43" t="n"/>
      <c r="J12" s="43" t="n"/>
      <c r="L12" s="230" t="n"/>
    </row>
    <row r="13" ht="25.5" customHeight="1" s="160">
      <c r="A13" s="186" t="n">
        <v>1</v>
      </c>
      <c r="B13" s="83" t="inlineStr">
        <is>
          <t>1-3-8</t>
        </is>
      </c>
      <c r="C13" s="191" t="inlineStr">
        <is>
          <t>Затраты труда рабочих-строителей среднего разряда (3,8)</t>
        </is>
      </c>
      <c r="D13" s="186" t="inlineStr">
        <is>
          <t>чел.-ч.</t>
        </is>
      </c>
      <c r="E13" s="231">
        <f>G13/F13</f>
        <v/>
      </c>
      <c r="F13" s="89" t="n">
        <v>9.4</v>
      </c>
      <c r="G13" s="89">
        <f>Прил.3!H12</f>
        <v/>
      </c>
      <c r="H13" s="201">
        <f>G13/G14</f>
        <v/>
      </c>
      <c r="I13" s="89">
        <f>ФОТр.тек.!E13</f>
        <v/>
      </c>
      <c r="J13" s="89">
        <f>ROUND(I13*E13,2)</f>
        <v/>
      </c>
    </row>
    <row r="14" ht="25.5" customFormat="1" customHeight="1" s="157">
      <c r="A14" s="186" t="n"/>
      <c r="B14" s="186" t="n"/>
      <c r="C14" s="200" t="inlineStr">
        <is>
          <t>Итого по разделу "Затраты труда рабочих-строителей"</t>
        </is>
      </c>
      <c r="D14" s="186" t="inlineStr">
        <is>
          <t>чел.-ч.</t>
        </is>
      </c>
      <c r="E14" s="231">
        <f>SUM(E13:E13)</f>
        <v/>
      </c>
      <c r="F14" s="89" t="n"/>
      <c r="G14" s="89">
        <f>SUM(G13:G13)</f>
        <v/>
      </c>
      <c r="H14" s="201" t="n">
        <v>1</v>
      </c>
      <c r="I14" s="89" t="n"/>
      <c r="J14" s="89">
        <f>SUM(J13:J13)</f>
        <v/>
      </c>
      <c r="L14" s="82" t="n"/>
    </row>
    <row r="15" ht="14.25" customFormat="1" customHeight="1" s="157">
      <c r="A15" s="186" t="n"/>
      <c r="B15" s="191" t="inlineStr">
        <is>
          <t>Затраты труда машинистов</t>
        </is>
      </c>
      <c r="C15" s="224" t="n"/>
      <c r="D15" s="224" t="n"/>
      <c r="E15" s="224" t="n"/>
      <c r="F15" s="224" t="n"/>
      <c r="G15" s="224" t="n"/>
      <c r="H15" s="225" t="n"/>
      <c r="I15" s="43" t="n"/>
      <c r="J15" s="43" t="n"/>
      <c r="L15" s="230" t="n"/>
    </row>
    <row r="16" ht="14.25" customFormat="1" customHeight="1" s="157">
      <c r="A16" s="186" t="n">
        <v>2</v>
      </c>
      <c r="B16" s="186" t="n">
        <v>2</v>
      </c>
      <c r="C16" s="191" t="inlineStr">
        <is>
          <t>Затраты труда машинистов</t>
        </is>
      </c>
      <c r="D16" s="186" t="inlineStr">
        <is>
          <t>чел.-ч.</t>
        </is>
      </c>
      <c r="E16" s="231">
        <f>Прил.3!F27</f>
        <v/>
      </c>
      <c r="F16" s="89">
        <f>G16/E16</f>
        <v/>
      </c>
      <c r="G16" s="89">
        <f>Прил.3!H27</f>
        <v/>
      </c>
      <c r="H16" s="201" t="n">
        <v>1</v>
      </c>
      <c r="I16" s="89">
        <f>ROUND(F16*Прил.10!D10,2)</f>
        <v/>
      </c>
      <c r="J16" s="89">
        <f>ROUND(I16*E16,2)</f>
        <v/>
      </c>
      <c r="L16" s="70" t="n"/>
    </row>
    <row r="17" ht="14.25" customFormat="1" customHeight="1" s="157">
      <c r="A17" s="186" t="n"/>
      <c r="B17" s="200" t="inlineStr">
        <is>
          <t>Машины и механизмы</t>
        </is>
      </c>
      <c r="C17" s="224" t="n"/>
      <c r="D17" s="224" t="n"/>
      <c r="E17" s="224" t="n"/>
      <c r="F17" s="224" t="n"/>
      <c r="G17" s="224" t="n"/>
      <c r="H17" s="225" t="n"/>
      <c r="I17" s="201" t="n"/>
      <c r="J17" s="201" t="n"/>
    </row>
    <row r="18" ht="14.25" customFormat="1" customHeight="1" s="157">
      <c r="A18" s="186" t="n"/>
      <c r="B18" s="191" t="inlineStr">
        <is>
          <t>Основные машины и механизмы</t>
        </is>
      </c>
      <c r="C18" s="224" t="n"/>
      <c r="D18" s="224" t="n"/>
      <c r="E18" s="224" t="n"/>
      <c r="F18" s="224" t="n"/>
      <c r="G18" s="224" t="n"/>
      <c r="H18" s="225" t="n"/>
      <c r="I18" s="43" t="n"/>
      <c r="J18" s="43" t="n"/>
    </row>
    <row r="19" ht="14.25" customFormat="1" customHeight="1" s="157">
      <c r="A19" s="186" t="n">
        <v>3</v>
      </c>
      <c r="B19" s="83" t="inlineStr">
        <is>
          <t>91.21.22-447</t>
        </is>
      </c>
      <c r="C19" s="191" t="inlineStr">
        <is>
          <t>Установки электрометаллизационные</t>
        </is>
      </c>
      <c r="D19" s="186" t="inlineStr">
        <is>
          <t>маш.-ч.</t>
        </is>
      </c>
      <c r="E19" s="231" t="n">
        <v>127.651768</v>
      </c>
      <c r="F19" s="205" t="n">
        <v>74.23999999999999</v>
      </c>
      <c r="G19" s="89">
        <f>ROUND(E19*F19,2)</f>
        <v/>
      </c>
      <c r="H19" s="201">
        <f>G19/$G$45</f>
        <v/>
      </c>
      <c r="I19" s="89">
        <f>ROUND(F19*Прил.10!$D$11,2)</f>
        <v/>
      </c>
      <c r="J19" s="89">
        <f>ROUND(I19*E19,2)</f>
        <v/>
      </c>
    </row>
    <row r="20" ht="25.5" customFormat="1" customHeight="1" s="157">
      <c r="A20" s="186" t="n">
        <v>4</v>
      </c>
      <c r="B20" s="83" t="inlineStr">
        <is>
          <t>91.05.05-015</t>
        </is>
      </c>
      <c r="C20" s="191" t="inlineStr">
        <is>
          <t>Краны на автомобильном ходу, грузоподъемность 16 т</t>
        </is>
      </c>
      <c r="D20" s="186" t="inlineStr">
        <is>
          <t>маш.-ч.</t>
        </is>
      </c>
      <c r="E20" s="231" t="n">
        <v>16.002377</v>
      </c>
      <c r="F20" s="205" t="n">
        <v>115.4</v>
      </c>
      <c r="G20" s="89">
        <f>ROUND(E20*F20,2)</f>
        <v/>
      </c>
      <c r="H20" s="201">
        <f>G20/$G$45</f>
        <v/>
      </c>
      <c r="I20" s="89">
        <f>ROUND(F20*Прил.10!$D$11,2)</f>
        <v/>
      </c>
      <c r="J20" s="89">
        <f>ROUND(I20*E20,2)</f>
        <v/>
      </c>
    </row>
    <row r="21" ht="25.5" customFormat="1" customHeight="1" s="157">
      <c r="A21" s="186" t="n">
        <v>5</v>
      </c>
      <c r="B21" s="83" t="inlineStr">
        <is>
          <t>91.14.02-001</t>
        </is>
      </c>
      <c r="C21" s="191" t="inlineStr">
        <is>
          <t>Автомобили бортовые, грузоподъемность до 5 т</t>
        </is>
      </c>
      <c r="D21" s="186" t="inlineStr">
        <is>
          <t>маш.-ч.</t>
        </is>
      </c>
      <c r="E21" s="231" t="n">
        <v>18.664282453203</v>
      </c>
      <c r="F21" s="205" t="n">
        <v>65.70999999999999</v>
      </c>
      <c r="G21" s="89" t="n">
        <v>1226.43</v>
      </c>
      <c r="H21" s="201">
        <f>G21/$G$45</f>
        <v/>
      </c>
      <c r="I21" s="89">
        <f>ROUND(F21*Прил.10!$D$11,2)</f>
        <v/>
      </c>
      <c r="J21" s="89">
        <f>ROUND(I21*E21,2)</f>
        <v/>
      </c>
    </row>
    <row r="22" hidden="1" outlineLevel="1" ht="25.5" customFormat="1" customHeight="1" s="142">
      <c r="A22" s="144" t="n"/>
      <c r="B22" s="134" t="inlineStr">
        <is>
          <t>91.14.02-001</t>
        </is>
      </c>
      <c r="C22" s="143" t="inlineStr">
        <is>
          <t>Автомобили бортовые, грузоподъемность до 5 т</t>
        </is>
      </c>
      <c r="D22" s="144" t="inlineStr">
        <is>
          <t>маш.-ч.</t>
        </is>
      </c>
      <c r="E22" s="232" t="n">
        <v>18.524108</v>
      </c>
      <c r="F22" s="145" t="n">
        <v>65.70999999999999</v>
      </c>
      <c r="G22" s="141">
        <f>ROUND(E22*F22,2)</f>
        <v/>
      </c>
      <c r="H22" s="140">
        <f>G22/$G$45</f>
        <v/>
      </c>
      <c r="I22" s="141" t="n"/>
      <c r="J22" s="141" t="n"/>
    </row>
    <row r="23" hidden="1" outlineLevel="1" ht="25.5" customFormat="1" customHeight="1" s="142">
      <c r="A23" s="144" t="n"/>
      <c r="B23" s="134" t="inlineStr">
        <is>
          <t>91.14.02-002</t>
        </is>
      </c>
      <c r="C23" s="143" t="inlineStr">
        <is>
          <t>Автомобили бортовые, грузоподъемность до 8 т</t>
        </is>
      </c>
      <c r="D23" s="144" t="inlineStr">
        <is>
          <t>маш.-ч.</t>
        </is>
      </c>
      <c r="E23" s="232" t="n">
        <v>0.107296</v>
      </c>
      <c r="F23" s="145" t="n">
        <v>85.84</v>
      </c>
      <c r="G23" s="141">
        <f>ROUND(E23*F23,2)</f>
        <v/>
      </c>
      <c r="H23" s="140">
        <f>G23/$G$45</f>
        <v/>
      </c>
      <c r="I23" s="141" t="n"/>
      <c r="J23" s="141" t="n"/>
    </row>
    <row r="24" collapsed="1" ht="14.25" customFormat="1" customHeight="1" s="157">
      <c r="B24" s="186" t="n"/>
      <c r="C24" s="191" t="inlineStr">
        <is>
          <t>Итого основные машины и механизмы</t>
        </is>
      </c>
      <c r="D24" s="186" t="n"/>
      <c r="E24" s="233" t="n"/>
      <c r="F24" s="89" t="n"/>
      <c r="G24" s="89">
        <f>SUM(G19:G21)</f>
        <v/>
      </c>
      <c r="H24" s="201">
        <f>G24/G45</f>
        <v/>
      </c>
      <c r="I24" s="89" t="n"/>
      <c r="J24" s="89">
        <f>SUM(J19:J23)</f>
        <v/>
      </c>
      <c r="L24" s="234" t="n"/>
    </row>
    <row r="25" hidden="1" outlineLevel="1" ht="25.5" customFormat="1" customHeight="1" s="157">
      <c r="A25" s="186" t="n">
        <v>6</v>
      </c>
      <c r="B25" s="83" t="inlineStr">
        <is>
          <t>91.05.06-012</t>
        </is>
      </c>
      <c r="C25" s="191" t="inlineStr">
        <is>
          <t>Краны на гусеничном ходу, грузоподъемность до 16 т</t>
        </is>
      </c>
      <c r="D25" s="186" t="inlineStr">
        <is>
          <t>маш.-ч.</t>
        </is>
      </c>
      <c r="E25" s="231" t="n">
        <v>5.87776</v>
      </c>
      <c r="F25" s="205" t="n">
        <v>96.89</v>
      </c>
      <c r="G25" s="89">
        <f>ROUND(E25*F25,2)</f>
        <v/>
      </c>
      <c r="H25" s="201">
        <f>G25/$G$45</f>
        <v/>
      </c>
      <c r="I25" s="89">
        <f>ROUND(F25*Прил.10!$D$11,2)</f>
        <v/>
      </c>
      <c r="J25" s="89">
        <f>ROUND(I25*E25,2)</f>
        <v/>
      </c>
      <c r="L25" s="234" t="n"/>
    </row>
    <row r="26" hidden="1" outlineLevel="1" ht="25.5" customFormat="1" customHeight="1" s="157">
      <c r="A26" s="186" t="n">
        <v>7</v>
      </c>
      <c r="B26" s="83" t="inlineStr">
        <is>
          <t>91.17.04-233</t>
        </is>
      </c>
      <c r="C26" s="191" t="inlineStr">
        <is>
          <t>Установки для сварки ручной дуговой (постоянного тока)</t>
        </is>
      </c>
      <c r="D26" s="186" t="inlineStr">
        <is>
          <t>маш.-ч.</t>
        </is>
      </c>
      <c r="E26" s="231" t="n">
        <v>44.434511</v>
      </c>
      <c r="F26" s="205" t="n">
        <v>8.1</v>
      </c>
      <c r="G26" s="89">
        <f>ROUND(E26*F26,2)</f>
        <v/>
      </c>
      <c r="H26" s="201">
        <f>G26/$G$45</f>
        <v/>
      </c>
      <c r="I26" s="89">
        <f>ROUND(F26*Прил.10!$D$11,2)</f>
        <v/>
      </c>
      <c r="J26" s="89">
        <f>ROUND(I26*E26,2)</f>
        <v/>
      </c>
      <c r="L26" s="234" t="n"/>
    </row>
    <row r="27" hidden="1" outlineLevel="1" ht="38.25" customFormat="1" customHeight="1" s="157">
      <c r="A27" s="186" t="n">
        <v>8</v>
      </c>
      <c r="B27" s="83" t="inlineStr">
        <is>
          <t>91.17.04-036</t>
        </is>
      </c>
      <c r="C27" s="191" t="inlineStr">
        <is>
          <t>Агрегаты сварочные передвижные с дизельным двигателем, номинальный сварочный ток 250-400 А</t>
        </is>
      </c>
      <c r="D27" s="186" t="inlineStr">
        <is>
          <t>маш.-ч.</t>
        </is>
      </c>
      <c r="E27" s="231" t="n">
        <v>11.695264</v>
      </c>
      <c r="F27" s="205" t="n">
        <v>14</v>
      </c>
      <c r="G27" s="89">
        <f>ROUND(E27*F27,2)</f>
        <v/>
      </c>
      <c r="H27" s="201">
        <f>G27/$G$45</f>
        <v/>
      </c>
      <c r="I27" s="89">
        <f>ROUND(F27*Прил.10!$D$11,2)</f>
        <v/>
      </c>
      <c r="J27" s="89">
        <f>ROUND(I27*E27,2)</f>
        <v/>
      </c>
      <c r="L27" s="234" t="n"/>
    </row>
    <row r="28" hidden="1" outlineLevel="1" ht="25.5" customFormat="1" customHeight="1" s="157">
      <c r="A28" s="186" t="n">
        <v>9</v>
      </c>
      <c r="B28" s="83" t="inlineStr">
        <is>
          <t>91.06.03-061</t>
        </is>
      </c>
      <c r="C28" s="191" t="inlineStr">
        <is>
          <t>Лебедки электрические тяговым усилием до 12,26 кН (1,25 т)</t>
        </is>
      </c>
      <c r="D28" s="186" t="inlineStr">
        <is>
          <t>маш.-ч.</t>
        </is>
      </c>
      <c r="E28" s="231" t="n">
        <v>42.9554</v>
      </c>
      <c r="F28" s="205" t="n">
        <v>3.28</v>
      </c>
      <c r="G28" s="89">
        <f>ROUND(E28*F28,2)</f>
        <v/>
      </c>
      <c r="H28" s="201">
        <f>G28/$G$45</f>
        <v/>
      </c>
      <c r="I28" s="89">
        <f>ROUND(F28*Прил.10!$D$11,2)</f>
        <v/>
      </c>
      <c r="J28" s="89">
        <f>ROUND(I28*E28,2)</f>
        <v/>
      </c>
      <c r="L28" s="234" t="n"/>
    </row>
    <row r="29" hidden="1" outlineLevel="1" ht="14.25" customFormat="1" customHeight="1" s="157">
      <c r="A29" s="186" t="n">
        <v>10</v>
      </c>
      <c r="B29" s="83" t="inlineStr">
        <is>
          <t>91.06.05-011</t>
        </is>
      </c>
      <c r="C29" s="191" t="inlineStr">
        <is>
          <t>Погрузчики, грузоподъемность 5 т</t>
        </is>
      </c>
      <c r="D29" s="186" t="inlineStr">
        <is>
          <t>маш.-ч.</t>
        </is>
      </c>
      <c r="E29" s="231" t="n">
        <v>1.424308</v>
      </c>
      <c r="F29" s="205" t="n">
        <v>89.98999999999999</v>
      </c>
      <c r="G29" s="89">
        <f>ROUND(E29*F29,2)</f>
        <v/>
      </c>
      <c r="H29" s="201">
        <f>G29/$G$45</f>
        <v/>
      </c>
      <c r="I29" s="89">
        <f>ROUND(F29*Прил.10!$D$11,2)</f>
        <v/>
      </c>
      <c r="J29" s="89">
        <f>ROUND(I29*E29,2)</f>
        <v/>
      </c>
      <c r="L29" s="234" t="n"/>
    </row>
    <row r="30" hidden="1" outlineLevel="1" ht="25.5" customFormat="1" customHeight="1" s="157">
      <c r="A30" s="186" t="n">
        <v>11</v>
      </c>
      <c r="B30" s="83" t="inlineStr">
        <is>
          <t>91.01.05-085</t>
        </is>
      </c>
      <c r="C30" s="191" t="inlineStr">
        <is>
          <t>Экскаваторы одноковшовые дизельные на гусеничном ходу, емкость ковша 0,5 м3</t>
        </is>
      </c>
      <c r="D30" s="186" t="inlineStr">
        <is>
          <t>маш.-ч.</t>
        </is>
      </c>
      <c r="E30" s="231" t="n">
        <v>1.0455</v>
      </c>
      <c r="F30" s="205" t="n">
        <v>100</v>
      </c>
      <c r="G30" s="89">
        <f>ROUND(E30*F30,2)</f>
        <v/>
      </c>
      <c r="H30" s="201">
        <f>G30/$G$45</f>
        <v/>
      </c>
      <c r="I30" s="89">
        <f>ROUND(F30*Прил.10!$D$11,2)</f>
        <v/>
      </c>
      <c r="J30" s="89">
        <f>ROUND(I30*E30,2)</f>
        <v/>
      </c>
      <c r="L30" s="234" t="n"/>
    </row>
    <row r="31" hidden="1" outlineLevel="1" ht="14.25" customFormat="1" customHeight="1" s="157">
      <c r="A31" s="186" t="n">
        <v>12</v>
      </c>
      <c r="B31" s="83" t="inlineStr">
        <is>
          <t>91.01.01-036</t>
        </is>
      </c>
      <c r="C31" s="191" t="inlineStr">
        <is>
          <t>Бульдозеры, мощность 96 кВт (130 л.с.)</t>
        </is>
      </c>
      <c r="D31" s="186" t="inlineStr">
        <is>
          <t>маш.-ч.</t>
        </is>
      </c>
      <c r="E31" s="231" t="n">
        <v>0.64156</v>
      </c>
      <c r="F31" s="205" t="n">
        <v>94.05</v>
      </c>
      <c r="G31" s="89">
        <f>ROUND(E31*F31,2)</f>
        <v/>
      </c>
      <c r="H31" s="201">
        <f>G31/$G$45</f>
        <v/>
      </c>
      <c r="I31" s="89">
        <f>ROUND(F31*Прил.10!$D$11,2)</f>
        <v/>
      </c>
      <c r="J31" s="89">
        <f>ROUND(I31*E31,2)</f>
        <v/>
      </c>
      <c r="L31" s="234" t="n"/>
    </row>
    <row r="32" hidden="1" outlineLevel="1" ht="51" customFormat="1" customHeight="1" s="157">
      <c r="A32" s="186" t="n">
        <v>13</v>
      </c>
      <c r="B32" s="83" t="inlineStr">
        <is>
          <t>91.18.01-007</t>
        </is>
      </c>
      <c r="C32" s="19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2" s="186" t="inlineStr">
        <is>
          <t>маш.-ч.</t>
        </is>
      </c>
      <c r="E32" s="231" t="n">
        <v>0.57</v>
      </c>
      <c r="F32" s="205" t="n">
        <v>90</v>
      </c>
      <c r="G32" s="89">
        <f>ROUND(E32*F32,2)</f>
        <v/>
      </c>
      <c r="H32" s="201">
        <f>G32/$G$45</f>
        <v/>
      </c>
      <c r="I32" s="89">
        <f>ROUND(F32*Прил.10!$D$11,2)</f>
        <v/>
      </c>
      <c r="J32" s="89">
        <f>ROUND(I32*E32,2)</f>
        <v/>
      </c>
      <c r="L32" s="234" t="n"/>
    </row>
    <row r="33" hidden="1" outlineLevel="1" ht="25.5" customFormat="1" customHeight="1" s="157">
      <c r="A33" s="186" t="n">
        <v>14</v>
      </c>
      <c r="B33" s="83" t="inlineStr">
        <is>
          <t>91.06.01-003</t>
        </is>
      </c>
      <c r="C33" s="191" t="inlineStr">
        <is>
          <t>Домкраты гидравлические, грузоподъемность 63-100 т</t>
        </is>
      </c>
      <c r="D33" s="186" t="inlineStr">
        <is>
          <t>маш.-ч.</t>
        </is>
      </c>
      <c r="E33" s="231" t="n">
        <v>42.9554</v>
      </c>
      <c r="F33" s="205" t="n">
        <v>0.9</v>
      </c>
      <c r="G33" s="89">
        <f>ROUND(E33*F33,2)</f>
        <v/>
      </c>
      <c r="H33" s="201">
        <f>G33/$G$45</f>
        <v/>
      </c>
      <c r="I33" s="89">
        <f>ROUND(F33*Прил.10!$D$11,2)</f>
        <v/>
      </c>
      <c r="J33" s="89">
        <f>ROUND(I33*E33,2)</f>
        <v/>
      </c>
      <c r="L33" s="234" t="n"/>
    </row>
    <row r="34" hidden="1" outlineLevel="1" ht="38.25" customFormat="1" customHeight="1" s="157">
      <c r="A34" s="186" t="n">
        <v>15</v>
      </c>
      <c r="B34" s="83" t="inlineStr">
        <is>
          <t>91.06.05-057</t>
        </is>
      </c>
      <c r="C34" s="191" t="inlineStr">
        <is>
          <t>Погрузчики одноковшовые универсальные фронтальные пневмоколесные, грузоподъемность 3 т</t>
        </is>
      </c>
      <c r="D34" s="186" t="inlineStr">
        <is>
          <t>маш.-ч.</t>
        </is>
      </c>
      <c r="E34" s="231" t="n">
        <v>0.42</v>
      </c>
      <c r="F34" s="205" t="n">
        <v>90.40000000000001</v>
      </c>
      <c r="G34" s="89">
        <f>ROUND(E34*F34,2)</f>
        <v/>
      </c>
      <c r="H34" s="201">
        <f>G34/$G$45</f>
        <v/>
      </c>
      <c r="I34" s="89">
        <f>ROUND(F34*Прил.10!$D$11,2)</f>
        <v/>
      </c>
      <c r="J34" s="89">
        <f>ROUND(I34*E34,2)</f>
        <v/>
      </c>
      <c r="L34" s="234" t="n"/>
    </row>
    <row r="35" hidden="1" outlineLevel="1" ht="25.5" customFormat="1" customHeight="1" s="157">
      <c r="A35" s="186" t="n">
        <v>16</v>
      </c>
      <c r="B35" s="83" t="inlineStr">
        <is>
          <t>91.06.03-055</t>
        </is>
      </c>
      <c r="C35" s="191" t="inlineStr">
        <is>
          <t>Лебедки электрические тяговым усилием 19,62 кН (2 т)</t>
        </is>
      </c>
      <c r="D35" s="186" t="inlineStr">
        <is>
          <t>маш.-ч.</t>
        </is>
      </c>
      <c r="E35" s="231" t="n">
        <v>3.325667</v>
      </c>
      <c r="F35" s="205" t="n">
        <v>6.66</v>
      </c>
      <c r="G35" s="89">
        <f>ROUND(E35*F35,2)</f>
        <v/>
      </c>
      <c r="H35" s="201">
        <f>G35/$G$45</f>
        <v/>
      </c>
      <c r="I35" s="89">
        <f>ROUND(F35*Прил.10!$D$11,2)</f>
        <v/>
      </c>
      <c r="J35" s="89">
        <f>ROUND(I35*E35,2)</f>
        <v/>
      </c>
      <c r="L35" s="234" t="n"/>
    </row>
    <row r="36" hidden="1" outlineLevel="1" ht="25.5" customFormat="1" customHeight="1" s="157">
      <c r="A36" s="186" t="n">
        <v>17</v>
      </c>
      <c r="B36" s="83" t="inlineStr">
        <is>
          <t>91.08.09-024</t>
        </is>
      </c>
      <c r="C36" s="191" t="inlineStr">
        <is>
          <t>Трамбовки пневматические при работе от стационарного компрессора</t>
        </is>
      </c>
      <c r="D36" s="186" t="inlineStr">
        <is>
          <t>маш.-ч.</t>
        </is>
      </c>
      <c r="E36" s="231" t="n">
        <v>2.4</v>
      </c>
      <c r="F36" s="205" t="n">
        <v>4.91</v>
      </c>
      <c r="G36" s="89">
        <f>ROUND(E36*F36,2)</f>
        <v/>
      </c>
      <c r="H36" s="201">
        <f>G36/$G$45</f>
        <v/>
      </c>
      <c r="I36" s="89">
        <f>ROUND(F36*Прил.10!$D$11,2)</f>
        <v/>
      </c>
      <c r="J36" s="89">
        <f>ROUND(I36*E36,2)</f>
        <v/>
      </c>
      <c r="L36" s="234" t="n"/>
    </row>
    <row r="37" hidden="1" outlineLevel="1" ht="14.25" customFormat="1" customHeight="1" s="157">
      <c r="A37" s="186" t="n">
        <v>18</v>
      </c>
      <c r="B37" s="83" t="inlineStr">
        <is>
          <t>91.07.04-001</t>
        </is>
      </c>
      <c r="C37" s="191" t="inlineStr">
        <is>
          <t>Вибраторы глубинные</t>
        </is>
      </c>
      <c r="D37" s="186" t="inlineStr">
        <is>
          <t>маш.-ч.</t>
        </is>
      </c>
      <c r="E37" s="231" t="n">
        <v>4.352</v>
      </c>
      <c r="F37" s="205" t="n">
        <v>1.9</v>
      </c>
      <c r="G37" s="89">
        <f>ROUND(E37*F37,2)</f>
        <v/>
      </c>
      <c r="H37" s="201">
        <f>G37/$G$45</f>
        <v/>
      </c>
      <c r="I37" s="89">
        <f>ROUND(F37*Прил.10!$D$11,2)</f>
        <v/>
      </c>
      <c r="J37" s="89">
        <f>ROUND(I37*E37,2)</f>
        <v/>
      </c>
      <c r="L37" s="234" t="n"/>
    </row>
    <row r="38" hidden="1" outlineLevel="1" ht="38.25" customFormat="1" customHeight="1" s="157">
      <c r="A38" s="186" t="n">
        <v>19</v>
      </c>
      <c r="B38" s="83" t="inlineStr">
        <is>
          <t>91.18.01-012</t>
        </is>
      </c>
      <c r="C38" s="191" t="inlineStr">
        <is>
          <t>Компрессоры передвижные с электродвигателем давление 600 кПа (6 ат), производительность до 3,5 м3/мин</t>
        </is>
      </c>
      <c r="D38" s="186" t="inlineStr">
        <is>
          <t>маш.-ч.</t>
        </is>
      </c>
      <c r="E38" s="231" t="n">
        <v>0.116</v>
      </c>
      <c r="F38" s="205" t="n">
        <v>32.5</v>
      </c>
      <c r="G38" s="89">
        <f>ROUND(E38*F38,2)</f>
        <v/>
      </c>
      <c r="H38" s="201">
        <f>G38/$G$45</f>
        <v/>
      </c>
      <c r="I38" s="89">
        <f>ROUND(F38*Прил.10!$D$11,2)</f>
        <v/>
      </c>
      <c r="J38" s="89">
        <f>ROUND(I38*E38,2)</f>
        <v/>
      </c>
      <c r="L38" s="234" t="n"/>
    </row>
    <row r="39" hidden="1" outlineLevel="1" ht="25.5" customFormat="1" customHeight="1" s="157">
      <c r="A39" s="186" t="n">
        <v>20</v>
      </c>
      <c r="B39" s="83" t="inlineStr">
        <is>
          <t>91.21.22-638</t>
        </is>
      </c>
      <c r="C39" s="191" t="inlineStr">
        <is>
          <t>Пылесосы промышленные, мощность до 2000 Вт</t>
        </is>
      </c>
      <c r="D39" s="186" t="inlineStr">
        <is>
          <t>маш.-ч.</t>
        </is>
      </c>
      <c r="E39" s="231" t="n">
        <v>0.7692</v>
      </c>
      <c r="F39" s="205" t="n">
        <v>3.29</v>
      </c>
      <c r="G39" s="89">
        <f>ROUND(E39*F39,2)</f>
        <v/>
      </c>
      <c r="H39" s="201">
        <f>G39/$G$45</f>
        <v/>
      </c>
      <c r="I39" s="89">
        <f>ROUND(F39*Прил.10!$D$11,2)</f>
        <v/>
      </c>
      <c r="J39" s="89">
        <f>ROUND(I39*E39,2)</f>
        <v/>
      </c>
      <c r="L39" s="234" t="n"/>
    </row>
    <row r="40" hidden="1" outlineLevel="1" ht="25.5" customFormat="1" customHeight="1" s="157">
      <c r="A40" s="186" t="n">
        <v>21</v>
      </c>
      <c r="B40" s="83" t="inlineStr">
        <is>
          <t>91.04.01-041</t>
        </is>
      </c>
      <c r="C40" s="191" t="inlineStr">
        <is>
          <t>Молотки бурильные легкие при работе от передвижных компрессорных станций</t>
        </is>
      </c>
      <c r="D40" s="186" t="inlineStr">
        <is>
          <t>маш.-ч.</t>
        </is>
      </c>
      <c r="E40" s="231" t="n">
        <v>0.57</v>
      </c>
      <c r="F40" s="205" t="n">
        <v>2.99</v>
      </c>
      <c r="G40" s="89">
        <f>ROUND(E40*F40,2)</f>
        <v/>
      </c>
      <c r="H40" s="201">
        <f>G40/$G$45</f>
        <v/>
      </c>
      <c r="I40" s="89">
        <f>ROUND(F40*Прил.10!$D$11,2)</f>
        <v/>
      </c>
      <c r="J40" s="89">
        <f>ROUND(I40*E40,2)</f>
        <v/>
      </c>
      <c r="L40" s="234" t="n"/>
    </row>
    <row r="41" hidden="1" outlineLevel="1" ht="38.25" customFormat="1" customHeight="1" s="157">
      <c r="A41" s="186" t="n">
        <v>22</v>
      </c>
      <c r="B41" s="83" t="inlineStr">
        <is>
          <t>91.21.01-012</t>
        </is>
      </c>
      <c r="C41" s="191" t="inlineStr">
        <is>
          <t>Агрегаты окрасочные высокого давления для окраски поверхностей конструкций, мощность 1 кВт</t>
        </is>
      </c>
      <c r="D41" s="186" t="inlineStr">
        <is>
          <t>маш.-ч.</t>
        </is>
      </c>
      <c r="E41" s="231" t="n">
        <v>0.1309</v>
      </c>
      <c r="F41" s="205" t="n">
        <v>6.82</v>
      </c>
      <c r="G41" s="89">
        <f>ROUND(E41*F41,2)</f>
        <v/>
      </c>
      <c r="H41" s="201">
        <f>G41/$G$45</f>
        <v/>
      </c>
      <c r="I41" s="89">
        <f>ROUND(F41*Прил.10!$D$11,2)</f>
        <v/>
      </c>
      <c r="J41" s="89">
        <f>ROUND(I41*E41,2)</f>
        <v/>
      </c>
      <c r="L41" s="234" t="n"/>
    </row>
    <row r="42" hidden="1" outlineLevel="1" ht="14.25" customFormat="1" customHeight="1" s="157">
      <c r="A42" s="186" t="n">
        <v>23</v>
      </c>
      <c r="B42" s="83" t="inlineStr">
        <is>
          <t>91.17.04-042</t>
        </is>
      </c>
      <c r="C42" s="191" t="inlineStr">
        <is>
          <t>Аппараты для газовой сварки и резки</t>
        </is>
      </c>
      <c r="D42" s="186" t="inlineStr">
        <is>
          <t>маш.-ч.</t>
        </is>
      </c>
      <c r="E42" s="231" t="n">
        <v>0.463107</v>
      </c>
      <c r="F42" s="205" t="n">
        <v>1.2</v>
      </c>
      <c r="G42" s="89">
        <f>ROUND(E42*F42,2)</f>
        <v/>
      </c>
      <c r="H42" s="201">
        <f>G42/$G$45</f>
        <v/>
      </c>
      <c r="I42" s="89">
        <f>ROUND(F42*Прил.10!$D$11,2)</f>
        <v/>
      </c>
      <c r="J42" s="89">
        <f>ROUND(I42*E42,2)</f>
        <v/>
      </c>
      <c r="L42" s="234" t="n"/>
    </row>
    <row r="43" hidden="1" outlineLevel="1" ht="25.5" customFormat="1" customHeight="1" s="157">
      <c r="A43" s="186" t="n">
        <v>24</v>
      </c>
      <c r="B43" s="83" t="inlineStr">
        <is>
          <t>91.06.03-060</t>
        </is>
      </c>
      <c r="C43" s="191" t="inlineStr">
        <is>
          <t>Лебедки электрические тяговым усилием до 5,79 кН (0,59 т)</t>
        </is>
      </c>
      <c r="D43" s="186" t="inlineStr">
        <is>
          <t>маш.-ч.</t>
        </is>
      </c>
      <c r="E43" s="231" t="n">
        <v>0.00385</v>
      </c>
      <c r="F43" s="205" t="n">
        <v>1.7</v>
      </c>
      <c r="G43" s="89">
        <f>ROUND(E43*F43,2)</f>
        <v/>
      </c>
      <c r="H43" s="201">
        <f>G43/$G$45</f>
        <v/>
      </c>
      <c r="I43" s="89">
        <f>ROUND(F43*Прил.10!$D$11,2)</f>
        <v/>
      </c>
      <c r="J43" s="89">
        <f>ROUND(I43*E43,2)</f>
        <v/>
      </c>
      <c r="L43" s="234" t="n"/>
    </row>
    <row r="44" collapsed="1" ht="14.25" customFormat="1" customHeight="1" s="157">
      <c r="A44" s="186" t="n"/>
      <c r="B44" s="186" t="n"/>
      <c r="C44" s="191" t="inlineStr">
        <is>
          <t>Итого прочие машины и механизмы</t>
        </is>
      </c>
      <c r="D44" s="186" t="n"/>
      <c r="E44" s="192" t="n"/>
      <c r="F44" s="89" t="n"/>
      <c r="G44" s="89">
        <f>SUM(G25:G43)</f>
        <v/>
      </c>
      <c r="H44" s="201">
        <f>G44/G45</f>
        <v/>
      </c>
      <c r="I44" s="89" t="n"/>
      <c r="J44" s="89">
        <f>SUM(J25:J43)</f>
        <v/>
      </c>
      <c r="K44" s="234" t="n"/>
      <c r="L44" s="230" t="n"/>
    </row>
    <row r="45" ht="25.5" customFormat="1" customHeight="1" s="157">
      <c r="A45" s="186" t="n"/>
      <c r="B45" s="187" t="n"/>
      <c r="C45" s="195" t="inlineStr">
        <is>
          <t>Итого по разделу «Машины и механизмы»</t>
        </is>
      </c>
      <c r="D45" s="187" t="n"/>
      <c r="E45" s="60" t="n"/>
      <c r="F45" s="61" t="n"/>
      <c r="G45" s="61">
        <f>G24+G44</f>
        <v/>
      </c>
      <c r="H45" s="62" t="n">
        <v>1</v>
      </c>
      <c r="I45" s="61" t="n"/>
      <c r="J45" s="61">
        <f>J24+J44</f>
        <v/>
      </c>
    </row>
    <row r="46" s="160">
      <c r="A46" s="86" t="n"/>
      <c r="B46" s="195" t="inlineStr">
        <is>
          <t xml:space="preserve">Оборудование </t>
        </is>
      </c>
      <c r="C46" s="235" t="n"/>
      <c r="D46" s="235" t="n"/>
      <c r="E46" s="235" t="n"/>
      <c r="F46" s="235" t="n"/>
      <c r="G46" s="235" t="n"/>
      <c r="H46" s="235" t="n"/>
      <c r="I46" s="235" t="n"/>
      <c r="J46" s="236" t="n"/>
      <c r="K46" s="157" t="n"/>
      <c r="L46" s="157" t="n"/>
      <c r="M46" s="157" t="n"/>
      <c r="N46" s="157" t="n"/>
    </row>
    <row r="47" ht="15" customHeight="1" s="160">
      <c r="A47" s="186" t="n"/>
      <c r="B47" s="191" t="inlineStr">
        <is>
          <t>Основное оборудование</t>
        </is>
      </c>
      <c r="C47" s="224" t="n"/>
      <c r="D47" s="224" t="n"/>
      <c r="E47" s="224" t="n"/>
      <c r="F47" s="224" t="n"/>
      <c r="G47" s="224" t="n"/>
      <c r="H47" s="224" t="n"/>
      <c r="I47" s="224" t="n"/>
      <c r="J47" s="225" t="n"/>
      <c r="K47" s="157" t="n"/>
      <c r="L47" s="157" t="n"/>
      <c r="M47" s="157" t="n"/>
      <c r="N47" s="157" t="n"/>
    </row>
    <row r="48" ht="25.5" customHeight="1" s="160">
      <c r="A48" s="186" t="n">
        <v>25</v>
      </c>
      <c r="B48" s="83" t="inlineStr">
        <is>
          <t>62.1.02.14-0001</t>
        </is>
      </c>
      <c r="C48" s="191" t="inlineStr">
        <is>
          <t>Шкаф автоматики управления пожарными насосами и насосом "жокеем" ШАУПН-3М</t>
        </is>
      </c>
      <c r="D48" s="186" t="inlineStr">
        <is>
          <t>шт</t>
        </is>
      </c>
      <c r="E48" s="231" t="n">
        <v>2</v>
      </c>
      <c r="F48" s="193" t="n">
        <v>8472.67</v>
      </c>
      <c r="G48" s="89">
        <f>ROUND(E48*F48,2)</f>
        <v/>
      </c>
      <c r="H48" s="201">
        <f>G48/$G$52</f>
        <v/>
      </c>
      <c r="I48" s="193">
        <f>ROUND(F48*Прил.10!$D$13,2)</f>
        <v/>
      </c>
      <c r="J48" s="89">
        <f>ROUND(I48*E48,2)</f>
        <v/>
      </c>
      <c r="K48" s="157" t="n"/>
      <c r="L48" s="157" t="n"/>
      <c r="M48" s="157" t="n"/>
      <c r="N48" s="157" t="n"/>
    </row>
    <row r="49" ht="25.5" customHeight="1" s="160">
      <c r="A49" s="186" t="n">
        <v>26</v>
      </c>
      <c r="B49" s="83" t="inlineStr">
        <is>
          <t>62.1.02.06-0001</t>
        </is>
      </c>
      <c r="C49" s="191" t="inlineStr">
        <is>
          <t>Пункт распределительный, тип: ПР-2 на 36 модулей, навесной</t>
        </is>
      </c>
      <c r="D49" s="186" t="inlineStr">
        <is>
          <t>шт</t>
        </is>
      </c>
      <c r="E49" s="231" t="n">
        <v>1</v>
      </c>
      <c r="F49" s="193" t="n">
        <v>13774.85</v>
      </c>
      <c r="G49" s="89">
        <f>ROUND(E49*F49,2)</f>
        <v/>
      </c>
      <c r="H49" s="201">
        <f>G49/$G$52</f>
        <v/>
      </c>
      <c r="I49" s="193">
        <f>ROUND(F49*Прил.10!$D$13,2)</f>
        <v/>
      </c>
      <c r="J49" s="89">
        <f>ROUND(I49*E49,2)</f>
        <v/>
      </c>
      <c r="K49" s="157" t="n"/>
      <c r="L49" s="157" t="n"/>
      <c r="M49" s="157" t="n"/>
      <c r="N49" s="157" t="n"/>
    </row>
    <row r="50" s="160">
      <c r="A50" s="90" t="n"/>
      <c r="B50" s="186" t="n"/>
      <c r="C50" s="191" t="inlineStr">
        <is>
          <t>Итого основное оборудование</t>
        </is>
      </c>
      <c r="D50" s="186" t="n"/>
      <c r="E50" s="231" t="n"/>
      <c r="F50" s="193" t="n"/>
      <c r="G50" s="89">
        <f>SUM(G48:G49)</f>
        <v/>
      </c>
      <c r="H50" s="201">
        <f>G50/$G$52</f>
        <v/>
      </c>
      <c r="I50" s="89" t="n"/>
      <c r="J50" s="89">
        <f>SUM(J48:J49)</f>
        <v/>
      </c>
      <c r="K50" s="234" t="n"/>
      <c r="L50" s="157" t="n"/>
      <c r="M50" s="157" t="n"/>
      <c r="N50" s="157" t="n"/>
    </row>
    <row r="51" s="160">
      <c r="A51" s="90" t="n"/>
      <c r="B51" s="186" t="n"/>
      <c r="C51" s="191" t="inlineStr">
        <is>
          <t>Итого прочее оборудование</t>
        </is>
      </c>
      <c r="D51" s="186" t="n"/>
      <c r="E51" s="192" t="n"/>
      <c r="F51" s="193" t="n"/>
      <c r="G51" s="89" t="n">
        <v>0</v>
      </c>
      <c r="H51" s="201">
        <f>G51/$G$52</f>
        <v/>
      </c>
      <c r="I51" s="89" t="n"/>
      <c r="J51" s="89" t="n">
        <v>0</v>
      </c>
      <c r="K51" s="234" t="n"/>
      <c r="L51" s="237" t="n"/>
      <c r="M51" s="157" t="n"/>
      <c r="N51" s="157" t="n"/>
    </row>
    <row r="52" s="160">
      <c r="A52" s="186" t="n"/>
      <c r="B52" s="186" t="n"/>
      <c r="C52" s="200" t="inlineStr">
        <is>
          <t>Итого по разделу «Оборудование»</t>
        </is>
      </c>
      <c r="D52" s="186" t="n"/>
      <c r="E52" s="192" t="n"/>
      <c r="F52" s="193" t="n"/>
      <c r="G52" s="89">
        <f>G50+G51</f>
        <v/>
      </c>
      <c r="H52" s="201">
        <f>(G50+G51)/G52</f>
        <v/>
      </c>
      <c r="I52" s="89" t="n"/>
      <c r="J52" s="89">
        <f>J51+J50</f>
        <v/>
      </c>
      <c r="K52" s="234" t="n"/>
      <c r="L52" s="157" t="n"/>
      <c r="M52" s="157" t="n"/>
      <c r="N52" s="157" t="n"/>
    </row>
    <row r="53" ht="25.5" customHeight="1" s="160">
      <c r="A53" s="186" t="n"/>
      <c r="B53" s="186" t="n"/>
      <c r="C53" s="191" t="inlineStr">
        <is>
          <t>в том числе технологическое оборудование</t>
        </is>
      </c>
      <c r="D53" s="186" t="n"/>
      <c r="E53" s="192" t="n"/>
      <c r="F53" s="193" t="n"/>
      <c r="G53" s="89">
        <f>'Прил.6 Расчет ОБ'!G16</f>
        <v/>
      </c>
      <c r="H53" s="201">
        <f>G53/$G$52</f>
        <v/>
      </c>
      <c r="I53" s="89" t="n"/>
      <c r="J53" s="89">
        <f>ROUND(G53*Прил.10!$D$13,2)</f>
        <v/>
      </c>
      <c r="K53" s="234" t="n"/>
      <c r="L53" s="157" t="n"/>
      <c r="M53" s="157" t="n"/>
      <c r="N53" s="157" t="n"/>
    </row>
    <row r="54" ht="14.25" customFormat="1" customHeight="1" s="157">
      <c r="A54" s="188" t="n"/>
      <c r="B54" s="238" t="inlineStr">
        <is>
          <t>Материалы</t>
        </is>
      </c>
      <c r="J54" s="239" t="n"/>
      <c r="K54" s="234" t="n"/>
    </row>
    <row r="55" ht="14.25" customFormat="1" customHeight="1" s="157">
      <c r="A55" s="186" t="n"/>
      <c r="B55" s="191" t="inlineStr">
        <is>
          <t>Основные материалы</t>
        </is>
      </c>
      <c r="C55" s="224" t="n"/>
      <c r="D55" s="224" t="n"/>
      <c r="E55" s="224" t="n"/>
      <c r="F55" s="224" t="n"/>
      <c r="G55" s="224" t="n"/>
      <c r="H55" s="225" t="n"/>
      <c r="I55" s="201" t="n"/>
      <c r="J55" s="201" t="n"/>
    </row>
    <row r="56" ht="25.5" customFormat="1" customHeight="1" s="157">
      <c r="A56" s="186" t="n">
        <v>27</v>
      </c>
      <c r="B56" s="83" t="inlineStr">
        <is>
          <t>21.1.06.10-0409</t>
        </is>
      </c>
      <c r="C56" s="191" t="inlineStr">
        <is>
          <t>Кабель силовой с медными жилами ВВГнг(A)-LS 5х6ок(N, РЕ)-1000</t>
        </is>
      </c>
      <c r="D56" s="186" t="inlineStr">
        <is>
          <t>1000 м</t>
        </is>
      </c>
      <c r="E56" s="231" t="n">
        <v>1.9496695110625</v>
      </c>
      <c r="F56" s="205" t="n">
        <v>41260.08</v>
      </c>
      <c r="G56" s="89">
        <f>ROUND(E56*F56,2)</f>
        <v/>
      </c>
      <c r="H56" s="201">
        <f>G56/$G$171</f>
        <v/>
      </c>
      <c r="I56" s="89">
        <f>ROUND(F56*Прил.10!$D$12,2)</f>
        <v/>
      </c>
      <c r="J56" s="89">
        <f>ROUND(I56*E56,2)</f>
        <v/>
      </c>
    </row>
    <row r="57" hidden="1" outlineLevel="1" ht="25.5" customFormat="1" customHeight="1" s="142">
      <c r="A57" s="144" t="n"/>
      <c r="B57" s="134" t="inlineStr">
        <is>
          <t>21.1.06.10-0409</t>
        </is>
      </c>
      <c r="C57" s="143" t="inlineStr">
        <is>
          <t>Кабель силовой с медными жилами ВВГнг(A)-LS 5х6ок(N, РЕ)-1000</t>
        </is>
      </c>
      <c r="D57" s="144" t="inlineStr">
        <is>
          <t>1000 м</t>
        </is>
      </c>
      <c r="E57" s="232" t="n">
        <v>0.7446</v>
      </c>
      <c r="F57" s="145" t="n">
        <v>41260.08</v>
      </c>
      <c r="G57" s="141">
        <f>ROUND(E57*F57,2)</f>
        <v/>
      </c>
      <c r="H57" s="140">
        <f>G57/$G$171</f>
        <v/>
      </c>
      <c r="I57" s="141" t="n"/>
      <c r="J57" s="141" t="n"/>
    </row>
    <row r="58" hidden="1" outlineLevel="1" ht="25.5" customFormat="1" customHeight="1" s="142">
      <c r="A58" s="144" t="n"/>
      <c r="B58" s="134" t="inlineStr">
        <is>
          <t>21.1.06.10-0408</t>
        </is>
      </c>
      <c r="C58" s="143" t="inlineStr">
        <is>
          <t>Кабель силовой с медными жилами ВВГнг(A)-LS 5х4ок(N, РЕ)-1000</t>
        </is>
      </c>
      <c r="D58" s="144" t="inlineStr">
        <is>
          <t>1000 м</t>
        </is>
      </c>
      <c r="E58" s="232" t="n">
        <v>0.8313</v>
      </c>
      <c r="F58" s="145" t="n">
        <v>31015.17</v>
      </c>
      <c r="G58" s="141">
        <f>ROUND(E58*F58,2)</f>
        <v/>
      </c>
      <c r="H58" s="140">
        <f>G58/$G$171</f>
        <v/>
      </c>
      <c r="I58" s="141" t="n"/>
      <c r="J58" s="141" t="n"/>
    </row>
    <row r="59" hidden="1" outlineLevel="1" ht="25.5" customFormat="1" customHeight="1" s="142">
      <c r="A59" s="144" t="n"/>
      <c r="B59" s="134" t="inlineStr">
        <is>
          <t>21.1.06.10-0377</t>
        </is>
      </c>
      <c r="C59" s="143" t="inlineStr">
        <is>
          <t>Кабель силовой с медными жилами ВВГнг(A)-LS 3х2,5ок(N, РЕ)-1000</t>
        </is>
      </c>
      <c r="D59" s="144" t="inlineStr">
        <is>
          <t>1000 м</t>
        </is>
      </c>
      <c r="E59" s="232" t="n">
        <v>0.3213</v>
      </c>
      <c r="F59" s="145" t="n">
        <v>14498.24</v>
      </c>
      <c r="G59" s="141">
        <f>ROUND(E59*F59,2)</f>
        <v/>
      </c>
      <c r="H59" s="140">
        <f>G59/$G$171</f>
        <v/>
      </c>
      <c r="I59" s="141" t="n"/>
      <c r="J59" s="141" t="n"/>
    </row>
    <row r="60" hidden="1" outlineLevel="1" ht="25.5" customFormat="1" customHeight="1" s="142">
      <c r="A60" s="144" t="n"/>
      <c r="B60" s="134" t="inlineStr">
        <is>
          <t>21.1.06.10-0410</t>
        </is>
      </c>
      <c r="C60" s="143" t="inlineStr">
        <is>
          <t>Кабель силовой с медными жилами ВВГнг(A)-LS 5х10ок(N, РЕ)-1000</t>
        </is>
      </c>
      <c r="D60" s="144" t="inlineStr">
        <is>
          <t>1000 м</t>
        </is>
      </c>
      <c r="E60" s="232" t="n">
        <v>0.306</v>
      </c>
      <c r="F60" s="145" t="n">
        <v>63006.77</v>
      </c>
      <c r="G60" s="141">
        <f>ROUND(E60*F60,2)</f>
        <v/>
      </c>
      <c r="H60" s="140">
        <f>G60/$G$171</f>
        <v/>
      </c>
      <c r="I60" s="141" t="n"/>
      <c r="J60" s="141" t="n"/>
    </row>
    <row r="61" collapsed="1" ht="63.75" customFormat="1" customHeight="1" s="157">
      <c r="A61" s="186" t="n">
        <v>28</v>
      </c>
      <c r="B61" s="83" t="inlineStr">
        <is>
          <t>07.2.07.12-0013</t>
        </is>
      </c>
      <c r="C61" s="191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0,5 до 1 т</t>
        </is>
      </c>
      <c r="D61" s="186" t="inlineStr">
        <is>
          <t>т</t>
        </is>
      </c>
      <c r="E61" s="231" t="n">
        <v>5.781896381404</v>
      </c>
      <c r="F61" s="205" t="n">
        <v>9869.85</v>
      </c>
      <c r="G61" s="89">
        <f>ROUND(E61*F61,2)</f>
        <v/>
      </c>
      <c r="H61" s="201">
        <f>G61/$G$171</f>
        <v/>
      </c>
      <c r="I61" s="89">
        <f>ROUND(F61*Прил.10!$D$12,2)</f>
        <v/>
      </c>
      <c r="J61" s="89">
        <f>ROUND(I61*E61,2)</f>
        <v/>
      </c>
    </row>
    <row r="62" hidden="1" outlineLevel="1" ht="63.75" customFormat="1" customHeight="1" s="142">
      <c r="A62" s="144" t="n"/>
      <c r="B62" s="134" t="inlineStr">
        <is>
          <t>07.2.07.12-0013</t>
        </is>
      </c>
      <c r="C62" s="14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от 0,5 до 1 т</t>
        </is>
      </c>
      <c r="D62" s="144" t="inlineStr">
        <is>
          <t>т</t>
        </is>
      </c>
      <c r="E62" s="232" t="n">
        <v>5.525744</v>
      </c>
      <c r="F62" s="145" t="n">
        <v>9869.85</v>
      </c>
      <c r="G62" s="141">
        <f>ROUND(E62*F62,2)</f>
        <v/>
      </c>
      <c r="H62" s="140">
        <f>G62/$G$171</f>
        <v/>
      </c>
      <c r="I62" s="141" t="n"/>
      <c r="J62" s="141" t="n"/>
    </row>
    <row r="63" hidden="1" outlineLevel="1" ht="51" customFormat="1" customHeight="1" s="142">
      <c r="A63" s="144" t="n"/>
      <c r="B63" s="134" t="inlineStr">
        <is>
          <t>07.2.07.12-0002</t>
        </is>
      </c>
      <c r="C63" s="143" t="inlineStr">
        <is>
          <t>Элементы конструктивные вспомогательного назначения массой не более 50 кг с преобладанием толстолистовой стали с отверстиями</t>
        </is>
      </c>
      <c r="D63" s="144" t="inlineStr">
        <is>
          <t>т</t>
        </is>
      </c>
      <c r="E63" s="232" t="n">
        <v>0.291284</v>
      </c>
      <c r="F63" s="145" t="n">
        <v>7441</v>
      </c>
      <c r="G63" s="141">
        <f>ROUND(E63*F63,2)</f>
        <v/>
      </c>
      <c r="H63" s="140">
        <f>G63/$G$171</f>
        <v/>
      </c>
      <c r="I63" s="141" t="n"/>
      <c r="J63" s="141" t="n"/>
    </row>
    <row r="64" hidden="1" outlineLevel="1" ht="63.75" customFormat="1" customHeight="1" s="142">
      <c r="A64" s="144" t="n"/>
      <c r="B64" s="134" t="inlineStr">
        <is>
          <t>07.2.07.12-0011</t>
        </is>
      </c>
      <c r="C64" s="143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64" s="144" t="inlineStr">
        <is>
          <t>т</t>
        </is>
      </c>
      <c r="E64" s="232" t="n">
        <v>0.032052</v>
      </c>
      <c r="F64" s="145" t="n">
        <v>11255</v>
      </c>
      <c r="G64" s="141">
        <f>ROUND(E64*F64,2)</f>
        <v/>
      </c>
      <c r="H64" s="140">
        <f>G64/$G$171</f>
        <v/>
      </c>
      <c r="I64" s="141" t="n"/>
      <c r="J64" s="141" t="n"/>
    </row>
    <row r="65" collapsed="1" ht="38.25" customFormat="1" customHeight="1" s="157">
      <c r="A65" s="186" t="n">
        <v>29</v>
      </c>
      <c r="B65" s="83" t="inlineStr">
        <is>
          <t>20.3.03.04-0293</t>
        </is>
      </c>
      <c r="C65" s="191" t="inlineStr">
        <is>
          <t>Светильники люминесцентные с зеркальной параболической решеткой потолочные типа: PRB/S 236 с ЭМПРА</t>
        </is>
      </c>
      <c r="D65" s="186" t="inlineStr">
        <is>
          <t>шт</t>
        </is>
      </c>
      <c r="E65" s="231" t="n">
        <v>77.48145442925301</v>
      </c>
      <c r="F65" s="205" t="n">
        <v>438.11</v>
      </c>
      <c r="G65" s="89">
        <f>ROUND(E65*F65,2)</f>
        <v/>
      </c>
      <c r="H65" s="201">
        <f>G65/$G$171</f>
        <v/>
      </c>
      <c r="I65" s="89">
        <f>ROUND(F65*Прил.10!$D$12,2)</f>
        <v/>
      </c>
      <c r="J65" s="89">
        <f>ROUND(I65*E65,2)</f>
        <v/>
      </c>
    </row>
    <row r="66" hidden="1" outlineLevel="1" ht="38.25" customFormat="1" customHeight="1" s="142">
      <c r="A66" s="144" t="n"/>
      <c r="B66" s="134" t="inlineStr">
        <is>
          <t>20.3.03.04-0293</t>
        </is>
      </c>
      <c r="C66" s="143" t="inlineStr">
        <is>
          <t>Светильники люминесцентные с зеркальной параболической решеткой потолочные типа: PRB/S 236 с ЭМПРА</t>
        </is>
      </c>
      <c r="D66" s="144" t="inlineStr">
        <is>
          <t>шт</t>
        </is>
      </c>
      <c r="E66" s="232" t="n">
        <v>45</v>
      </c>
      <c r="F66" s="145" t="n">
        <v>438.11</v>
      </c>
      <c r="G66" s="141">
        <f>ROUND(E66*F66,2)</f>
        <v/>
      </c>
      <c r="H66" s="140">
        <f>G66/$G$171</f>
        <v/>
      </c>
      <c r="I66" s="141" t="n"/>
      <c r="J66" s="141" t="n"/>
    </row>
    <row r="67" hidden="1" outlineLevel="1" ht="38.25" customFormat="1" customHeight="1" s="142">
      <c r="A67" s="144" t="n"/>
      <c r="B67" s="134" t="inlineStr">
        <is>
          <t>20.3.03.04-0280</t>
        </is>
      </c>
      <c r="C67" s="143" t="inlineStr">
        <is>
          <t>Светильники люминесцентные с зеркальной параболической решеткой встраиваемые типа: PRB/R 436 с ЭПРА</t>
        </is>
      </c>
      <c r="D67" s="144" t="inlineStr">
        <is>
          <t>шт</t>
        </is>
      </c>
      <c r="E67" s="232" t="n">
        <v>13</v>
      </c>
      <c r="F67" s="145" t="n">
        <v>1094.65</v>
      </c>
      <c r="G67" s="141">
        <f>ROUND(E67*F67,2)</f>
        <v/>
      </c>
      <c r="H67" s="140">
        <f>G67/$G$171</f>
        <v/>
      </c>
      <c r="I67" s="141" t="n"/>
      <c r="J67" s="141" t="n"/>
    </row>
    <row r="68" collapsed="1" ht="38.25" customFormat="1" customHeight="1" s="157">
      <c r="A68" s="186" t="n">
        <v>30</v>
      </c>
      <c r="B68" s="83" t="inlineStr">
        <is>
          <t>04.1.02.05-0048</t>
        </is>
      </c>
      <c r="C68" s="191" t="inlineStr">
        <is>
          <t>Смеси бетонные тяжелого бетона (БСТ), крупность заполнителя 20 мм, класс В30 (М400)</t>
        </is>
      </c>
      <c r="D68" s="186" t="inlineStr">
        <is>
          <t>м3</t>
        </is>
      </c>
      <c r="E68" s="231" t="n">
        <v>25.984</v>
      </c>
      <c r="F68" s="205" t="n">
        <v>805.05</v>
      </c>
      <c r="G68" s="89">
        <f>ROUND(E68*F68,2)</f>
        <v/>
      </c>
      <c r="H68" s="201">
        <f>G68/$G$171</f>
        <v/>
      </c>
      <c r="I68" s="89">
        <f>ROUND(F68*Прил.10!$D$12,2)</f>
        <v/>
      </c>
      <c r="J68" s="89">
        <f>ROUND(I68*E68,2)</f>
        <v/>
      </c>
    </row>
    <row r="69" ht="38.25" customFormat="1" customHeight="1" s="157">
      <c r="A69" s="186" t="n">
        <v>31</v>
      </c>
      <c r="B69" s="83" t="inlineStr">
        <is>
          <t>20.5.02.09-0001</t>
        </is>
      </c>
      <c r="C69" s="191" t="inlineStr">
        <is>
          <t>Коробка соединительная из ударопрочной термопластической смолы (ABS-пластик) с тремя патрубками диаметром 3/4"</t>
        </is>
      </c>
      <c r="D69" s="186" t="inlineStr">
        <is>
          <t>шт</t>
        </is>
      </c>
      <c r="E69" s="231" t="n">
        <v>96</v>
      </c>
      <c r="F69" s="205" t="n">
        <v>199.35</v>
      </c>
      <c r="G69" s="89">
        <f>ROUND(E69*F69,2)</f>
        <v/>
      </c>
      <c r="H69" s="201">
        <f>G69/$G$171</f>
        <v/>
      </c>
      <c r="I69" s="89">
        <f>ROUND(F69*Прил.10!$D$12,2)</f>
        <v/>
      </c>
      <c r="J69" s="89">
        <f>ROUND(I69*E69,2)</f>
        <v/>
      </c>
    </row>
    <row r="70" ht="14.25" customFormat="1" customHeight="1" s="157">
      <c r="A70" s="186" t="n">
        <v>32</v>
      </c>
      <c r="B70" s="83" t="inlineStr">
        <is>
          <t>21.1.08.03-0521</t>
        </is>
      </c>
      <c r="C70" s="191" t="inlineStr">
        <is>
          <t>Кабель контрольный КВВГнг(A)-LS 7x2,5</t>
        </is>
      </c>
      <c r="D70" s="186" t="inlineStr">
        <is>
          <t>1000 м</t>
        </is>
      </c>
      <c r="E70" s="231" t="n">
        <v>0.6894012111237799</v>
      </c>
      <c r="F70" s="205" t="n">
        <v>20950.79</v>
      </c>
      <c r="G70" s="89">
        <f>ROUND(E70*F70,2)</f>
        <v/>
      </c>
      <c r="H70" s="201">
        <f>G70/$G$171</f>
        <v/>
      </c>
      <c r="I70" s="89">
        <f>ROUND(F70*Прил.10!$D$12,2)</f>
        <v/>
      </c>
      <c r="J70" s="89">
        <f>ROUND(I70*E70,2)</f>
        <v/>
      </c>
    </row>
    <row r="71" hidden="1" outlineLevel="1" ht="14.25" customFormat="1" customHeight="1" s="142">
      <c r="A71" s="144" t="n"/>
      <c r="B71" s="134" t="inlineStr">
        <is>
          <t>21.1.08.03-0521</t>
        </is>
      </c>
      <c r="C71" s="143" t="inlineStr">
        <is>
          <t>Кабель контрольный КВВГнг(A)-LS 7x2,5</t>
        </is>
      </c>
      <c r="D71" s="144" t="inlineStr">
        <is>
          <t>1000 м</t>
        </is>
      </c>
      <c r="E71" s="232" t="n">
        <v>0.612</v>
      </c>
      <c r="F71" s="145" t="n">
        <v>20950.79</v>
      </c>
      <c r="G71" s="141">
        <f>ROUND(E71*F71,2)</f>
        <v/>
      </c>
      <c r="H71" s="140">
        <f>G71/$G$171</f>
        <v/>
      </c>
      <c r="I71" s="141" t="n"/>
      <c r="J71" s="141" t="n"/>
    </row>
    <row r="72" hidden="1" outlineLevel="1" ht="14.25" customFormat="1" customHeight="1" s="142">
      <c r="A72" s="144" t="n"/>
      <c r="B72" s="134" t="inlineStr">
        <is>
          <t>21.1.08.03-0512</t>
        </is>
      </c>
      <c r="C72" s="143" t="inlineStr">
        <is>
          <t>Кабель контрольный КВВГнг(A)-LS 4x1,5</t>
        </is>
      </c>
      <c r="D72" s="144" t="inlineStr">
        <is>
          <t>1000 м</t>
        </is>
      </c>
      <c r="E72" s="232" t="n">
        <v>0.0204</v>
      </c>
      <c r="F72" s="145" t="n">
        <v>6713.83</v>
      </c>
      <c r="G72" s="141">
        <f>ROUND(E72*F72,2)</f>
        <v/>
      </c>
      <c r="H72" s="140">
        <f>G72/$G$171</f>
        <v/>
      </c>
      <c r="I72" s="141" t="n"/>
      <c r="J72" s="141" t="n"/>
    </row>
    <row r="73" hidden="1" outlineLevel="1" ht="14.25" customFormat="1" customHeight="1" s="142">
      <c r="A73" s="144" t="n"/>
      <c r="B73" s="134" t="inlineStr">
        <is>
          <t>21.1.08.03-0525</t>
        </is>
      </c>
      <c r="C73" s="143" t="inlineStr">
        <is>
          <t>Кабель контрольный КВВГнг(A)-LS 10х1,5</t>
        </is>
      </c>
      <c r="D73" s="144" t="inlineStr">
        <is>
          <t>1000 м</t>
        </is>
      </c>
      <c r="E73" s="232" t="n">
        <v>0.08160000000000001</v>
      </c>
      <c r="F73" s="145" t="n">
        <v>18194.41</v>
      </c>
      <c r="G73" s="141">
        <f>ROUND(E73*F73,2)</f>
        <v/>
      </c>
      <c r="H73" s="140">
        <f>G73/$G$171</f>
        <v/>
      </c>
      <c r="I73" s="141" t="n"/>
      <c r="J73" s="141" t="n"/>
    </row>
    <row r="74" collapsed="1" ht="38.25" customFormat="1" customHeight="1" s="157">
      <c r="A74" s="186" t="n">
        <v>33</v>
      </c>
      <c r="B74" s="186" t="inlineStr">
        <is>
          <t>20.2.07.02-0002</t>
        </is>
      </c>
      <c r="C74" s="191" t="inlineStr">
        <is>
          <t>Лоток кабельный замковый неперфорированный 100х50 мм, горячеоцинкованный</t>
        </is>
      </c>
      <c r="D74" s="186" t="inlineStr">
        <is>
          <t>м</t>
        </is>
      </c>
      <c r="E74" s="231" t="n">
        <v>945</v>
      </c>
      <c r="F74" s="193" t="n">
        <v>11.65</v>
      </c>
      <c r="G74" s="89">
        <f>ROUND(E74*F74,2)</f>
        <v/>
      </c>
      <c r="H74" s="201">
        <f>G74/$G$171</f>
        <v/>
      </c>
      <c r="I74" s="89">
        <f>ROUND(F74*Прил.10!$D$12,2)</f>
        <v/>
      </c>
      <c r="J74" s="89">
        <f>ROUND(I74*E74,2)</f>
        <v/>
      </c>
    </row>
    <row r="75" hidden="1" outlineLevel="1" ht="38.25" customFormat="1" customHeight="1" s="157">
      <c r="A75" s="186" t="n">
        <v>34</v>
      </c>
      <c r="B75" s="80" t="inlineStr">
        <is>
          <t>08.4.03.03-0031</t>
        </is>
      </c>
      <c r="C75" s="191" t="inlineStr">
        <is>
          <t>Сталь арматурная, горячекатаная, периодического профиля, класс А-III, диаметр 10 мм</t>
        </is>
      </c>
      <c r="D75" s="186" t="inlineStr">
        <is>
          <t>т</t>
        </is>
      </c>
      <c r="E75" s="231" t="n">
        <v>0.8064</v>
      </c>
      <c r="F75" s="205" t="n">
        <v>8014.15</v>
      </c>
      <c r="G75" s="89">
        <f>ROUND(E75*F75,2)</f>
        <v/>
      </c>
      <c r="H75" s="201">
        <f>G75/$G$171</f>
        <v/>
      </c>
      <c r="I75" s="89">
        <f>ROUND(F75*Прил.10!$D$12,2)</f>
        <v/>
      </c>
      <c r="J75" s="89">
        <f>ROUND(I75*E75,2)</f>
        <v/>
      </c>
    </row>
    <row r="76" hidden="1" outlineLevel="1" ht="14.25" customFormat="1" customHeight="1" s="157">
      <c r="B76" s="186" t="n"/>
      <c r="C76" s="191" t="inlineStr">
        <is>
          <t>Итого основные материалы</t>
        </is>
      </c>
      <c r="D76" s="186" t="n"/>
      <c r="E76" s="231" t="n"/>
      <c r="F76" s="193" t="n"/>
      <c r="G76" s="89">
        <f>G56+G61+G65+G68+G69+G70+G74+G75</f>
        <v/>
      </c>
      <c r="H76" s="201">
        <f>G76/$G$171</f>
        <v/>
      </c>
      <c r="I76" s="89" t="n"/>
      <c r="J76" s="89">
        <f>SUM(J56:J75)</f>
        <v/>
      </c>
      <c r="K76" s="234" t="n"/>
    </row>
    <row r="77" hidden="1" outlineLevel="1" ht="25.5" customFormat="1" customHeight="1" s="157">
      <c r="A77" s="186" t="n">
        <v>35</v>
      </c>
      <c r="B77" s="83" t="inlineStr">
        <is>
          <t>10.1.02.03-0001</t>
        </is>
      </c>
      <c r="C77" s="191" t="inlineStr">
        <is>
          <t>Проволока алюминиевая, марка АМЦ, диаметр 1,4-1,8 мм</t>
        </is>
      </c>
      <c r="D77" s="186" t="inlineStr">
        <is>
          <t>т</t>
        </is>
      </c>
      <c r="E77" s="231" t="n">
        <v>0.205058</v>
      </c>
      <c r="F77" s="205" t="n">
        <v>30090</v>
      </c>
      <c r="G77" s="89">
        <f>ROUND(F77*E77,2)</f>
        <v/>
      </c>
      <c r="H77" s="201">
        <f>G77/$G$171</f>
        <v/>
      </c>
      <c r="I77" s="89">
        <f>ROUND(F77*Прил.10!$D$12,2)</f>
        <v/>
      </c>
      <c r="J77" s="89">
        <f>ROUND(I77*E77,2)</f>
        <v/>
      </c>
    </row>
    <row r="78" hidden="1" outlineLevel="1" ht="25.5" customFormat="1" customHeight="1" s="157">
      <c r="A78" s="186" t="n">
        <v>36</v>
      </c>
      <c r="B78" s="83" t="inlineStr">
        <is>
          <t>Прайс из СД  ОП</t>
        </is>
      </c>
      <c r="C78" s="191" t="inlineStr">
        <is>
          <t>Кронштейн консольный для крепления светодиодных прожекторов ,Diode System</t>
        </is>
      </c>
      <c r="D78" s="186" t="inlineStr">
        <is>
          <t>шт</t>
        </is>
      </c>
      <c r="E78" s="231" t="n">
        <v>13</v>
      </c>
      <c r="F78" s="205" t="n">
        <v>430.22</v>
      </c>
      <c r="G78" s="89">
        <f>ROUND(F78*E78,2)</f>
        <v/>
      </c>
      <c r="H78" s="201">
        <f>G78/$G$171</f>
        <v/>
      </c>
      <c r="I78" s="89">
        <f>ROUND(F78*Прил.10!$D$12,2)</f>
        <v/>
      </c>
      <c r="J78" s="89">
        <f>ROUND(I78*E78,2)</f>
        <v/>
      </c>
    </row>
    <row r="79" hidden="1" outlineLevel="1" ht="25.5" customFormat="1" customHeight="1" s="157">
      <c r="A79" s="186" t="n">
        <v>37</v>
      </c>
      <c r="B79" s="83" t="inlineStr">
        <is>
          <t>20.2.03.06-0011</t>
        </is>
      </c>
      <c r="C79" s="191" t="inlineStr">
        <is>
          <t>Крышка лотка PNK: 50 замковая, длина 2,5 м</t>
        </is>
      </c>
      <c r="D79" s="186" t="inlineStr">
        <is>
          <t>шт</t>
        </is>
      </c>
      <c r="E79" s="231" t="n">
        <v>378</v>
      </c>
      <c r="F79" s="205" t="n">
        <v>12.07</v>
      </c>
      <c r="G79" s="89">
        <f>ROUND(F79*E79,2)</f>
        <v/>
      </c>
      <c r="H79" s="201">
        <f>G79/$G$171</f>
        <v/>
      </c>
      <c r="I79" s="89">
        <f>ROUND(F79*Прил.10!$D$12,2)</f>
        <v/>
      </c>
      <c r="J79" s="89">
        <f>ROUND(I79*E79,2)</f>
        <v/>
      </c>
    </row>
    <row r="80" hidden="1" outlineLevel="1" ht="38.25" customFormat="1" customHeight="1" s="157">
      <c r="A80" s="186" t="n">
        <v>38</v>
      </c>
      <c r="B80" s="83" t="inlineStr">
        <is>
          <t>Прайс из СД  ОП</t>
        </is>
      </c>
      <c r="C80" s="191" t="inlineStr">
        <is>
          <t>Кронштейн поворотный для крепления светодиодных светильников ,Diode System</t>
        </is>
      </c>
      <c r="D80" s="186" t="inlineStr">
        <is>
          <t>шт</t>
        </is>
      </c>
      <c r="E80" s="231" t="n">
        <v>45</v>
      </c>
      <c r="F80" s="205" t="n">
        <v>65.98999999999999</v>
      </c>
      <c r="G80" s="89">
        <f>ROUND(F80*E80,2)</f>
        <v/>
      </c>
      <c r="H80" s="201">
        <f>G80/$G$171</f>
        <v/>
      </c>
      <c r="I80" s="89">
        <f>ROUND(F80*Прил.10!$D$12,2)</f>
        <v/>
      </c>
      <c r="J80" s="89">
        <f>ROUND(I80*E80,2)</f>
        <v/>
      </c>
    </row>
    <row r="81" hidden="1" outlineLevel="1" ht="25.5" customFormat="1" customHeight="1" s="157">
      <c r="A81" s="186" t="n">
        <v>39</v>
      </c>
      <c r="B81" s="83" t="inlineStr">
        <is>
          <t>08.4.01.01-0022</t>
        </is>
      </c>
      <c r="C81" s="191" t="inlineStr">
        <is>
          <t>Детали анкерные с резьбой из прямых или гнутых круглых стержней</t>
        </is>
      </c>
      <c r="D81" s="186" t="inlineStr">
        <is>
          <t>т</t>
        </is>
      </c>
      <c r="E81" s="231" t="n">
        <v>0.1856</v>
      </c>
      <c r="F81" s="205" t="n">
        <v>10100</v>
      </c>
      <c r="G81" s="89">
        <f>ROUND(F81*E81,2)</f>
        <v/>
      </c>
      <c r="H81" s="201">
        <f>G81/$G$171</f>
        <v/>
      </c>
      <c r="I81" s="89">
        <f>ROUND(F81*Прил.10!$D$12,2)</f>
        <v/>
      </c>
      <c r="J81" s="89">
        <f>ROUND(I81*E81,2)</f>
        <v/>
      </c>
    </row>
    <row r="82" hidden="1" outlineLevel="1" ht="51" customFormat="1" customHeight="1" s="157">
      <c r="A82" s="186" t="n">
        <v>40</v>
      </c>
      <c r="B82" s="83" t="inlineStr">
        <is>
          <t>23.5.02.02-0002</t>
        </is>
      </c>
      <c r="C82" s="191" t="inlineStr">
        <is>
          <t>Трубы стальные электросварные прямошовные из стали марок БСт2кп-БСт4кп и БСт2пс-БСт4пс, наружный диаметр 32 мм, толщина стенки 2,0 мм</t>
        </is>
      </c>
      <c r="D82" s="186" t="inlineStr">
        <is>
          <t>м</t>
        </is>
      </c>
      <c r="E82" s="231" t="n">
        <v>135.96</v>
      </c>
      <c r="F82" s="205" t="n">
        <v>13.49</v>
      </c>
      <c r="G82" s="89">
        <f>ROUND(F82*E82,2)</f>
        <v/>
      </c>
      <c r="H82" s="201">
        <f>G82/$G$171</f>
        <v/>
      </c>
      <c r="I82" s="89">
        <f>ROUND(F82*Прил.10!$D$12,2)</f>
        <v/>
      </c>
      <c r="J82" s="89">
        <f>ROUND(I82*E82,2)</f>
        <v/>
      </c>
    </row>
    <row r="83" hidden="1" outlineLevel="1" ht="76.5" customFormat="1" customHeight="1" s="157">
      <c r="A83" s="186" t="n">
        <v>41</v>
      </c>
      <c r="B83" s="83" t="inlineStr">
        <is>
          <t>08.4.01.02-0013</t>
        </is>
      </c>
      <c r="C83" s="19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83" s="186" t="inlineStr">
        <is>
          <t>т</t>
        </is>
      </c>
      <c r="E83" s="231" t="n">
        <v>0.1824</v>
      </c>
      <c r="F83" s="205" t="n">
        <v>6800</v>
      </c>
      <c r="G83" s="89">
        <f>ROUND(F83*E83,2)</f>
        <v/>
      </c>
      <c r="H83" s="201">
        <f>G83/$G$171</f>
        <v/>
      </c>
      <c r="I83" s="89">
        <f>ROUND(F83*Прил.10!$D$12,2)</f>
        <v/>
      </c>
      <c r="J83" s="89">
        <f>ROUND(I83*E83,2)</f>
        <v/>
      </c>
    </row>
    <row r="84" hidden="1" outlineLevel="1" ht="25.5" customFormat="1" customHeight="1" s="157">
      <c r="A84" s="186" t="n">
        <v>42</v>
      </c>
      <c r="B84" s="83" t="inlineStr">
        <is>
          <t>08.4.03.02-0002</t>
        </is>
      </c>
      <c r="C84" s="191" t="inlineStr">
        <is>
          <t>Сталь арматурная, горячекатаная, гладкая, класс А-I, диаметр 8 мм</t>
        </is>
      </c>
      <c r="D84" s="186" t="inlineStr">
        <is>
          <t>т</t>
        </is>
      </c>
      <c r="E84" s="231" t="n">
        <v>0.1536</v>
      </c>
      <c r="F84" s="205" t="n">
        <v>6780</v>
      </c>
      <c r="G84" s="89">
        <f>ROUND(F84*E84,2)</f>
        <v/>
      </c>
      <c r="H84" s="201">
        <f>G84/$G$171</f>
        <v/>
      </c>
      <c r="I84" s="89">
        <f>ROUND(F84*Прил.10!$D$12,2)</f>
        <v/>
      </c>
      <c r="J84" s="89">
        <f>ROUND(I84*E84,2)</f>
        <v/>
      </c>
    </row>
    <row r="85" hidden="1" outlineLevel="1" ht="25.5" customFormat="1" customHeight="1" s="157">
      <c r="A85" s="186" t="n">
        <v>43</v>
      </c>
      <c r="B85" s="83" t="inlineStr">
        <is>
          <t>10.3.02.03-0011</t>
        </is>
      </c>
      <c r="C85" s="191" t="inlineStr">
        <is>
          <t>Припои оловянно-свинцовые бессурьмянистые, марка ПОС30</t>
        </is>
      </c>
      <c r="D85" s="186" t="inlineStr">
        <is>
          <t>т</t>
        </is>
      </c>
      <c r="E85" s="231" t="n">
        <v>0.015015</v>
      </c>
      <c r="F85" s="205" t="n">
        <v>68050</v>
      </c>
      <c r="G85" s="89">
        <f>ROUND(F85*E85,2)</f>
        <v/>
      </c>
      <c r="H85" s="201">
        <f>G85/$G$171</f>
        <v/>
      </c>
      <c r="I85" s="89">
        <f>ROUND(F85*Прил.10!$D$12,2)</f>
        <v/>
      </c>
      <c r="J85" s="89">
        <f>ROUND(I85*E85,2)</f>
        <v/>
      </c>
    </row>
    <row r="86" hidden="1" outlineLevel="1" ht="25.5" customFormat="1" customHeight="1" s="157">
      <c r="A86" s="186" t="n">
        <v>44</v>
      </c>
      <c r="B86" s="83" t="inlineStr">
        <is>
          <t>02.2.05.04-1772</t>
        </is>
      </c>
      <c r="C86" s="191" t="inlineStr">
        <is>
          <t>Щебень М 600, фракция 20-40 мм, группа 2</t>
        </is>
      </c>
      <c r="D86" s="186" t="inlineStr">
        <is>
          <t>м3</t>
        </is>
      </c>
      <c r="E86" s="231" t="n">
        <v>7.8</v>
      </c>
      <c r="F86" s="205" t="n">
        <v>114.13</v>
      </c>
      <c r="G86" s="89">
        <f>ROUND(F86*E86,2)</f>
        <v/>
      </c>
      <c r="H86" s="201">
        <f>G86/$G$171</f>
        <v/>
      </c>
      <c r="I86" s="89">
        <f>ROUND(F86*Прил.10!$D$12,2)</f>
        <v/>
      </c>
      <c r="J86" s="89">
        <f>ROUND(I86*E86,2)</f>
        <v/>
      </c>
    </row>
    <row r="87" hidden="1" outlineLevel="1" ht="51" customFormat="1" customHeight="1" s="157">
      <c r="A87" s="186" t="n">
        <v>45</v>
      </c>
      <c r="B87" s="83" t="inlineStr">
        <is>
          <t>04.1.02.05-0048 надбавка</t>
        </is>
      </c>
      <c r="C87" s="191" t="inlineStr">
        <is>
          <t>Надбавка по морозостойкости F300 2+2=4%. Смеси бетонные тяжелого бетона (БСТ), крупность заполнителя 20 мм, класс В30 (М400)</t>
        </is>
      </c>
      <c r="D87" s="186" t="inlineStr">
        <is>
          <t>м3</t>
        </is>
      </c>
      <c r="E87" s="231" t="n">
        <v>25.6</v>
      </c>
      <c r="F87" s="205" t="n">
        <v>28.94</v>
      </c>
      <c r="G87" s="89">
        <f>ROUND(F87*E87,2)</f>
        <v/>
      </c>
      <c r="H87" s="201">
        <f>G87/$G$171</f>
        <v/>
      </c>
      <c r="I87" s="89">
        <f>ROUND(F87*Прил.10!$D$12,2)</f>
        <v/>
      </c>
      <c r="J87" s="89">
        <f>ROUND(I87*E87,2)</f>
        <v/>
      </c>
    </row>
    <row r="88" hidden="1" outlineLevel="1" ht="14.25" customFormat="1" customHeight="1" s="157">
      <c r="A88" s="186" t="n">
        <v>46</v>
      </c>
      <c r="B88" s="83" t="inlineStr">
        <is>
          <t>Прайс из СД  ОП</t>
        </is>
      </c>
      <c r="C88" s="191" t="inlineStr">
        <is>
          <t>Зажим кабельный PG21</t>
        </is>
      </c>
      <c r="D88" s="186" t="inlineStr">
        <is>
          <t>шт</t>
        </is>
      </c>
      <c r="E88" s="231" t="n">
        <v>100</v>
      </c>
      <c r="F88" s="205" t="n">
        <v>6.45</v>
      </c>
      <c r="G88" s="89">
        <f>ROUND(F88*E88,2)</f>
        <v/>
      </c>
      <c r="H88" s="201">
        <f>G88/$G$171</f>
        <v/>
      </c>
      <c r="I88" s="89">
        <f>ROUND(F88*Прил.10!$D$12,2)</f>
        <v/>
      </c>
      <c r="J88" s="89">
        <f>ROUND(I88*E88,2)</f>
        <v/>
      </c>
    </row>
    <row r="89" hidden="1" outlineLevel="1" ht="38.25" customFormat="1" customHeight="1" s="157">
      <c r="A89" s="186" t="n">
        <v>47</v>
      </c>
      <c r="B89" s="83" t="inlineStr">
        <is>
          <t>Прайс из СД  ОП</t>
        </is>
      </c>
      <c r="C89" s="191" t="inlineStr">
        <is>
          <t>Горизонтальный угол для поворота прямого листового лотка на 90град. НА 90х50 ,код 600131,Стандарт Электрик</t>
        </is>
      </c>
      <c r="D89" s="186" t="inlineStr">
        <is>
          <t>шт</t>
        </is>
      </c>
      <c r="E89" s="231" t="n">
        <v>8</v>
      </c>
      <c r="F89" s="205" t="n">
        <v>72.72</v>
      </c>
      <c r="G89" s="89">
        <f>ROUND(F89*E89,2)</f>
        <v/>
      </c>
      <c r="H89" s="201">
        <f>G89/$G$171</f>
        <v/>
      </c>
      <c r="I89" s="89">
        <f>ROUND(F89*Прил.10!$D$12,2)</f>
        <v/>
      </c>
      <c r="J89" s="89">
        <f>ROUND(I89*E89,2)</f>
        <v/>
      </c>
    </row>
    <row r="90" hidden="1" outlineLevel="1" ht="14.25" customFormat="1" customHeight="1" s="157">
      <c r="A90" s="186" t="n">
        <v>48</v>
      </c>
      <c r="B90" s="83" t="inlineStr">
        <is>
          <t>14.5.09.11-0102</t>
        </is>
      </c>
      <c r="C90" s="191" t="inlineStr">
        <is>
          <t>Уайт-спирит</t>
        </is>
      </c>
      <c r="D90" s="186" t="inlineStr">
        <is>
          <t>кг</t>
        </is>
      </c>
      <c r="E90" s="231" t="n">
        <v>70.363877</v>
      </c>
      <c r="F90" s="205" t="n">
        <v>6.67</v>
      </c>
      <c r="G90" s="89">
        <f>ROUND(F90*E90,2)</f>
        <v/>
      </c>
      <c r="H90" s="201">
        <f>G90/$G$171</f>
        <v/>
      </c>
      <c r="I90" s="89">
        <f>ROUND(F90*Прил.10!$D$12,2)</f>
        <v/>
      </c>
      <c r="J90" s="89">
        <f>ROUND(I90*E90,2)</f>
        <v/>
      </c>
    </row>
    <row r="91" hidden="1" outlineLevel="1" ht="14.25" customFormat="1" customHeight="1" s="157">
      <c r="A91" s="186" t="n">
        <v>49</v>
      </c>
      <c r="B91" s="83" t="inlineStr">
        <is>
          <t>11.2.13.04-0011</t>
        </is>
      </c>
      <c r="C91" s="191" t="inlineStr">
        <is>
          <t>Щиты из досок, толщина 25 мм</t>
        </is>
      </c>
      <c r="D91" s="186" t="inlineStr">
        <is>
          <t>м2</t>
        </is>
      </c>
      <c r="E91" s="231" t="n">
        <v>12.672</v>
      </c>
      <c r="F91" s="205" t="n">
        <v>35.53</v>
      </c>
      <c r="G91" s="89">
        <f>ROUND(F91*E91,2)</f>
        <v/>
      </c>
      <c r="H91" s="201">
        <f>G91/$G$171</f>
        <v/>
      </c>
      <c r="I91" s="89">
        <f>ROUND(F91*Прил.10!$D$12,2)</f>
        <v/>
      </c>
      <c r="J91" s="89">
        <f>ROUND(I91*E91,2)</f>
        <v/>
      </c>
    </row>
    <row r="92" hidden="1" outlineLevel="1" ht="25.5" customFormat="1" customHeight="1" s="157">
      <c r="A92" s="186" t="n">
        <v>50</v>
      </c>
      <c r="B92" s="83" t="inlineStr">
        <is>
          <t>Прайс из СД  ОП</t>
        </is>
      </c>
      <c r="C92" s="191" t="inlineStr">
        <is>
          <t>Крышка для горизонтального угла  КНА 50 ,код 600731,Стандарт Электрик</t>
        </is>
      </c>
      <c r="D92" s="186" t="inlineStr">
        <is>
          <t>шт</t>
        </is>
      </c>
      <c r="E92" s="231" t="n">
        <v>8</v>
      </c>
      <c r="F92" s="205" t="n">
        <v>48.99</v>
      </c>
      <c r="G92" s="89">
        <f>ROUND(F92*E92,2)</f>
        <v/>
      </c>
      <c r="H92" s="201">
        <f>G92/$G$171</f>
        <v/>
      </c>
      <c r="I92" s="89">
        <f>ROUND(F92*Прил.10!$D$12,2)</f>
        <v/>
      </c>
      <c r="J92" s="89">
        <f>ROUND(I92*E92,2)</f>
        <v/>
      </c>
    </row>
    <row r="93" hidden="1" outlineLevel="1" ht="14.25" customFormat="1" customHeight="1" s="157">
      <c r="A93" s="186" t="n">
        <v>51</v>
      </c>
      <c r="B93" s="83" t="inlineStr">
        <is>
          <t>01.3.01.01-0001</t>
        </is>
      </c>
      <c r="C93" s="191" t="inlineStr">
        <is>
          <t>Бензин авиационный Б-70</t>
        </is>
      </c>
      <c r="D93" s="186" t="inlineStr">
        <is>
          <t>т</t>
        </is>
      </c>
      <c r="E93" s="231" t="n">
        <v>0.0848</v>
      </c>
      <c r="F93" s="205" t="n">
        <v>4488.4</v>
      </c>
      <c r="G93" s="89">
        <f>ROUND(F93*E93,2)</f>
        <v/>
      </c>
      <c r="H93" s="201">
        <f>G93/$G$171</f>
        <v/>
      </c>
      <c r="I93" s="89">
        <f>ROUND(F93*Прил.10!$D$12,2)</f>
        <v/>
      </c>
      <c r="J93" s="89">
        <f>ROUND(I93*E93,2)</f>
        <v/>
      </c>
    </row>
    <row r="94" hidden="1" outlineLevel="1" ht="14.25" customFormat="1" customHeight="1" s="157">
      <c r="A94" s="186" t="n">
        <v>52</v>
      </c>
      <c r="B94" s="83" t="inlineStr">
        <is>
          <t>01.7.07.29-0241</t>
        </is>
      </c>
      <c r="C94" s="191" t="inlineStr">
        <is>
          <t>Хомутик</t>
        </is>
      </c>
      <c r="D94" s="186" t="inlineStr">
        <is>
          <t>10 шт</t>
        </is>
      </c>
      <c r="E94" s="231" t="n">
        <v>5.28</v>
      </c>
      <c r="F94" s="205" t="n">
        <v>72</v>
      </c>
      <c r="G94" s="89">
        <f>ROUND(F94*E94,2)</f>
        <v/>
      </c>
      <c r="H94" s="201">
        <f>G94/$G$171</f>
        <v/>
      </c>
      <c r="I94" s="89">
        <f>ROUND(F94*Прил.10!$D$12,2)</f>
        <v/>
      </c>
      <c r="J94" s="89">
        <f>ROUND(I94*E94,2)</f>
        <v/>
      </c>
    </row>
    <row r="95" hidden="1" outlineLevel="1" ht="14.25" customFormat="1" customHeight="1" s="157">
      <c r="A95" s="186" t="n">
        <v>53</v>
      </c>
      <c r="B95" s="83" t="inlineStr">
        <is>
          <t>14.2.01.05-0003</t>
        </is>
      </c>
      <c r="C95" s="191" t="inlineStr">
        <is>
          <t>Композиция цинконаполненная</t>
        </is>
      </c>
      <c r="D95" s="186" t="inlineStr">
        <is>
          <t>кг</t>
        </is>
      </c>
      <c r="E95" s="231" t="n">
        <v>3.08</v>
      </c>
      <c r="F95" s="205" t="n">
        <v>114.42</v>
      </c>
      <c r="G95" s="89">
        <f>ROUND(F95*E95,2)</f>
        <v/>
      </c>
      <c r="H95" s="201">
        <f>G95/$G$171</f>
        <v/>
      </c>
      <c r="I95" s="89">
        <f>ROUND(F95*Прил.10!$D$12,2)</f>
        <v/>
      </c>
      <c r="J95" s="89">
        <f>ROUND(I95*E95,2)</f>
        <v/>
      </c>
    </row>
    <row r="96" hidden="1" outlineLevel="1" ht="25.5" customFormat="1" customHeight="1" s="157">
      <c r="A96" s="186" t="n">
        <v>54</v>
      </c>
      <c r="B96" s="83" t="inlineStr">
        <is>
          <t>20.5.04.09-0002</t>
        </is>
      </c>
      <c r="C96" s="191" t="inlineStr">
        <is>
          <t>Сжимы типа У731М, для магистральных и ответвительных проводов и кабелей</t>
        </is>
      </c>
      <c r="D96" s="186" t="inlineStr">
        <is>
          <t>100 шт</t>
        </is>
      </c>
      <c r="E96" s="231" t="n">
        <v>1.55</v>
      </c>
      <c r="F96" s="205" t="n">
        <v>223.94</v>
      </c>
      <c r="G96" s="89">
        <f>ROUND(F96*E96,2)</f>
        <v/>
      </c>
      <c r="H96" s="201">
        <f>G96/$G$171</f>
        <v/>
      </c>
      <c r="I96" s="89">
        <f>ROUND(F96*Прил.10!$D$12,2)</f>
        <v/>
      </c>
      <c r="J96" s="89">
        <f>ROUND(I96*E96,2)</f>
        <v/>
      </c>
    </row>
    <row r="97" hidden="1" outlineLevel="1" ht="51" customFormat="1" customHeight="1" s="157">
      <c r="A97" s="186" t="n">
        <v>55</v>
      </c>
      <c r="B97" s="83" t="inlineStr">
        <is>
          <t>20.1.02.04-0003</t>
        </is>
      </c>
      <c r="C97" s="191" t="inlineStr">
        <is>
          <t>Клемма строительно-монтажная для распределительных коробок на 3 проводника сечением до 6 мм2 WAGO 773-173</t>
        </is>
      </c>
      <c r="D97" s="186" t="inlineStr">
        <is>
          <t>100 шт</t>
        </is>
      </c>
      <c r="E97" s="231" t="n">
        <v>1.6116</v>
      </c>
      <c r="F97" s="205" t="n">
        <v>213</v>
      </c>
      <c r="G97" s="89">
        <f>ROUND(F97*E97,2)</f>
        <v/>
      </c>
      <c r="H97" s="201">
        <f>G97/$G$171</f>
        <v/>
      </c>
      <c r="I97" s="89">
        <f>ROUND(F97*Прил.10!$D$12,2)</f>
        <v/>
      </c>
      <c r="J97" s="89">
        <f>ROUND(I97*E97,2)</f>
        <v/>
      </c>
    </row>
    <row r="98" hidden="1" outlineLevel="1" ht="25.5" customFormat="1" customHeight="1" s="157">
      <c r="A98" s="186" t="n">
        <v>56</v>
      </c>
      <c r="B98" s="83" t="inlineStr">
        <is>
          <t>01.7.11.04-0071</t>
        </is>
      </c>
      <c r="C98" s="191" t="inlineStr">
        <is>
          <t>Проволока сварочная легированная, диаметр 2 мм</t>
        </is>
      </c>
      <c r="D98" s="186" t="inlineStr">
        <is>
          <t>т</t>
        </is>
      </c>
      <c r="E98" s="231" t="n">
        <v>0.01763</v>
      </c>
      <c r="F98" s="205" t="n">
        <v>16136</v>
      </c>
      <c r="G98" s="89">
        <f>ROUND(F98*E98,2)</f>
        <v/>
      </c>
      <c r="H98" s="201">
        <f>G98/$G$171</f>
        <v/>
      </c>
      <c r="I98" s="89">
        <f>ROUND(F98*Прил.10!$D$12,2)</f>
        <v/>
      </c>
      <c r="J98" s="89">
        <f>ROUND(I98*E98,2)</f>
        <v/>
      </c>
    </row>
    <row r="99" hidden="1" outlineLevel="1" ht="14.25" customFormat="1" customHeight="1" s="157">
      <c r="A99" s="186" t="n">
        <v>57</v>
      </c>
      <c r="B99" s="83" t="inlineStr">
        <is>
          <t>01.7.11.07-0032</t>
        </is>
      </c>
      <c r="C99" s="191" t="inlineStr">
        <is>
          <t>Электроды сварочные Э42, диаметр 4 мм</t>
        </is>
      </c>
      <c r="D99" s="186" t="inlineStr">
        <is>
          <t>т</t>
        </is>
      </c>
      <c r="E99" s="231" t="n">
        <v>0.027293</v>
      </c>
      <c r="F99" s="205" t="n">
        <v>10315.01</v>
      </c>
      <c r="G99" s="89">
        <f>ROUND(F99*E99,2)</f>
        <v/>
      </c>
      <c r="H99" s="201">
        <f>G99/$G$171</f>
        <v/>
      </c>
      <c r="I99" s="89">
        <f>ROUND(F99*Прил.10!$D$12,2)</f>
        <v/>
      </c>
      <c r="J99" s="89">
        <f>ROUND(I99*E99,2)</f>
        <v/>
      </c>
    </row>
    <row r="100" hidden="1" outlineLevel="1" ht="14.25" customFormat="1" customHeight="1" s="157">
      <c r="A100" s="186" t="n">
        <v>58</v>
      </c>
      <c r="B100" s="83" t="inlineStr">
        <is>
          <t>Прайс из СД  ОП</t>
        </is>
      </c>
      <c r="C100" s="191" t="inlineStr">
        <is>
          <t>Зажим кабельный PG13,5</t>
        </is>
      </c>
      <c r="D100" s="186" t="inlineStr">
        <is>
          <t>шт</t>
        </is>
      </c>
      <c r="E100" s="231" t="n">
        <v>58</v>
      </c>
      <c r="F100" s="205" t="n">
        <v>4.24</v>
      </c>
      <c r="G100" s="89">
        <f>ROUND(F100*E100,2)</f>
        <v/>
      </c>
      <c r="H100" s="201">
        <f>G100/$G$171</f>
        <v/>
      </c>
      <c r="I100" s="89">
        <f>ROUND(F100*Прил.10!$D$12,2)</f>
        <v/>
      </c>
      <c r="J100" s="89">
        <f>ROUND(I100*E100,2)</f>
        <v/>
      </c>
    </row>
    <row r="101" hidden="1" outlineLevel="1" ht="14.25" customFormat="1" customHeight="1" s="157">
      <c r="A101" s="186" t="n">
        <v>59</v>
      </c>
      <c r="B101" s="83" t="inlineStr">
        <is>
          <t>01.7.02.07-0011</t>
        </is>
      </c>
      <c r="C101" s="191" t="inlineStr">
        <is>
          <t>Прессшпан листовой, марка А</t>
        </is>
      </c>
      <c r="D101" s="186" t="inlineStr">
        <is>
          <t>кг</t>
        </is>
      </c>
      <c r="E101" s="231" t="n">
        <v>4.8</v>
      </c>
      <c r="F101" s="205" t="n">
        <v>47.57</v>
      </c>
      <c r="G101" s="89">
        <f>ROUND(F101*E101,2)</f>
        <v/>
      </c>
      <c r="H101" s="201">
        <f>G101/$G$171</f>
        <v/>
      </c>
      <c r="I101" s="89">
        <f>ROUND(F101*Прил.10!$D$12,2)</f>
        <v/>
      </c>
      <c r="J101" s="89">
        <f>ROUND(I101*E101,2)</f>
        <v/>
      </c>
    </row>
    <row r="102" hidden="1" outlineLevel="1" ht="25.5" customFormat="1" customHeight="1" s="157">
      <c r="A102" s="186" t="n">
        <v>60</v>
      </c>
      <c r="B102" s="83" t="inlineStr">
        <is>
          <t>999-9950</t>
        </is>
      </c>
      <c r="C102" s="191" t="inlineStr">
        <is>
          <t>Вспомогательные ненормируемые материальные ресурсы</t>
        </is>
      </c>
      <c r="D102" s="186" t="inlineStr">
        <is>
          <t>руб</t>
        </is>
      </c>
      <c r="E102" s="231" t="n">
        <v>202.879897</v>
      </c>
      <c r="F102" s="205" t="n">
        <v>1</v>
      </c>
      <c r="G102" s="89">
        <f>ROUND(F102*E102,2)</f>
        <v/>
      </c>
      <c r="H102" s="201">
        <f>G102/$G$171</f>
        <v/>
      </c>
      <c r="I102" s="89">
        <f>ROUND(F102*Прил.10!$D$12,2)</f>
        <v/>
      </c>
      <c r="J102" s="89">
        <f>ROUND(I102*E102,2)</f>
        <v/>
      </c>
    </row>
    <row r="103" hidden="1" outlineLevel="1" ht="14.25" customFormat="1" customHeight="1" s="157">
      <c r="A103" s="186" t="n">
        <v>61</v>
      </c>
      <c r="B103" s="83" t="inlineStr">
        <is>
          <t>01.7.06.07-0002</t>
        </is>
      </c>
      <c r="C103" s="191" t="inlineStr">
        <is>
          <t>Лента монтажная, тип ЛМ-5</t>
        </is>
      </c>
      <c r="D103" s="186" t="inlineStr">
        <is>
          <t>10 м</t>
        </is>
      </c>
      <c r="E103" s="231" t="n">
        <v>29.02943</v>
      </c>
      <c r="F103" s="205" t="n">
        <v>6.9</v>
      </c>
      <c r="G103" s="89">
        <f>ROUND(F103*E103,2)</f>
        <v/>
      </c>
      <c r="H103" s="201">
        <f>G103/$G$171</f>
        <v/>
      </c>
      <c r="I103" s="89">
        <f>ROUND(F103*Прил.10!$D$12,2)</f>
        <v/>
      </c>
      <c r="J103" s="89">
        <f>ROUND(I103*E103,2)</f>
        <v/>
      </c>
    </row>
    <row r="104" hidden="1" outlineLevel="1" ht="38.25" customFormat="1" customHeight="1" s="157">
      <c r="A104" s="186" t="n">
        <v>62</v>
      </c>
      <c r="B104" s="83" t="inlineStr">
        <is>
          <t>11.1.03.06-0095</t>
        </is>
      </c>
      <c r="C104" s="191" t="inlineStr">
        <is>
          <t>Доска обрезная, хвойных пород, ширина 75-150 мм, толщина 44 мм и более, длина 4-6,5 м, сорт III</t>
        </is>
      </c>
      <c r="D104" s="186" t="inlineStr">
        <is>
          <t>м3</t>
        </is>
      </c>
      <c r="E104" s="231" t="n">
        <v>0.17664</v>
      </c>
      <c r="F104" s="205" t="n">
        <v>1056</v>
      </c>
      <c r="G104" s="89">
        <f>ROUND(F104*E104,2)</f>
        <v/>
      </c>
      <c r="H104" s="201">
        <f>G104/$G$171</f>
        <v/>
      </c>
      <c r="I104" s="89">
        <f>ROUND(F104*Прил.10!$D$12,2)</f>
        <v/>
      </c>
      <c r="J104" s="89">
        <f>ROUND(I104*E104,2)</f>
        <v/>
      </c>
    </row>
    <row r="105" hidden="1" outlineLevel="1" ht="51" customFormat="1" customHeight="1" s="157">
      <c r="A105" s="186" t="n">
        <v>63</v>
      </c>
      <c r="B105" s="83" t="inlineStr">
        <is>
          <t>23.8.04.06-0310</t>
        </is>
      </c>
      <c r="C105" s="191" t="inlineStr">
        <is>
          <t>Отводы 90° с радиусом кривизны R=1,5 Ду на давление до 16 МПа, номинальный диаметр 30 мм, наружный диаметр 32 мм, толщина стенки 2,0 мм</t>
        </is>
      </c>
      <c r="D105" s="186" t="inlineStr">
        <is>
          <t>шт</t>
        </is>
      </c>
      <c r="E105" s="231" t="n">
        <v>41</v>
      </c>
      <c r="F105" s="205" t="n">
        <v>4.5</v>
      </c>
      <c r="G105" s="89">
        <f>ROUND(F105*E105,2)</f>
        <v/>
      </c>
      <c r="H105" s="201">
        <f>G105/$G$171</f>
        <v/>
      </c>
      <c r="I105" s="89">
        <f>ROUND(F105*Прил.10!$D$12,2)</f>
        <v/>
      </c>
      <c r="J105" s="89">
        <f>ROUND(I105*E105,2)</f>
        <v/>
      </c>
    </row>
    <row r="106" hidden="1" outlineLevel="1" ht="14.25" customFormat="1" customHeight="1" s="157">
      <c r="A106" s="186" t="n">
        <v>64</v>
      </c>
      <c r="B106" s="83" t="inlineStr">
        <is>
          <t>25.2.01.01-0017</t>
        </is>
      </c>
      <c r="C106" s="191" t="inlineStr">
        <is>
          <t>Бирки маркировочные пластмассовые</t>
        </is>
      </c>
      <c r="D106" s="186" t="inlineStr">
        <is>
          <t>100 шт</t>
        </is>
      </c>
      <c r="E106" s="231" t="n">
        <v>5.76</v>
      </c>
      <c r="F106" s="205" t="n">
        <v>30.74</v>
      </c>
      <c r="G106" s="89">
        <f>ROUND(F106*E106,2)</f>
        <v/>
      </c>
      <c r="H106" s="201">
        <f>G106/$G$171</f>
        <v/>
      </c>
      <c r="I106" s="89">
        <f>ROUND(F106*Прил.10!$D$12,2)</f>
        <v/>
      </c>
      <c r="J106" s="89">
        <f>ROUND(I106*E106,2)</f>
        <v/>
      </c>
    </row>
    <row r="107" hidden="1" outlineLevel="1" ht="25.5" customFormat="1" customHeight="1" s="157">
      <c r="A107" s="186" t="n">
        <v>65</v>
      </c>
      <c r="B107" s="83" t="inlineStr">
        <is>
          <t>Прайс из СД  ОП</t>
        </is>
      </c>
      <c r="C107" s="191" t="inlineStr">
        <is>
          <t>Заглушка для листового лотка ЕС50 ,код 300411,Стандарт Электрик</t>
        </is>
      </c>
      <c r="D107" s="186" t="inlineStr">
        <is>
          <t>шт</t>
        </is>
      </c>
      <c r="E107" s="231" t="n">
        <v>10</v>
      </c>
      <c r="F107" s="205" t="n">
        <v>16.5</v>
      </c>
      <c r="G107" s="89">
        <f>ROUND(F107*E107,2)</f>
        <v/>
      </c>
      <c r="H107" s="201">
        <f>G107/$G$171</f>
        <v/>
      </c>
      <c r="I107" s="89">
        <f>ROUND(F107*Прил.10!$D$12,2)</f>
        <v/>
      </c>
      <c r="J107" s="89">
        <f>ROUND(I107*E107,2)</f>
        <v/>
      </c>
    </row>
    <row r="108" hidden="1" outlineLevel="1" ht="14.25" customFormat="1" customHeight="1" s="157">
      <c r="A108" s="186" t="n">
        <v>66</v>
      </c>
      <c r="B108" s="83" t="inlineStr">
        <is>
          <t>01.7.20.04-0003</t>
        </is>
      </c>
      <c r="C108" s="191" t="inlineStr">
        <is>
          <t>Нитки суровые</t>
        </is>
      </c>
      <c r="D108" s="186" t="inlineStr">
        <is>
          <t>кг</t>
        </is>
      </c>
      <c r="E108" s="231" t="n">
        <v>0.96</v>
      </c>
      <c r="F108" s="205" t="n">
        <v>155</v>
      </c>
      <c r="G108" s="89">
        <f>ROUND(F108*E108,2)</f>
        <v/>
      </c>
      <c r="H108" s="201">
        <f>G108/$G$171</f>
        <v/>
      </c>
      <c r="I108" s="89">
        <f>ROUND(F108*Прил.10!$D$12,2)</f>
        <v/>
      </c>
      <c r="J108" s="89">
        <f>ROUND(I108*E108,2)</f>
        <v/>
      </c>
    </row>
    <row r="109" hidden="1" outlineLevel="1" ht="14.25" customFormat="1" customHeight="1" s="157">
      <c r="A109" s="186" t="n">
        <v>67</v>
      </c>
      <c r="B109" s="83" t="inlineStr">
        <is>
          <t>01.7.20.08-0072</t>
        </is>
      </c>
      <c r="C109" s="191" t="inlineStr">
        <is>
          <t>Канат трехпрядный из капроновых нитей</t>
        </is>
      </c>
      <c r="D109" s="186" t="inlineStr">
        <is>
          <t>т</t>
        </is>
      </c>
      <c r="E109" s="231" t="n">
        <v>0.00147</v>
      </c>
      <c r="F109" s="205" t="n">
        <v>87116</v>
      </c>
      <c r="G109" s="89">
        <f>ROUND(F109*E109,2)</f>
        <v/>
      </c>
      <c r="H109" s="201">
        <f>G109/$G$171</f>
        <v/>
      </c>
      <c r="I109" s="89">
        <f>ROUND(F109*Прил.10!$D$12,2)</f>
        <v/>
      </c>
      <c r="J109" s="89">
        <f>ROUND(I109*E109,2)</f>
        <v/>
      </c>
    </row>
    <row r="110" hidden="1" outlineLevel="1" ht="25.5" customFormat="1" customHeight="1" s="157">
      <c r="A110" s="186" t="n">
        <v>68</v>
      </c>
      <c r="B110" s="83" t="inlineStr">
        <is>
          <t>Прайс из СД  ОП</t>
        </is>
      </c>
      <c r="C110" s="191" t="inlineStr">
        <is>
          <t>Анкер втулочный FSA 8/15 S ,арт.68520 ,Fischer,Германия</t>
        </is>
      </c>
      <c r="D110" s="186" t="inlineStr">
        <is>
          <t>шт</t>
        </is>
      </c>
      <c r="E110" s="231" t="n">
        <v>40</v>
      </c>
      <c r="F110" s="205" t="n">
        <v>2.88</v>
      </c>
      <c r="G110" s="89">
        <f>ROUND(F110*E110,2)</f>
        <v/>
      </c>
      <c r="H110" s="201">
        <f>G110/$G$171</f>
        <v/>
      </c>
      <c r="I110" s="89">
        <f>ROUND(F110*Прил.10!$D$12,2)</f>
        <v/>
      </c>
      <c r="J110" s="89">
        <f>ROUND(I110*E110,2)</f>
        <v/>
      </c>
    </row>
    <row r="111" hidden="1" outlineLevel="1" ht="14.25" customFormat="1" customHeight="1" s="157">
      <c r="A111" s="186" t="n">
        <v>69</v>
      </c>
      <c r="B111" s="83" t="inlineStr">
        <is>
          <t>01.7.15.06-0111</t>
        </is>
      </c>
      <c r="C111" s="191" t="inlineStr">
        <is>
          <t>Гвозди строительные</t>
        </is>
      </c>
      <c r="D111" s="186" t="inlineStr">
        <is>
          <t>т</t>
        </is>
      </c>
      <c r="E111" s="231" t="n">
        <v>0.009475000000000001</v>
      </c>
      <c r="F111" s="205" t="n">
        <v>11978</v>
      </c>
      <c r="G111" s="89">
        <f>ROUND(F111*E111,2)</f>
        <v/>
      </c>
      <c r="H111" s="201">
        <f>G111/$G$171</f>
        <v/>
      </c>
      <c r="I111" s="89">
        <f>ROUND(F111*Прил.10!$D$12,2)</f>
        <v/>
      </c>
      <c r="J111" s="89">
        <f>ROUND(I111*E111,2)</f>
        <v/>
      </c>
    </row>
    <row r="112" hidden="1" outlineLevel="1" ht="25.5" customFormat="1" customHeight="1" s="157">
      <c r="A112" s="186" t="n">
        <v>70</v>
      </c>
      <c r="B112" s="83" t="inlineStr">
        <is>
          <t>08.4.03.02-0005</t>
        </is>
      </c>
      <c r="C112" s="191" t="inlineStr">
        <is>
          <t>Сталь арматурная, горячекатаная, гладкая, класс А-I, диаметр 14 мм</t>
        </is>
      </c>
      <c r="D112" s="186" t="inlineStr">
        <is>
          <t>т</t>
        </is>
      </c>
      <c r="E112" s="231" t="n">
        <v>0.016704</v>
      </c>
      <c r="F112" s="205" t="n">
        <v>6210</v>
      </c>
      <c r="G112" s="89">
        <f>ROUND(F112*E112,2)</f>
        <v/>
      </c>
      <c r="H112" s="201">
        <f>G112/$G$171</f>
        <v/>
      </c>
      <c r="I112" s="89">
        <f>ROUND(F112*Прил.10!$D$12,2)</f>
        <v/>
      </c>
      <c r="J112" s="89">
        <f>ROUND(I112*E112,2)</f>
        <v/>
      </c>
    </row>
    <row r="113" hidden="1" outlineLevel="1" ht="25.5" customFormat="1" customHeight="1" s="157">
      <c r="A113" s="186" t="n">
        <v>71</v>
      </c>
      <c r="B113" s="83" t="inlineStr">
        <is>
          <t>25.2.01.06-0062</t>
        </is>
      </c>
      <c r="C113" s="191" t="inlineStr">
        <is>
          <t>Зажим соединительный: одноболтовой (КС-055-11) (КС-336)</t>
        </is>
      </c>
      <c r="D113" s="186" t="inlineStr">
        <is>
          <t>шт</t>
        </is>
      </c>
      <c r="E113" s="231" t="n">
        <v>1</v>
      </c>
      <c r="F113" s="205" t="n">
        <v>103.5</v>
      </c>
      <c r="G113" s="89">
        <f>ROUND(F113*E113,2)</f>
        <v/>
      </c>
      <c r="H113" s="201">
        <f>G113/$G$171</f>
        <v/>
      </c>
      <c r="I113" s="89">
        <f>ROUND(F113*Прил.10!$D$12,2)</f>
        <v/>
      </c>
      <c r="J113" s="89">
        <f>ROUND(I113*E113,2)</f>
        <v/>
      </c>
    </row>
    <row r="114" hidden="1" outlineLevel="1" ht="14.25" customFormat="1" customHeight="1" s="157">
      <c r="A114" s="186" t="n">
        <v>72</v>
      </c>
      <c r="B114" s="83" t="inlineStr">
        <is>
          <t>01.7.15.03-0042</t>
        </is>
      </c>
      <c r="C114" s="191" t="inlineStr">
        <is>
          <t>Болты с гайками и шайбами строительные</t>
        </is>
      </c>
      <c r="D114" s="186" t="inlineStr">
        <is>
          <t>кг</t>
        </is>
      </c>
      <c r="E114" s="231" t="n">
        <v>11.184594</v>
      </c>
      <c r="F114" s="205" t="n">
        <v>9.039999999999999</v>
      </c>
      <c r="G114" s="89">
        <f>ROUND(F114*E114,2)</f>
        <v/>
      </c>
      <c r="H114" s="201">
        <f>G114/$G$171</f>
        <v/>
      </c>
      <c r="I114" s="89">
        <f>ROUND(F114*Прил.10!$D$12,2)</f>
        <v/>
      </c>
      <c r="J114" s="89">
        <f>ROUND(I114*E114,2)</f>
        <v/>
      </c>
    </row>
    <row r="115" hidden="1" outlineLevel="1" ht="38.25" customFormat="1" customHeight="1" s="157">
      <c r="A115" s="186" t="n">
        <v>73</v>
      </c>
      <c r="B115" s="83" t="inlineStr">
        <is>
          <t>11.1.02.04-0031</t>
        </is>
      </c>
      <c r="C115" s="191" t="inlineStr">
        <is>
          <t>Лесоматериалы круглые, хвойных пород, для строительства, диаметр 14-24 см, длина 3-6,5 м</t>
        </is>
      </c>
      <c r="D115" s="186" t="inlineStr">
        <is>
          <t>м3</t>
        </is>
      </c>
      <c r="E115" s="231" t="n">
        <v>0.17664</v>
      </c>
      <c r="F115" s="205" t="n">
        <v>558.33</v>
      </c>
      <c r="G115" s="89">
        <f>ROUND(F115*E115,2)</f>
        <v/>
      </c>
      <c r="H115" s="201">
        <f>G115/$G$171</f>
        <v/>
      </c>
      <c r="I115" s="89">
        <f>ROUND(F115*Прил.10!$D$12,2)</f>
        <v/>
      </c>
      <c r="J115" s="89">
        <f>ROUND(I115*E115,2)</f>
        <v/>
      </c>
    </row>
    <row r="116" hidden="1" outlineLevel="1" ht="14.25" customFormat="1" customHeight="1" s="157">
      <c r="A116" s="186" t="n">
        <v>74</v>
      </c>
      <c r="B116" s="83" t="inlineStr">
        <is>
          <t>01.3.02.09-0022</t>
        </is>
      </c>
      <c r="C116" s="191" t="inlineStr">
        <is>
          <t>Пропан-бутан смесь техническая</t>
        </is>
      </c>
      <c r="D116" s="186" t="inlineStr">
        <is>
          <t>кг</t>
        </is>
      </c>
      <c r="E116" s="231" t="n">
        <v>16.185216</v>
      </c>
      <c r="F116" s="205" t="n">
        <v>6.09</v>
      </c>
      <c r="G116" s="89">
        <f>ROUND(F116*E116,2)</f>
        <v/>
      </c>
      <c r="H116" s="201">
        <f>G116/$G$171</f>
        <v/>
      </c>
      <c r="I116" s="89">
        <f>ROUND(F116*Прил.10!$D$12,2)</f>
        <v/>
      </c>
      <c r="J116" s="89">
        <f>ROUND(I116*E116,2)</f>
        <v/>
      </c>
    </row>
    <row r="117" hidden="1" outlineLevel="1" ht="14.25" customFormat="1" customHeight="1" s="157">
      <c r="A117" s="186" t="n">
        <v>75</v>
      </c>
      <c r="B117" s="83" t="inlineStr">
        <is>
          <t>Прайс из СД  ОП</t>
        </is>
      </c>
      <c r="C117" s="191" t="inlineStr">
        <is>
          <t>Зажим кабельный PG29</t>
        </is>
      </c>
      <c r="D117" s="186" t="inlineStr">
        <is>
          <t>шт</t>
        </is>
      </c>
      <c r="E117" s="231" t="n">
        <v>8</v>
      </c>
      <c r="F117" s="205" t="n">
        <v>10.67</v>
      </c>
      <c r="G117" s="89">
        <f>ROUND(F117*E117,2)</f>
        <v/>
      </c>
      <c r="H117" s="201">
        <f>G117/$G$171</f>
        <v/>
      </c>
      <c r="I117" s="89">
        <f>ROUND(F117*Прил.10!$D$12,2)</f>
        <v/>
      </c>
      <c r="J117" s="89">
        <f>ROUND(I117*E117,2)</f>
        <v/>
      </c>
    </row>
    <row r="118" hidden="1" outlineLevel="1" ht="38.25" customFormat="1" customHeight="1" s="157">
      <c r="A118" s="186" t="n">
        <v>76</v>
      </c>
      <c r="B118" s="83" t="inlineStr">
        <is>
          <t>21.2.01.02-0141</t>
        </is>
      </c>
      <c r="C118" s="191" t="inlineStr">
        <is>
          <t>Провод неизолированный для воздушных линий электропередачи медные, марка М, сечение 4 мм2</t>
        </is>
      </c>
      <c r="D118" s="186" t="inlineStr">
        <is>
          <t>т</t>
        </is>
      </c>
      <c r="E118" s="231" t="n">
        <v>0.00088</v>
      </c>
      <c r="F118" s="205" t="n">
        <v>96440</v>
      </c>
      <c r="G118" s="89">
        <f>ROUND(F118*E118,2)</f>
        <v/>
      </c>
      <c r="H118" s="201">
        <f>G118/$G$171</f>
        <v/>
      </c>
      <c r="I118" s="89">
        <f>ROUND(F118*Прил.10!$D$12,2)</f>
        <v/>
      </c>
      <c r="J118" s="89">
        <f>ROUND(I118*E118,2)</f>
        <v/>
      </c>
    </row>
    <row r="119" hidden="1" outlineLevel="1" ht="14.25" customFormat="1" customHeight="1" s="157">
      <c r="A119" s="186" t="n">
        <v>77</v>
      </c>
      <c r="B119" s="83" t="inlineStr">
        <is>
          <t>25.2.01.01-0001</t>
        </is>
      </c>
      <c r="C119" s="191" t="inlineStr">
        <is>
          <t>Бирки-оконцеватели</t>
        </is>
      </c>
      <c r="D119" s="186" t="inlineStr">
        <is>
          <t>100 шт</t>
        </is>
      </c>
      <c r="E119" s="231" t="n">
        <v>1.2852</v>
      </c>
      <c r="F119" s="205" t="n">
        <v>63</v>
      </c>
      <c r="G119" s="89">
        <f>ROUND(F119*E119,2)</f>
        <v/>
      </c>
      <c r="H119" s="201">
        <f>G119/$G$171</f>
        <v/>
      </c>
      <c r="I119" s="89">
        <f>ROUND(F119*Прил.10!$D$12,2)</f>
        <v/>
      </c>
      <c r="J119" s="89">
        <f>ROUND(I119*E119,2)</f>
        <v/>
      </c>
    </row>
    <row r="120" hidden="1" outlineLevel="1" ht="25.5" customFormat="1" customHeight="1" s="157">
      <c r="A120" s="186" t="n">
        <v>78</v>
      </c>
      <c r="B120" s="83" t="inlineStr">
        <is>
          <t>24.3.01.06-0041</t>
        </is>
      </c>
      <c r="C120" s="191" t="inlineStr">
        <is>
          <t>Трубы ПВХ, номинальный внутренний диаметр 16 мм</t>
        </is>
      </c>
      <c r="D120" s="186" t="inlineStr">
        <is>
          <t>м</t>
        </is>
      </c>
      <c r="E120" s="231" t="n">
        <v>30.36</v>
      </c>
      <c r="F120" s="205" t="n">
        <v>2.15</v>
      </c>
      <c r="G120" s="89">
        <f>ROUND(F120*E120,2)</f>
        <v/>
      </c>
      <c r="H120" s="201">
        <f>G120/$G$171</f>
        <v/>
      </c>
      <c r="I120" s="89">
        <f>ROUND(F120*Прил.10!$D$12,2)</f>
        <v/>
      </c>
      <c r="J120" s="89">
        <f>ROUND(I120*E120,2)</f>
        <v/>
      </c>
    </row>
    <row r="121" hidden="1" outlineLevel="1" ht="14.25" customFormat="1" customHeight="1" s="157">
      <c r="A121" s="186" t="n">
        <v>79</v>
      </c>
      <c r="B121" s="83" t="inlineStr">
        <is>
          <t>Прайс из СД  ОП</t>
        </is>
      </c>
      <c r="C121" s="191" t="inlineStr">
        <is>
          <t>Зажим кабельный PG16</t>
        </is>
      </c>
      <c r="D121" s="186" t="inlineStr">
        <is>
          <t>шт</t>
        </is>
      </c>
      <c r="E121" s="231" t="n">
        <v>14</v>
      </c>
      <c r="F121" s="205" t="n">
        <v>4.62</v>
      </c>
      <c r="G121" s="89">
        <f>ROUND(F121*E121,2)</f>
        <v/>
      </c>
      <c r="H121" s="201">
        <f>G121/$G$171</f>
        <v/>
      </c>
      <c r="I121" s="89">
        <f>ROUND(F121*Прил.10!$D$12,2)</f>
        <v/>
      </c>
      <c r="J121" s="89">
        <f>ROUND(I121*E121,2)</f>
        <v/>
      </c>
    </row>
    <row r="122" hidden="1" outlineLevel="1" ht="25.5" customFormat="1" customHeight="1" s="157">
      <c r="A122" s="186" t="n">
        <v>80</v>
      </c>
      <c r="B122" s="83" t="inlineStr">
        <is>
          <t>10.3.02.03-0012</t>
        </is>
      </c>
      <c r="C122" s="191" t="inlineStr">
        <is>
          <t>Припои оловянно-свинцовые бессурьмянистые, марка ПОС40</t>
        </is>
      </c>
      <c r="D122" s="186" t="inlineStr">
        <is>
          <t>т</t>
        </is>
      </c>
      <c r="E122" s="231" t="n">
        <v>0.00096</v>
      </c>
      <c r="F122" s="205" t="n">
        <v>65750</v>
      </c>
      <c r="G122" s="89">
        <f>ROUND(F122*E122,2)</f>
        <v/>
      </c>
      <c r="H122" s="201">
        <f>G122/$G$171</f>
        <v/>
      </c>
      <c r="I122" s="89">
        <f>ROUND(F122*Прил.10!$D$12,2)</f>
        <v/>
      </c>
      <c r="J122" s="89">
        <f>ROUND(I122*E122,2)</f>
        <v/>
      </c>
    </row>
    <row r="123" hidden="1" outlineLevel="1" ht="25.5" customFormat="1" customHeight="1" s="157">
      <c r="A123" s="186" t="n">
        <v>81</v>
      </c>
      <c r="B123" s="83" t="inlineStr">
        <is>
          <t>01.7.11.07-0034</t>
        </is>
      </c>
      <c r="C123" s="191" t="inlineStr">
        <is>
          <t>Электроды сварочные Э42А, диаметр 4 мм</t>
        </is>
      </c>
      <c r="D123" s="186" t="inlineStr">
        <is>
          <t>кг</t>
        </is>
      </c>
      <c r="E123" s="231" t="n">
        <v>5.948889</v>
      </c>
      <c r="F123" s="205" t="n">
        <v>10.57</v>
      </c>
      <c r="G123" s="89">
        <f>ROUND(F123*E123,2)</f>
        <v/>
      </c>
      <c r="H123" s="201">
        <f>G123/$G$171</f>
        <v/>
      </c>
      <c r="I123" s="89">
        <f>ROUND(F123*Прил.10!$D$12,2)</f>
        <v/>
      </c>
      <c r="J123" s="89">
        <f>ROUND(I123*E123,2)</f>
        <v/>
      </c>
    </row>
    <row r="124" hidden="1" outlineLevel="1" ht="38.25" customFormat="1" customHeight="1" s="157">
      <c r="A124" s="186" t="n">
        <v>82</v>
      </c>
      <c r="B124" s="83" t="inlineStr">
        <is>
          <t>11.1.03.06-0087</t>
        </is>
      </c>
      <c r="C124" s="191" t="inlineStr">
        <is>
          <t>Доска обрезная, хвойных пород, ширина 75-150 мм, толщина 25 мм, длина 4-6,5 м, сорт III</t>
        </is>
      </c>
      <c r="D124" s="186" t="inlineStr">
        <is>
          <t>м3</t>
        </is>
      </c>
      <c r="E124" s="231" t="n">
        <v>0.0512</v>
      </c>
      <c r="F124" s="205" t="n">
        <v>1100</v>
      </c>
      <c r="G124" s="89">
        <f>ROUND(F124*E124,2)</f>
        <v/>
      </c>
      <c r="H124" s="201">
        <f>G124/$G$171</f>
        <v/>
      </c>
      <c r="I124" s="89">
        <f>ROUND(F124*Прил.10!$D$12,2)</f>
        <v/>
      </c>
      <c r="J124" s="89">
        <f>ROUND(I124*E124,2)</f>
        <v/>
      </c>
    </row>
    <row r="125" hidden="1" outlineLevel="1" ht="14.25" customFormat="1" customHeight="1" s="157">
      <c r="A125" s="186" t="n">
        <v>83</v>
      </c>
      <c r="B125" s="83" t="inlineStr">
        <is>
          <t>20.1.01.14-0001</t>
        </is>
      </c>
      <c r="C125" s="191" t="inlineStr">
        <is>
          <t>Зажим для троса, диаметр 6,7 мм</t>
        </is>
      </c>
      <c r="D125" s="186" t="inlineStr">
        <is>
          <t>шт</t>
        </is>
      </c>
      <c r="E125" s="231" t="n">
        <v>2</v>
      </c>
      <c r="F125" s="205" t="n">
        <v>27.59</v>
      </c>
      <c r="G125" s="89">
        <f>ROUND(F125*E125,2)</f>
        <v/>
      </c>
      <c r="H125" s="201">
        <f>G125/$G$171</f>
        <v/>
      </c>
      <c r="I125" s="89">
        <f>ROUND(F125*Прил.10!$D$12,2)</f>
        <v/>
      </c>
      <c r="J125" s="89">
        <f>ROUND(I125*E125,2)</f>
        <v/>
      </c>
    </row>
    <row r="126" hidden="1" outlineLevel="1" ht="14.25" customFormat="1" customHeight="1" s="157">
      <c r="A126" s="186" t="n">
        <v>84</v>
      </c>
      <c r="B126" s="83" t="inlineStr">
        <is>
          <t>14.4.02.09-0001</t>
        </is>
      </c>
      <c r="C126" s="191" t="inlineStr">
        <is>
          <t>Краска</t>
        </is>
      </c>
      <c r="D126" s="186" t="inlineStr">
        <is>
          <t>кг</t>
        </is>
      </c>
      <c r="E126" s="231" t="n">
        <v>1.653</v>
      </c>
      <c r="F126" s="205" t="n">
        <v>28.6</v>
      </c>
      <c r="G126" s="89">
        <f>ROUND(F126*E126,2)</f>
        <v/>
      </c>
      <c r="H126" s="201">
        <f>G126/$G$171</f>
        <v/>
      </c>
      <c r="I126" s="89">
        <f>ROUND(F126*Прил.10!$D$12,2)</f>
        <v/>
      </c>
      <c r="J126" s="89">
        <f>ROUND(I126*E126,2)</f>
        <v/>
      </c>
    </row>
    <row r="127" hidden="1" outlineLevel="1" ht="25.5" customFormat="1" customHeight="1" s="157">
      <c r="A127" s="186" t="n">
        <v>85</v>
      </c>
      <c r="B127" s="83" t="inlineStr">
        <is>
          <t>08.3.03.06-0002</t>
        </is>
      </c>
      <c r="C127" s="191" t="inlineStr">
        <is>
          <t>Проволока горячекатаная в мотках, диаметр 6,3-6,5 мм</t>
        </is>
      </c>
      <c r="D127" s="186" t="inlineStr">
        <is>
          <t>т</t>
        </is>
      </c>
      <c r="E127" s="231" t="n">
        <v>0.010249</v>
      </c>
      <c r="F127" s="205" t="n">
        <v>4455.2</v>
      </c>
      <c r="G127" s="89">
        <f>ROUND(F127*E127,2)</f>
        <v/>
      </c>
      <c r="H127" s="201">
        <f>G127/$G$171</f>
        <v/>
      </c>
      <c r="I127" s="89">
        <f>ROUND(F127*Прил.10!$D$12,2)</f>
        <v/>
      </c>
      <c r="J127" s="89">
        <f>ROUND(I127*E127,2)</f>
        <v/>
      </c>
    </row>
    <row r="128" hidden="1" outlineLevel="1" ht="38.25" customFormat="1" customHeight="1" s="157">
      <c r="A128" s="186" t="n">
        <v>86</v>
      </c>
      <c r="B128" s="83" t="inlineStr">
        <is>
          <t>01.7.06.05-0042</t>
        </is>
      </c>
      <c r="C128" s="191" t="inlineStr">
        <is>
          <t>Лента липкая изоляционная на поликасиновом компаунде, ширина 20-30 мм, толщина от 0,14 до 0,19 мм</t>
        </is>
      </c>
      <c r="D128" s="186" t="inlineStr">
        <is>
          <t>кг</t>
        </is>
      </c>
      <c r="E128" s="231" t="n">
        <v>0.48</v>
      </c>
      <c r="F128" s="205" t="n">
        <v>91.29000000000001</v>
      </c>
      <c r="G128" s="89">
        <f>ROUND(F128*E128,2)</f>
        <v/>
      </c>
      <c r="H128" s="201">
        <f>G128/$G$171</f>
        <v/>
      </c>
      <c r="I128" s="89">
        <f>ROUND(F128*Прил.10!$D$12,2)</f>
        <v/>
      </c>
      <c r="J128" s="89">
        <f>ROUND(I128*E128,2)</f>
        <v/>
      </c>
    </row>
    <row r="129" hidden="1" outlineLevel="1" ht="25.5" customFormat="1" customHeight="1" s="157">
      <c r="A129" s="186" t="n">
        <v>87</v>
      </c>
      <c r="B129" s="83" t="inlineStr">
        <is>
          <t>07.2.07.04-0007</t>
        </is>
      </c>
      <c r="C129" s="191" t="inlineStr">
        <is>
          <t>Конструкции стальные индивидуальные решетчатые сварные, масса до 0,1 т</t>
        </is>
      </c>
      <c r="D129" s="186" t="inlineStr">
        <is>
          <t>т</t>
        </is>
      </c>
      <c r="E129" s="231" t="n">
        <v>0.00377</v>
      </c>
      <c r="F129" s="205" t="n">
        <v>11500</v>
      </c>
      <c r="G129" s="89">
        <f>ROUND(F129*E129,2)</f>
        <v/>
      </c>
      <c r="H129" s="201">
        <f>G129/$G$171</f>
        <v/>
      </c>
      <c r="I129" s="89">
        <f>ROUND(F129*Прил.10!$D$12,2)</f>
        <v/>
      </c>
      <c r="J129" s="89">
        <f>ROUND(I129*E129,2)</f>
        <v/>
      </c>
    </row>
    <row r="130" hidden="1" outlineLevel="1" ht="38.25" customFormat="1" customHeight="1" s="157">
      <c r="A130" s="186" t="n">
        <v>88</v>
      </c>
      <c r="B130" s="83" t="inlineStr">
        <is>
          <t>08.3.07.01-0076</t>
        </is>
      </c>
      <c r="C130" s="191" t="inlineStr">
        <is>
          <t>Прокат полосовой, горячекатаный, марка стали Ст3сп, ширина 50-200 мм, толщина 4-5 мм</t>
        </is>
      </c>
      <c r="D130" s="186" t="inlineStr">
        <is>
          <t>т</t>
        </is>
      </c>
      <c r="E130" s="231" t="n">
        <v>0.008567999999999999</v>
      </c>
      <c r="F130" s="205" t="n">
        <v>5000</v>
      </c>
      <c r="G130" s="89">
        <f>ROUND(F130*E130,2)</f>
        <v/>
      </c>
      <c r="H130" s="201">
        <f>G130/$G$171</f>
        <v/>
      </c>
      <c r="I130" s="89">
        <f>ROUND(F130*Прил.10!$D$12,2)</f>
        <v/>
      </c>
      <c r="J130" s="89">
        <f>ROUND(I130*E130,2)</f>
        <v/>
      </c>
    </row>
    <row r="131" hidden="1" outlineLevel="1" ht="14.25" customFormat="1" customHeight="1" s="157">
      <c r="A131" s="186" t="n">
        <v>89</v>
      </c>
      <c r="B131" s="83" t="inlineStr">
        <is>
          <t>20.1.02.06-0001</t>
        </is>
      </c>
      <c r="C131" s="191" t="inlineStr">
        <is>
          <t>Жир паяльный</t>
        </is>
      </c>
      <c r="D131" s="186" t="inlineStr">
        <is>
          <t>кг</t>
        </is>
      </c>
      <c r="E131" s="231" t="n">
        <v>0.36</v>
      </c>
      <c r="F131" s="205" t="n">
        <v>100.8</v>
      </c>
      <c r="G131" s="89">
        <f>ROUND(F131*E131,2)</f>
        <v/>
      </c>
      <c r="H131" s="201">
        <f>G131/$G$171</f>
        <v/>
      </c>
      <c r="I131" s="89">
        <f>ROUND(F131*Прил.10!$D$12,2)</f>
        <v/>
      </c>
      <c r="J131" s="89">
        <f>ROUND(I131*E131,2)</f>
        <v/>
      </c>
    </row>
    <row r="132" hidden="1" outlineLevel="1" ht="14.25" customFormat="1" customHeight="1" s="157">
      <c r="A132" s="186" t="n">
        <v>90</v>
      </c>
      <c r="B132" s="83" t="inlineStr">
        <is>
          <t>14.4.03.17-0011</t>
        </is>
      </c>
      <c r="C132" s="191" t="inlineStr">
        <is>
          <t>Лак электроизоляционный 318</t>
        </is>
      </c>
      <c r="D132" s="186" t="inlineStr">
        <is>
          <t>кг</t>
        </is>
      </c>
      <c r="E132" s="231" t="n">
        <v>0.96</v>
      </c>
      <c r="F132" s="205" t="n">
        <v>35.63</v>
      </c>
      <c r="G132" s="89">
        <f>ROUND(F132*E132,2)</f>
        <v/>
      </c>
      <c r="H132" s="201">
        <f>G132/$G$171</f>
        <v/>
      </c>
      <c r="I132" s="89">
        <f>ROUND(F132*Прил.10!$D$12,2)</f>
        <v/>
      </c>
      <c r="J132" s="89">
        <f>ROUND(I132*E132,2)</f>
        <v/>
      </c>
    </row>
    <row r="133" hidden="1" outlineLevel="1" ht="14.25" customFormat="1" customHeight="1" s="157">
      <c r="A133" s="186" t="n">
        <v>91</v>
      </c>
      <c r="B133" s="83" t="inlineStr">
        <is>
          <t>22.2.02.11-0051</t>
        </is>
      </c>
      <c r="C133" s="191" t="inlineStr">
        <is>
          <t>Гайки установочные заземляющие</t>
        </is>
      </c>
      <c r="D133" s="186" t="inlineStr">
        <is>
          <t>100 шт</t>
        </is>
      </c>
      <c r="E133" s="231" t="n">
        <v>0.3765</v>
      </c>
      <c r="F133" s="205" t="n">
        <v>88.5</v>
      </c>
      <c r="G133" s="89">
        <f>ROUND(F133*E133,2)</f>
        <v/>
      </c>
      <c r="H133" s="201">
        <f>G133/$G$171</f>
        <v/>
      </c>
      <c r="I133" s="89">
        <f>ROUND(F133*Прил.10!$D$12,2)</f>
        <v/>
      </c>
      <c r="J133" s="89">
        <f>ROUND(I133*E133,2)</f>
        <v/>
      </c>
    </row>
    <row r="134" hidden="1" outlineLevel="1" ht="14.25" customFormat="1" customHeight="1" s="157">
      <c r="A134" s="186" t="n">
        <v>92</v>
      </c>
      <c r="B134" s="83" t="inlineStr">
        <is>
          <t>20.1.02.23-0082</t>
        </is>
      </c>
      <c r="C134" s="191" t="inlineStr">
        <is>
          <t>Перемычки гибкие, тип ПГС-50</t>
        </is>
      </c>
      <c r="D134" s="186" t="inlineStr">
        <is>
          <t>10 шт</t>
        </is>
      </c>
      <c r="E134" s="231" t="n">
        <v>0.82</v>
      </c>
      <c r="F134" s="205" t="n">
        <v>39</v>
      </c>
      <c r="G134" s="89">
        <f>ROUND(F134*E134,2)</f>
        <v/>
      </c>
      <c r="H134" s="201">
        <f>G134/$G$171</f>
        <v/>
      </c>
      <c r="I134" s="89">
        <f>ROUND(F134*Прил.10!$D$12,2)</f>
        <v/>
      </c>
      <c r="J134" s="89">
        <f>ROUND(I134*E134,2)</f>
        <v/>
      </c>
    </row>
    <row r="135" hidden="1" outlineLevel="1" ht="14.25" customFormat="1" customHeight="1" s="157">
      <c r="A135" s="186" t="n">
        <v>93</v>
      </c>
      <c r="B135" s="83" t="inlineStr">
        <is>
          <t>01.3.02.03-0001</t>
        </is>
      </c>
      <c r="C135" s="191" t="inlineStr">
        <is>
          <t>Ацетилен газообразный технический</t>
        </is>
      </c>
      <c r="D135" s="186" t="inlineStr">
        <is>
          <t>м3</t>
        </is>
      </c>
      <c r="E135" s="231" t="n">
        <v>0.82</v>
      </c>
      <c r="F135" s="205" t="n">
        <v>38.51</v>
      </c>
      <c r="G135" s="89">
        <f>ROUND(F135*E135,2)</f>
        <v/>
      </c>
      <c r="H135" s="201">
        <f>G135/$G$171</f>
        <v/>
      </c>
      <c r="I135" s="89">
        <f>ROUND(F135*Прил.10!$D$12,2)</f>
        <v/>
      </c>
      <c r="J135" s="89">
        <f>ROUND(I135*E135,2)</f>
        <v/>
      </c>
    </row>
    <row r="136" hidden="1" outlineLevel="1" ht="14.25" customFormat="1" customHeight="1" s="157">
      <c r="A136" s="186" t="n">
        <v>94</v>
      </c>
      <c r="B136" s="83" t="inlineStr">
        <is>
          <t>20.2.02.02-0011</t>
        </is>
      </c>
      <c r="C136" s="191" t="inlineStr">
        <is>
          <t>Заглушки</t>
        </is>
      </c>
      <c r="D136" s="186" t="inlineStr">
        <is>
          <t>10 шт</t>
        </is>
      </c>
      <c r="E136" s="231" t="n">
        <v>1.3566</v>
      </c>
      <c r="F136" s="205" t="n">
        <v>19.9</v>
      </c>
      <c r="G136" s="89">
        <f>ROUND(F136*E136,2)</f>
        <v/>
      </c>
      <c r="H136" s="201">
        <f>G136/$G$171</f>
        <v/>
      </c>
      <c r="I136" s="89">
        <f>ROUND(F136*Прил.10!$D$12,2)</f>
        <v/>
      </c>
      <c r="J136" s="89">
        <f>ROUND(I136*E136,2)</f>
        <v/>
      </c>
    </row>
    <row r="137" hidden="1" outlineLevel="1" ht="38.25" customFormat="1" customHeight="1" s="157">
      <c r="A137" s="186" t="n">
        <v>95</v>
      </c>
      <c r="B137" s="83" t="inlineStr">
        <is>
          <t>11.1.03.01-0079</t>
        </is>
      </c>
      <c r="C137" s="191" t="inlineStr">
        <is>
          <t>Бруски обрезные, хвойных пород, длина 4-6,5 м, ширина 75-150 мм, толщина 40-75 мм, сорт III</t>
        </is>
      </c>
      <c r="D137" s="186" t="inlineStr">
        <is>
          <t>м3</t>
        </is>
      </c>
      <c r="E137" s="231" t="n">
        <v>0.02048</v>
      </c>
      <c r="F137" s="205" t="n">
        <v>1287</v>
      </c>
      <c r="G137" s="89">
        <f>ROUND(F137*E137,2)</f>
        <v/>
      </c>
      <c r="H137" s="201">
        <f>G137/$G$171</f>
        <v/>
      </c>
      <c r="I137" s="89">
        <f>ROUND(F137*Прил.10!$D$12,2)</f>
        <v/>
      </c>
      <c r="J137" s="89">
        <f>ROUND(I137*E137,2)</f>
        <v/>
      </c>
    </row>
    <row r="138" hidden="1" outlineLevel="1" ht="14.25" customFormat="1" customHeight="1" s="157">
      <c r="A138" s="186" t="n">
        <v>96</v>
      </c>
      <c r="B138" s="83" t="inlineStr">
        <is>
          <t>14.4.03.03-0002</t>
        </is>
      </c>
      <c r="C138" s="191" t="inlineStr">
        <is>
          <t>Лак битумный БТ-123</t>
        </is>
      </c>
      <c r="D138" s="186" t="inlineStr">
        <is>
          <t>т</t>
        </is>
      </c>
      <c r="E138" s="231" t="n">
        <v>0.002475</v>
      </c>
      <c r="F138" s="205" t="n">
        <v>7826.9</v>
      </c>
      <c r="G138" s="89">
        <f>ROUND(F138*E138,2)</f>
        <v/>
      </c>
      <c r="H138" s="201">
        <f>G138/$G$171</f>
        <v/>
      </c>
      <c r="I138" s="89">
        <f>ROUND(F138*Прил.10!$D$12,2)</f>
        <v/>
      </c>
      <c r="J138" s="89">
        <f>ROUND(I138*E138,2)</f>
        <v/>
      </c>
    </row>
    <row r="139" hidden="1" outlineLevel="1" ht="14.25" customFormat="1" customHeight="1" s="157">
      <c r="A139" s="186" t="n">
        <v>97</v>
      </c>
      <c r="B139" s="83" t="inlineStr">
        <is>
          <t>01.7.06.11-0021</t>
        </is>
      </c>
      <c r="C139" s="191" t="inlineStr">
        <is>
          <t>Лента ФУМ</t>
        </is>
      </c>
      <c r="D139" s="186" t="inlineStr">
        <is>
          <t>кг</t>
        </is>
      </c>
      <c r="E139" s="231" t="n">
        <v>0.04254</v>
      </c>
      <c r="F139" s="205" t="n">
        <v>444</v>
      </c>
      <c r="G139" s="89">
        <f>ROUND(F139*E139,2)</f>
        <v/>
      </c>
      <c r="H139" s="201">
        <f>G139/$G$171</f>
        <v/>
      </c>
      <c r="I139" s="89">
        <f>ROUND(F139*Прил.10!$D$12,2)</f>
        <v/>
      </c>
      <c r="J139" s="89">
        <f>ROUND(I139*E139,2)</f>
        <v/>
      </c>
    </row>
    <row r="140" hidden="1" outlineLevel="1" ht="38.25" customFormat="1" customHeight="1" s="157">
      <c r="A140" s="186" t="n">
        <v>98</v>
      </c>
      <c r="B140" s="83" t="inlineStr">
        <is>
          <t>01.7.06.05-0041</t>
        </is>
      </c>
      <c r="C140" s="191" t="inlineStr">
        <is>
          <t>Лента изоляционная прорезиненная односторонняя, ширина 20 мм, толщина 0,25-0,35 мм</t>
        </is>
      </c>
      <c r="D140" s="186" t="inlineStr">
        <is>
          <t>кг</t>
        </is>
      </c>
      <c r="E140" s="231" t="n">
        <v>0.512</v>
      </c>
      <c r="F140" s="205" t="n">
        <v>30.4</v>
      </c>
      <c r="G140" s="89">
        <f>ROUND(F140*E140,2)</f>
        <v/>
      </c>
      <c r="H140" s="201">
        <f>G140/$G$171</f>
        <v/>
      </c>
      <c r="I140" s="89">
        <f>ROUND(F140*Прил.10!$D$12,2)</f>
        <v/>
      </c>
      <c r="J140" s="89">
        <f>ROUND(I140*E140,2)</f>
        <v/>
      </c>
    </row>
    <row r="141" hidden="1" outlineLevel="1" ht="14.25" customFormat="1" customHeight="1" s="157">
      <c r="A141" s="186" t="n">
        <v>99</v>
      </c>
      <c r="B141" s="83" t="inlineStr">
        <is>
          <t>01.3.02.08-0001</t>
        </is>
      </c>
      <c r="C141" s="191" t="inlineStr">
        <is>
          <t>Кислород газообразный технический</t>
        </is>
      </c>
      <c r="D141" s="186" t="inlineStr">
        <is>
          <t>м3</t>
        </is>
      </c>
      <c r="E141" s="231" t="n">
        <v>2.044053</v>
      </c>
      <c r="F141" s="205" t="n">
        <v>6.22</v>
      </c>
      <c r="G141" s="89">
        <f>ROUND(F141*E141,2)</f>
        <v/>
      </c>
      <c r="H141" s="201">
        <f>G141/$G$171</f>
        <v/>
      </c>
      <c r="I141" s="89">
        <f>ROUND(F141*Прил.10!$D$12,2)</f>
        <v/>
      </c>
      <c r="J141" s="89">
        <f>ROUND(I141*E141,2)</f>
        <v/>
      </c>
    </row>
    <row r="142" hidden="1" outlineLevel="1" ht="14.25" customFormat="1" customHeight="1" s="157">
      <c r="A142" s="186" t="n">
        <v>100</v>
      </c>
      <c r="B142" s="83" t="inlineStr">
        <is>
          <t>27.2.03.01-0021</t>
        </is>
      </c>
      <c r="C142" s="191" t="inlineStr">
        <is>
          <t>Крюк</t>
        </is>
      </c>
      <c r="D142" s="186" t="inlineStr">
        <is>
          <t>шт</t>
        </is>
      </c>
      <c r="E142" s="231" t="n">
        <v>1</v>
      </c>
      <c r="F142" s="205" t="n">
        <v>10.24</v>
      </c>
      <c r="G142" s="89">
        <f>ROUND(F142*E142,2)</f>
        <v/>
      </c>
      <c r="H142" s="201">
        <f>G142/$G$171</f>
        <v/>
      </c>
      <c r="I142" s="89">
        <f>ROUND(F142*Прил.10!$D$12,2)</f>
        <v/>
      </c>
      <c r="J142" s="89">
        <f>ROUND(I142*E142,2)</f>
        <v/>
      </c>
    </row>
    <row r="143" hidden="1" outlineLevel="1" ht="14.25" customFormat="1" customHeight="1" s="157">
      <c r="A143" s="186" t="n">
        <v>101</v>
      </c>
      <c r="B143" s="83" t="inlineStr">
        <is>
          <t>01.3.01.05-0009</t>
        </is>
      </c>
      <c r="C143" s="191" t="inlineStr">
        <is>
          <t>Парафин нефтяной твердый Т-1</t>
        </is>
      </c>
      <c r="D143" s="186" t="inlineStr">
        <is>
          <t>т</t>
        </is>
      </c>
      <c r="E143" s="231" t="n">
        <v>0.00124</v>
      </c>
      <c r="F143" s="205" t="n">
        <v>8105.71</v>
      </c>
      <c r="G143" s="89">
        <f>ROUND(F143*E143,2)</f>
        <v/>
      </c>
      <c r="H143" s="201">
        <f>G143/$G$171</f>
        <v/>
      </c>
      <c r="I143" s="89">
        <f>ROUND(F143*Прил.10!$D$12,2)</f>
        <v/>
      </c>
      <c r="J143" s="89">
        <f>ROUND(I143*E143,2)</f>
        <v/>
      </c>
    </row>
    <row r="144" hidden="1" outlineLevel="1" ht="14.25" customFormat="1" customHeight="1" s="157">
      <c r="A144" s="186" t="n">
        <v>102</v>
      </c>
      <c r="B144" s="83" t="inlineStr">
        <is>
          <t>01.7.11.07-0054</t>
        </is>
      </c>
      <c r="C144" s="191" t="inlineStr">
        <is>
          <t>Электроды сварочные Э42, диаметр 6 мм</t>
        </is>
      </c>
      <c r="D144" s="186" t="inlineStr">
        <is>
          <t>т</t>
        </is>
      </c>
      <c r="E144" s="231" t="n">
        <v>0.001024</v>
      </c>
      <c r="F144" s="205" t="n">
        <v>9424</v>
      </c>
      <c r="G144" s="89">
        <f>ROUND(F144*E144,2)</f>
        <v/>
      </c>
      <c r="H144" s="201">
        <f>G144/$G$171</f>
        <v/>
      </c>
      <c r="I144" s="89">
        <f>ROUND(F144*Прил.10!$D$12,2)</f>
        <v/>
      </c>
      <c r="J144" s="89">
        <f>ROUND(I144*E144,2)</f>
        <v/>
      </c>
    </row>
    <row r="145" hidden="1" outlineLevel="1" ht="25.5" customFormat="1" customHeight="1" s="157">
      <c r="A145" s="186" t="n">
        <v>103</v>
      </c>
      <c r="B145" s="83" t="inlineStr">
        <is>
          <t>23.8.03.02-0001</t>
        </is>
      </c>
      <c r="C145" s="191" t="inlineStr">
        <is>
          <t>Клипса для крепежа гофротрубы, номинальный диаметр 16 мм</t>
        </is>
      </c>
      <c r="D145" s="186" t="inlineStr">
        <is>
          <t>10 шт</t>
        </is>
      </c>
      <c r="E145" s="231" t="n">
        <v>5.3</v>
      </c>
      <c r="F145" s="205" t="n">
        <v>1.8</v>
      </c>
      <c r="G145" s="89">
        <f>ROUND(F145*E145,2)</f>
        <v/>
      </c>
      <c r="H145" s="201">
        <f>G145/$G$171</f>
        <v/>
      </c>
      <c r="I145" s="89">
        <f>ROUND(F145*Прил.10!$D$12,2)</f>
        <v/>
      </c>
      <c r="J145" s="89">
        <f>ROUND(I145*E145,2)</f>
        <v/>
      </c>
    </row>
    <row r="146" hidden="1" outlineLevel="1" ht="14.25" customFormat="1" customHeight="1" s="157">
      <c r="A146" s="186" t="n">
        <v>104</v>
      </c>
      <c r="B146" s="83" t="inlineStr">
        <is>
          <t>01.7.07.12-0024</t>
        </is>
      </c>
      <c r="C146" s="191" t="inlineStr">
        <is>
          <t>Пленка полиэтиленовая, толщина 0,15 мм</t>
        </is>
      </c>
      <c r="D146" s="186" t="inlineStr">
        <is>
          <t>м2</t>
        </is>
      </c>
      <c r="E146" s="231" t="n">
        <v>2.5856</v>
      </c>
      <c r="F146" s="205" t="n">
        <v>3.62</v>
      </c>
      <c r="G146" s="89">
        <f>ROUND(F146*E146,2)</f>
        <v/>
      </c>
      <c r="H146" s="201">
        <f>G146/$G$171</f>
        <v/>
      </c>
      <c r="I146" s="89">
        <f>ROUND(F146*Прил.10!$D$12,2)</f>
        <v/>
      </c>
      <c r="J146" s="89">
        <f>ROUND(I146*E146,2)</f>
        <v/>
      </c>
    </row>
    <row r="147" hidden="1" outlineLevel="1" ht="25.5" customFormat="1" customHeight="1" s="157">
      <c r="A147" s="186" t="n">
        <v>105</v>
      </c>
      <c r="B147" s="83" t="inlineStr">
        <is>
          <t>25.2.01.11-0003</t>
        </is>
      </c>
      <c r="C147" s="191" t="inlineStr">
        <is>
          <t>Коуш для медных проводов 10 мм (КС-063)</t>
        </is>
      </c>
      <c r="D147" s="186" t="inlineStr">
        <is>
          <t>100 шт</t>
        </is>
      </c>
      <c r="E147" s="231" t="n">
        <v>0.01</v>
      </c>
      <c r="F147" s="205" t="n">
        <v>900</v>
      </c>
      <c r="G147" s="89">
        <f>ROUND(F147*E147,2)</f>
        <v/>
      </c>
      <c r="H147" s="201">
        <f>G147/$G$171</f>
        <v/>
      </c>
      <c r="I147" s="89">
        <f>ROUND(F147*Прил.10!$D$12,2)</f>
        <v/>
      </c>
      <c r="J147" s="89">
        <f>ROUND(I147*E147,2)</f>
        <v/>
      </c>
    </row>
    <row r="148" hidden="1" outlineLevel="1" ht="14.25" customFormat="1" customHeight="1" s="157">
      <c r="A148" s="186" t="n">
        <v>106</v>
      </c>
      <c r="B148" s="83" t="inlineStr">
        <is>
          <t>14.4.03.17-0101</t>
        </is>
      </c>
      <c r="C148" s="191" t="inlineStr">
        <is>
          <t>Лак канифольный КФ-965</t>
        </is>
      </c>
      <c r="D148" s="186" t="inlineStr">
        <is>
          <t>т</t>
        </is>
      </c>
      <c r="E148" s="231" t="n">
        <v>0.000126</v>
      </c>
      <c r="F148" s="205" t="n">
        <v>70200</v>
      </c>
      <c r="G148" s="89">
        <f>ROUND(F148*E148,2)</f>
        <v/>
      </c>
      <c r="H148" s="201">
        <f>G148/$G$171</f>
        <v/>
      </c>
      <c r="I148" s="89">
        <f>ROUND(F148*Прил.10!$D$12,2)</f>
        <v/>
      </c>
      <c r="J148" s="89">
        <f>ROUND(I148*E148,2)</f>
        <v/>
      </c>
    </row>
    <row r="149" hidden="1" outlineLevel="1" ht="25.5" customFormat="1" customHeight="1" s="157">
      <c r="A149" s="186" t="n">
        <v>107</v>
      </c>
      <c r="B149" s="83" t="inlineStr">
        <is>
          <t>03.1.02.03-0011</t>
        </is>
      </c>
      <c r="C149" s="191" t="inlineStr">
        <is>
          <t>Известь строительная негашеная комовая, сорт I</t>
        </is>
      </c>
      <c r="D149" s="186" t="inlineStr">
        <is>
          <t>т</t>
        </is>
      </c>
      <c r="E149" s="231" t="n">
        <v>0.011776</v>
      </c>
      <c r="F149" s="205" t="n">
        <v>734.5</v>
      </c>
      <c r="G149" s="89">
        <f>ROUND(F149*E149,2)</f>
        <v/>
      </c>
      <c r="H149" s="201">
        <f>G149/$G$171</f>
        <v/>
      </c>
      <c r="I149" s="89">
        <f>ROUND(F149*Прил.10!$D$12,2)</f>
        <v/>
      </c>
      <c r="J149" s="89">
        <f>ROUND(I149*E149,2)</f>
        <v/>
      </c>
    </row>
    <row r="150" hidden="1" outlineLevel="1" ht="14.25" customFormat="1" customHeight="1" s="157">
      <c r="A150" s="186" t="n">
        <v>108</v>
      </c>
      <c r="B150" s="83" t="inlineStr">
        <is>
          <t>01.7.15.14-0165</t>
        </is>
      </c>
      <c r="C150" s="191" t="inlineStr">
        <is>
          <t>Шурупы с полукруглой головкой 4x40 мм</t>
        </is>
      </c>
      <c r="D150" s="186" t="inlineStr">
        <is>
          <t>т</t>
        </is>
      </c>
      <c r="E150" s="231" t="n">
        <v>0.000637</v>
      </c>
      <c r="F150" s="205" t="n">
        <v>12430</v>
      </c>
      <c r="G150" s="89">
        <f>ROUND(F150*E150,2)</f>
        <v/>
      </c>
      <c r="H150" s="201">
        <f>G150/$G$171</f>
        <v/>
      </c>
      <c r="I150" s="89">
        <f>ROUND(F150*Прил.10!$D$12,2)</f>
        <v/>
      </c>
      <c r="J150" s="89">
        <f>ROUND(I150*E150,2)</f>
        <v/>
      </c>
    </row>
    <row r="151" hidden="1" outlineLevel="1" ht="51" customFormat="1" customHeight="1" s="157">
      <c r="A151" s="186" t="n">
        <v>109</v>
      </c>
      <c r="B151" s="83" t="inlineStr">
        <is>
          <t>23.5.02.02-0001</t>
        </is>
      </c>
      <c r="C151" s="191" t="inlineStr">
        <is>
          <t>Трубы стальные электросварные прямошовные из стали марок БСт2кп-БСт4кп и БСт2пс-БСт4пс, наружный диаметр 18 мм, толщина стенки 2,0 мм</t>
        </is>
      </c>
      <c r="D151" s="186" t="inlineStr">
        <is>
          <t>м</t>
        </is>
      </c>
      <c r="E151" s="231" t="n">
        <v>1.03</v>
      </c>
      <c r="F151" s="205" t="n">
        <v>7.24</v>
      </c>
      <c r="G151" s="89">
        <f>ROUND(F151*E151,2)</f>
        <v/>
      </c>
      <c r="H151" s="201">
        <f>G151/$G$171</f>
        <v/>
      </c>
      <c r="I151" s="89">
        <f>ROUND(F151*Прил.10!$D$12,2)</f>
        <v/>
      </c>
      <c r="J151" s="89">
        <f>ROUND(I151*E151,2)</f>
        <v/>
      </c>
    </row>
    <row r="152" hidden="1" outlineLevel="1" ht="14.25" customFormat="1" customHeight="1" s="157">
      <c r="A152" s="186" t="n">
        <v>110</v>
      </c>
      <c r="B152" s="83" t="inlineStr">
        <is>
          <t>01.3.01.02-0002</t>
        </is>
      </c>
      <c r="C152" s="191" t="inlineStr">
        <is>
          <t>Вазелин технический</t>
        </is>
      </c>
      <c r="D152" s="186" t="inlineStr">
        <is>
          <t>кг</t>
        </is>
      </c>
      <c r="E152" s="231" t="n">
        <v>0.126</v>
      </c>
      <c r="F152" s="205" t="n">
        <v>44.97</v>
      </c>
      <c r="G152" s="89">
        <f>ROUND(F152*E152,2)</f>
        <v/>
      </c>
      <c r="H152" s="201">
        <f>G152/$G$171</f>
        <v/>
      </c>
      <c r="I152" s="89">
        <f>ROUND(F152*Прил.10!$D$12,2)</f>
        <v/>
      </c>
      <c r="J152" s="89">
        <f>ROUND(I152*E152,2)</f>
        <v/>
      </c>
    </row>
    <row r="153" hidden="1" outlineLevel="1" ht="14.25" customFormat="1" customHeight="1" s="157">
      <c r="A153" s="186" t="n">
        <v>111</v>
      </c>
      <c r="B153" s="83" t="inlineStr">
        <is>
          <t>01.7.15.07-0152</t>
        </is>
      </c>
      <c r="C153" s="191" t="inlineStr">
        <is>
          <t>Дюбели с шурупом, размер 6x35 мм</t>
        </is>
      </c>
      <c r="D153" s="186" t="inlineStr">
        <is>
          <t>100 шт</t>
        </is>
      </c>
      <c r="E153" s="231" t="n">
        <v>0.525</v>
      </c>
      <c r="F153" s="205" t="n">
        <v>8</v>
      </c>
      <c r="G153" s="89">
        <f>ROUND(F153*E153,2)</f>
        <v/>
      </c>
      <c r="H153" s="201">
        <f>G153/$G$171</f>
        <v/>
      </c>
      <c r="I153" s="89">
        <f>ROUND(F153*Прил.10!$D$12,2)</f>
        <v/>
      </c>
      <c r="J153" s="89">
        <f>ROUND(I153*E153,2)</f>
        <v/>
      </c>
    </row>
    <row r="154" hidden="1" outlineLevel="1" ht="14.25" customFormat="1" customHeight="1" s="157">
      <c r="A154" s="186" t="n">
        <v>112</v>
      </c>
      <c r="B154" s="83" t="inlineStr">
        <is>
          <t>01.7.03.01-0001</t>
        </is>
      </c>
      <c r="C154" s="191" t="inlineStr">
        <is>
          <t>Вода</t>
        </is>
      </c>
      <c r="D154" s="186" t="inlineStr">
        <is>
          <t>м3</t>
        </is>
      </c>
      <c r="E154" s="231" t="n">
        <v>1.651872</v>
      </c>
      <c r="F154" s="205" t="n">
        <v>2.44</v>
      </c>
      <c r="G154" s="89">
        <f>ROUND(F154*E154,2)</f>
        <v/>
      </c>
      <c r="H154" s="201">
        <f>G154/$G$171</f>
        <v/>
      </c>
      <c r="I154" s="89">
        <f>ROUND(F154*Прил.10!$D$12,2)</f>
        <v/>
      </c>
      <c r="J154" s="89">
        <f>ROUND(I154*E154,2)</f>
        <v/>
      </c>
    </row>
    <row r="155" hidden="1" outlineLevel="1" ht="14.25" customFormat="1" customHeight="1" s="157">
      <c r="A155" s="186" t="n">
        <v>113</v>
      </c>
      <c r="B155" s="83" t="inlineStr">
        <is>
          <t>14.5.09.07-0030</t>
        </is>
      </c>
      <c r="C155" s="191" t="inlineStr">
        <is>
          <t>Растворитель Р-4</t>
        </is>
      </c>
      <c r="D155" s="186" t="inlineStr">
        <is>
          <t>кг</t>
        </is>
      </c>
      <c r="E155" s="231" t="n">
        <v>0.340486</v>
      </c>
      <c r="F155" s="205" t="n">
        <v>9.42</v>
      </c>
      <c r="G155" s="89">
        <f>ROUND(F155*E155,2)</f>
        <v/>
      </c>
      <c r="H155" s="201">
        <f>G155/$G$171</f>
        <v/>
      </c>
      <c r="I155" s="89">
        <f>ROUND(F155*Прил.10!$D$12,2)</f>
        <v/>
      </c>
      <c r="J155" s="89">
        <f>ROUND(I155*E155,2)</f>
        <v/>
      </c>
    </row>
    <row r="156" hidden="1" outlineLevel="1" ht="14.25" customFormat="1" customHeight="1" s="157">
      <c r="A156" s="186" t="n">
        <v>114</v>
      </c>
      <c r="B156" s="83" t="inlineStr">
        <is>
          <t>08.3.11.01-0091</t>
        </is>
      </c>
      <c r="C156" s="191" t="inlineStr">
        <is>
          <t>Швеллеры № 40, марка стали Ст0</t>
        </is>
      </c>
      <c r="D156" s="186" t="inlineStr">
        <is>
          <t>т</t>
        </is>
      </c>
      <c r="E156" s="231" t="n">
        <v>0.000603</v>
      </c>
      <c r="F156" s="205" t="n">
        <v>4920</v>
      </c>
      <c r="G156" s="89">
        <f>ROUND(F156*E156,2)</f>
        <v/>
      </c>
      <c r="H156" s="201">
        <f>G156/$G$171</f>
        <v/>
      </c>
      <c r="I156" s="89">
        <f>ROUND(F156*Прил.10!$D$12,2)</f>
        <v/>
      </c>
      <c r="J156" s="89">
        <f>ROUND(I156*E156,2)</f>
        <v/>
      </c>
    </row>
    <row r="157" hidden="1" outlineLevel="1" ht="14.25" customFormat="1" customHeight="1" s="157">
      <c r="A157" s="186" t="n">
        <v>115</v>
      </c>
      <c r="B157" s="83" t="inlineStr">
        <is>
          <t>01.7.03.04-0001</t>
        </is>
      </c>
      <c r="C157" s="191" t="inlineStr">
        <is>
          <t>Электроэнергия</t>
        </is>
      </c>
      <c r="D157" s="186" t="inlineStr">
        <is>
          <t>кВт-ч</t>
        </is>
      </c>
      <c r="E157" s="231" t="n">
        <v>5.76</v>
      </c>
      <c r="F157" s="205" t="n">
        <v>0.4</v>
      </c>
      <c r="G157" s="89">
        <f>ROUND(F157*E157,2)</f>
        <v/>
      </c>
      <c r="H157" s="201">
        <f>G157/$G$171</f>
        <v/>
      </c>
      <c r="I157" s="89">
        <f>ROUND(F157*Прил.10!$D$12,2)</f>
        <v/>
      </c>
      <c r="J157" s="89">
        <f>ROUND(I157*E157,2)</f>
        <v/>
      </c>
    </row>
    <row r="158" hidden="1" outlineLevel="1" ht="14.25" customFormat="1" customHeight="1" s="157">
      <c r="A158" s="186" t="n">
        <v>116</v>
      </c>
      <c r="B158" s="83" t="inlineStr">
        <is>
          <t>01.7.20.04-0005</t>
        </is>
      </c>
      <c r="C158" s="191" t="inlineStr">
        <is>
          <t>Нитки швейные</t>
        </is>
      </c>
      <c r="D158" s="186" t="inlineStr">
        <is>
          <t>кг</t>
        </is>
      </c>
      <c r="E158" s="231" t="n">
        <v>0.0126</v>
      </c>
      <c r="F158" s="205" t="n">
        <v>133.05</v>
      </c>
      <c r="G158" s="89">
        <f>ROUND(F158*E158,2)</f>
        <v/>
      </c>
      <c r="H158" s="201">
        <f>G158/$G$171</f>
        <v/>
      </c>
      <c r="I158" s="89">
        <f>ROUND(F158*Прил.10!$D$12,2)</f>
        <v/>
      </c>
      <c r="J158" s="89">
        <f>ROUND(I158*E158,2)</f>
        <v/>
      </c>
    </row>
    <row r="159" hidden="1" outlineLevel="1" ht="14.25" customFormat="1" customHeight="1" s="157">
      <c r="A159" s="186" t="n">
        <v>117</v>
      </c>
      <c r="B159" s="83" t="inlineStr">
        <is>
          <t>14.4.01.01-0003</t>
        </is>
      </c>
      <c r="C159" s="191" t="inlineStr">
        <is>
          <t>Грунтовка ГФ-021</t>
        </is>
      </c>
      <c r="D159" s="186" t="inlineStr">
        <is>
          <t>т</t>
        </is>
      </c>
      <c r="E159" s="231" t="n">
        <v>9.6e-05</v>
      </c>
      <c r="F159" s="205" t="n">
        <v>15620</v>
      </c>
      <c r="G159" s="89">
        <f>ROUND(F159*E159,2)</f>
        <v/>
      </c>
      <c r="H159" s="201">
        <f>G159/$G$171</f>
        <v/>
      </c>
      <c r="I159" s="89">
        <f>ROUND(F159*Прил.10!$D$12,2)</f>
        <v/>
      </c>
      <c r="J159" s="89">
        <f>ROUND(I159*E159,2)</f>
        <v/>
      </c>
    </row>
    <row r="160" hidden="1" outlineLevel="1" ht="14.25" customFormat="1" customHeight="1" s="157">
      <c r="A160" s="186" t="n">
        <v>118</v>
      </c>
      <c r="B160" s="83" t="inlineStr">
        <is>
          <t>01.7.20.08-0071</t>
        </is>
      </c>
      <c r="C160" s="191" t="inlineStr">
        <is>
          <t>Канат пеньковый пропитанный</t>
        </is>
      </c>
      <c r="D160" s="186" t="inlineStr">
        <is>
          <t>т</t>
        </is>
      </c>
      <c r="E160" s="231" t="n">
        <v>3.1e-05</v>
      </c>
      <c r="F160" s="205" t="n">
        <v>37900</v>
      </c>
      <c r="G160" s="89">
        <f>ROUND(F160*E160,2)</f>
        <v/>
      </c>
      <c r="H160" s="201">
        <f>G160/$G$171</f>
        <v/>
      </c>
      <c r="I160" s="89">
        <f>ROUND(F160*Прил.10!$D$12,2)</f>
        <v/>
      </c>
      <c r="J160" s="89">
        <f>ROUND(I160*E160,2)</f>
        <v/>
      </c>
    </row>
    <row r="161" hidden="1" outlineLevel="1" ht="14.25" customFormat="1" customHeight="1" s="157">
      <c r="A161" s="186" t="n">
        <v>119</v>
      </c>
      <c r="B161" s="83" t="inlineStr">
        <is>
          <t>01.7.15.07-0014</t>
        </is>
      </c>
      <c r="C161" s="191" t="inlineStr">
        <is>
          <t>Дюбели распорные полипропиленовые</t>
        </is>
      </c>
      <c r="D161" s="186" t="inlineStr">
        <is>
          <t>100 шт</t>
        </is>
      </c>
      <c r="E161" s="231" t="n">
        <v>0.008200000000000001</v>
      </c>
      <c r="F161" s="205" t="n">
        <v>86</v>
      </c>
      <c r="G161" s="89">
        <f>ROUND(F161*E161,2)</f>
        <v/>
      </c>
      <c r="H161" s="201">
        <f>G161/$G$171</f>
        <v/>
      </c>
      <c r="I161" s="89">
        <f>ROUND(F161*Прил.10!$D$12,2)</f>
        <v/>
      </c>
      <c r="J161" s="89">
        <f>ROUND(I161*E161,2)</f>
        <v/>
      </c>
    </row>
    <row r="162" hidden="1" outlineLevel="1" ht="14.25" customFormat="1" customHeight="1" s="157">
      <c r="A162" s="186" t="n">
        <v>120</v>
      </c>
      <c r="B162" s="83" t="inlineStr">
        <is>
          <t>01.7.20.08-0051</t>
        </is>
      </c>
      <c r="C162" s="191" t="inlineStr">
        <is>
          <t>Ветошь</t>
        </is>
      </c>
      <c r="D162" s="186" t="inlineStr">
        <is>
          <t>кг</t>
        </is>
      </c>
      <c r="E162" s="231" t="n">
        <v>0.385</v>
      </c>
      <c r="F162" s="205" t="n">
        <v>1.82</v>
      </c>
      <c r="G162" s="89">
        <f>ROUND(F162*E162,2)</f>
        <v/>
      </c>
      <c r="H162" s="201">
        <f>G162/$G$171</f>
        <v/>
      </c>
      <c r="I162" s="89">
        <f>ROUND(F162*Прил.10!$D$12,2)</f>
        <v/>
      </c>
      <c r="J162" s="89">
        <f>ROUND(I162*E162,2)</f>
        <v/>
      </c>
    </row>
    <row r="163" hidden="1" outlineLevel="1" ht="14.25" customFormat="1" customHeight="1" s="157">
      <c r="A163" s="186" t="n">
        <v>121</v>
      </c>
      <c r="B163" s="83" t="inlineStr">
        <is>
          <t>07.2.07.02-0001</t>
        </is>
      </c>
      <c r="C163" s="191" t="inlineStr">
        <is>
          <t>Кондуктор инвентарный металлический</t>
        </is>
      </c>
      <c r="D163" s="186" t="inlineStr">
        <is>
          <t>шт</t>
        </is>
      </c>
      <c r="E163" s="231" t="n">
        <v>0.001856</v>
      </c>
      <c r="F163" s="205" t="n">
        <v>346</v>
      </c>
      <c r="G163" s="89">
        <f>ROUND(F163*E163,2)</f>
        <v/>
      </c>
      <c r="H163" s="201">
        <f>G163/$G$171</f>
        <v/>
      </c>
      <c r="I163" s="89">
        <f>ROUND(F163*Прил.10!$D$12,2)</f>
        <v/>
      </c>
      <c r="J163" s="89">
        <f>ROUND(I163*E163,2)</f>
        <v/>
      </c>
    </row>
    <row r="164" hidden="1" outlineLevel="1" ht="38.25" customFormat="1" customHeight="1" s="157">
      <c r="A164" s="186" t="n">
        <v>122</v>
      </c>
      <c r="B164" s="83" t="inlineStr">
        <is>
          <t>03.2.01.01-0003</t>
        </is>
      </c>
      <c r="C164" s="191" t="inlineStr">
        <is>
          <t>Портландцемент общестроительного назначения бездобавочный М500 Д0 (ЦЕМ I 42,5Н)</t>
        </is>
      </c>
      <c r="D164" s="186" t="inlineStr">
        <is>
          <t>т</t>
        </is>
      </c>
      <c r="E164" s="231" t="n">
        <v>0.000679</v>
      </c>
      <c r="F164" s="205" t="n">
        <v>480</v>
      </c>
      <c r="G164" s="89">
        <f>ROUND(F164*E164,2)</f>
        <v/>
      </c>
      <c r="H164" s="201">
        <f>G164/$G$171</f>
        <v/>
      </c>
      <c r="I164" s="89">
        <f>ROUND(F164*Прил.10!$D$12,2)</f>
        <v/>
      </c>
      <c r="J164" s="89">
        <f>ROUND(I164*E164,2)</f>
        <v/>
      </c>
    </row>
    <row r="165" hidden="1" outlineLevel="1" ht="14.25" customFormat="1" customHeight="1" s="157">
      <c r="A165" s="186" t="n">
        <v>123</v>
      </c>
      <c r="B165" s="83" t="inlineStr">
        <is>
          <t>01.7.15.07-0031</t>
        </is>
      </c>
      <c r="C165" s="191" t="inlineStr">
        <is>
          <t>Дюбели распорные с гайкой</t>
        </is>
      </c>
      <c r="D165" s="186" t="inlineStr">
        <is>
          <t>100 шт</t>
        </is>
      </c>
      <c r="E165" s="231" t="n">
        <v>0.003016</v>
      </c>
      <c r="F165" s="205" t="n">
        <v>110</v>
      </c>
      <c r="G165" s="89">
        <f>ROUND(F165*E165,2)</f>
        <v/>
      </c>
      <c r="H165" s="201">
        <f>G165/$G$171</f>
        <v/>
      </c>
      <c r="I165" s="89">
        <f>ROUND(F165*Прил.10!$D$12,2)</f>
        <v/>
      </c>
      <c r="J165" s="89">
        <f>ROUND(I165*E165,2)</f>
        <v/>
      </c>
    </row>
    <row r="166" hidden="1" outlineLevel="1" ht="51" customFormat="1" customHeight="1" s="157">
      <c r="A166" s="186" t="n">
        <v>124</v>
      </c>
      <c r="B166" s="83" t="inlineStr">
        <is>
          <t>08.2.02.11-0007</t>
        </is>
      </c>
      <c r="C166" s="19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66" s="186" t="inlineStr">
        <is>
          <t>10 м</t>
        </is>
      </c>
      <c r="E166" s="231" t="n">
        <v>0.005812</v>
      </c>
      <c r="F166" s="205" t="n">
        <v>50.24</v>
      </c>
      <c r="G166" s="89">
        <f>ROUND(F166*E166,2)</f>
        <v/>
      </c>
      <c r="H166" s="201">
        <f>G166/$G$171</f>
        <v/>
      </c>
      <c r="I166" s="89">
        <f>ROUND(F166*Прил.10!$D$12,2)</f>
        <v/>
      </c>
      <c r="J166" s="89">
        <f>ROUND(I166*E166,2)</f>
        <v/>
      </c>
    </row>
    <row r="167" hidden="1" outlineLevel="1" ht="14.25" customFormat="1" customHeight="1" s="157">
      <c r="A167" s="186" t="n">
        <v>125</v>
      </c>
      <c r="B167" s="83" t="inlineStr">
        <is>
          <t>01.7.02.09-0002</t>
        </is>
      </c>
      <c r="C167" s="191" t="inlineStr">
        <is>
          <t>Шпагат бумажный</t>
        </is>
      </c>
      <c r="D167" s="186" t="inlineStr">
        <is>
          <t>кг</t>
        </is>
      </c>
      <c r="E167" s="231" t="n">
        <v>0.0252</v>
      </c>
      <c r="F167" s="205" t="n">
        <v>11.5</v>
      </c>
      <c r="G167" s="89">
        <f>ROUND(F167*E167,2)</f>
        <v/>
      </c>
      <c r="H167" s="201">
        <f>G167/$G$171</f>
        <v/>
      </c>
      <c r="I167" s="89">
        <f>ROUND(F167*Прил.10!$D$12,2)</f>
        <v/>
      </c>
      <c r="J167" s="89">
        <f>ROUND(I167*E167,2)</f>
        <v/>
      </c>
    </row>
    <row r="168" hidden="1" outlineLevel="1" ht="38.25" customFormat="1" customHeight="1" s="157">
      <c r="A168" s="186" t="n">
        <v>126</v>
      </c>
      <c r="B168" s="83" t="inlineStr">
        <is>
          <t>11.1.03.01-0077</t>
        </is>
      </c>
      <c r="C168" s="191" t="inlineStr">
        <is>
          <t>Бруски обрезные, хвойных пород, длина 4-6,5 м, ширина 75-150 мм, толщина 40-75 мм, сорт I</t>
        </is>
      </c>
      <c r="D168" s="186" t="inlineStr">
        <is>
          <t>м3</t>
        </is>
      </c>
      <c r="E168" s="231" t="n">
        <v>0.000155</v>
      </c>
      <c r="F168" s="205" t="n">
        <v>1700</v>
      </c>
      <c r="G168" s="89">
        <f>ROUND(F168*E168,2)</f>
        <v/>
      </c>
      <c r="H168" s="201">
        <f>G168/$G$171</f>
        <v/>
      </c>
      <c r="I168" s="89">
        <f>ROUND(F168*Прил.10!$D$12,2)</f>
        <v/>
      </c>
      <c r="J168" s="89">
        <f>ROUND(I168*E168,2)</f>
        <v/>
      </c>
    </row>
    <row r="169" hidden="1" outlineLevel="1" ht="25.5" customFormat="1" customHeight="1" s="157">
      <c r="A169" s="186" t="n">
        <v>127</v>
      </c>
      <c r="B169" s="83" t="inlineStr">
        <is>
          <t>02.3.01.02-1012</t>
        </is>
      </c>
      <c r="C169" s="191" t="inlineStr">
        <is>
          <t>Песок природный II класс, средний, круглые сита</t>
        </is>
      </c>
      <c r="D169" s="186" t="inlineStr">
        <is>
          <t>м3</t>
        </is>
      </c>
      <c r="E169" s="231" t="n">
        <v>0.000566</v>
      </c>
      <c r="F169" s="205" t="n">
        <v>59.99</v>
      </c>
      <c r="G169" s="89">
        <f>ROUND(F169*E169,2)</f>
        <v/>
      </c>
      <c r="H169" s="201">
        <f>G169/$G$171</f>
        <v/>
      </c>
      <c r="I169" s="89">
        <f>ROUND(F169*Прил.10!$D$12,2)</f>
        <v/>
      </c>
      <c r="J169" s="89">
        <f>ROUND(I169*E169,2)</f>
        <v/>
      </c>
    </row>
    <row r="170" collapsed="1" customFormat="1" s="157">
      <c r="A170" s="186" t="n"/>
      <c r="B170" s="186" t="n"/>
      <c r="C170" s="191" t="inlineStr">
        <is>
          <t>Итого прочие материалы</t>
        </is>
      </c>
      <c r="D170" s="186" t="n"/>
      <c r="E170" s="192" t="n"/>
      <c r="F170" s="193" t="n"/>
      <c r="G170" s="89">
        <f>SUM(G77:G169)</f>
        <v/>
      </c>
      <c r="H170" s="201">
        <f>G170/G171</f>
        <v/>
      </c>
      <c r="I170" s="89" t="n"/>
      <c r="J170" s="89">
        <f>SUM(J77:J169)</f>
        <v/>
      </c>
      <c r="L170" s="237" t="n"/>
    </row>
    <row r="171" ht="14.25" customFormat="1" customHeight="1" s="157">
      <c r="A171" s="186" t="n"/>
      <c r="B171" s="186" t="n"/>
      <c r="C171" s="200" t="inlineStr">
        <is>
          <t>Итого по разделу «Материалы»</t>
        </is>
      </c>
      <c r="D171" s="186" t="n"/>
      <c r="E171" s="192" t="n"/>
      <c r="F171" s="193" t="n"/>
      <c r="G171" s="89">
        <f>G76+G170</f>
        <v/>
      </c>
      <c r="H171" s="201" t="n">
        <v>1</v>
      </c>
      <c r="I171" s="193" t="n"/>
      <c r="J171" s="89">
        <f>J76+J170</f>
        <v/>
      </c>
      <c r="K171" s="234" t="n"/>
    </row>
    <row r="172" ht="14.25" customFormat="1" customHeight="1" s="157">
      <c r="A172" s="186" t="n"/>
      <c r="B172" s="186" t="n"/>
      <c r="C172" s="191" t="inlineStr">
        <is>
          <t>ИТОГО ПО РМ</t>
        </is>
      </c>
      <c r="D172" s="186" t="n"/>
      <c r="E172" s="192" t="n"/>
      <c r="F172" s="193" t="n"/>
      <c r="G172" s="89">
        <f>G14+G45+G171</f>
        <v/>
      </c>
      <c r="H172" s="201" t="n"/>
      <c r="I172" s="193" t="n"/>
      <c r="J172" s="89">
        <f>J14+J45+J171</f>
        <v/>
      </c>
    </row>
    <row r="173" ht="14.25" customFormat="1" customHeight="1" s="157">
      <c r="A173" s="186" t="n"/>
      <c r="B173" s="186" t="n"/>
      <c r="C173" s="191" t="inlineStr">
        <is>
          <t>Накладные расходы</t>
        </is>
      </c>
      <c r="D173" s="186" t="inlineStr">
        <is>
          <t>%</t>
        </is>
      </c>
      <c r="E173" s="68" t="n">
        <v>0.66</v>
      </c>
      <c r="F173" s="193" t="n"/>
      <c r="G173" s="89" t="n">
        <v>19187.25</v>
      </c>
      <c r="H173" s="201" t="n"/>
      <c r="I173" s="193" t="n"/>
      <c r="J173" s="89">
        <f>ROUND(E173*(J14+J16),2)</f>
        <v/>
      </c>
      <c r="K173" s="69" t="n"/>
    </row>
    <row r="174" ht="14.25" customFormat="1" customHeight="1" s="157">
      <c r="A174" s="186" t="n"/>
      <c r="B174" s="186" t="n"/>
      <c r="C174" s="191" t="inlineStr">
        <is>
          <t>Сметная прибыль</t>
        </is>
      </c>
      <c r="D174" s="186" t="inlineStr">
        <is>
          <t>%</t>
        </is>
      </c>
      <c r="E174" s="68" t="n">
        <v>0.52</v>
      </c>
      <c r="F174" s="193" t="n"/>
      <c r="G174" s="89" t="n">
        <v>10400.42</v>
      </c>
      <c r="H174" s="201" t="n"/>
      <c r="I174" s="193" t="n"/>
      <c r="J174" s="89">
        <f>ROUND(E174*(J14+J16),2)</f>
        <v/>
      </c>
      <c r="K174" s="69" t="n"/>
    </row>
    <row r="175" ht="14.25" customFormat="1" customHeight="1" s="157">
      <c r="A175" s="186" t="n"/>
      <c r="B175" s="186" t="n"/>
      <c r="C175" s="191" t="inlineStr">
        <is>
          <t>Итого СМР (с НР и СП)</t>
        </is>
      </c>
      <c r="D175" s="186" t="n"/>
      <c r="E175" s="192" t="n"/>
      <c r="F175" s="193" t="n"/>
      <c r="G175" s="89">
        <f>G14+G45+G171+G173+G174</f>
        <v/>
      </c>
      <c r="H175" s="201" t="n"/>
      <c r="I175" s="193" t="n"/>
      <c r="J175" s="89">
        <f>J14+J45+J171+J173+J174</f>
        <v/>
      </c>
      <c r="L175" s="70" t="n"/>
    </row>
    <row r="176" ht="14.25" customFormat="1" customHeight="1" s="157">
      <c r="A176" s="186" t="n"/>
      <c r="B176" s="186" t="n"/>
      <c r="C176" s="191" t="inlineStr">
        <is>
          <t>ВСЕГО СМР + ОБОРУДОВАНИЕ</t>
        </is>
      </c>
      <c r="D176" s="186" t="n"/>
      <c r="E176" s="192" t="n"/>
      <c r="F176" s="193" t="n"/>
      <c r="G176" s="89">
        <f>G175+G52</f>
        <v/>
      </c>
      <c r="H176" s="201" t="n"/>
      <c r="I176" s="193" t="n"/>
      <c r="J176" s="89">
        <f>J175+J52</f>
        <v/>
      </c>
      <c r="L176" s="69" t="n"/>
    </row>
    <row r="177" ht="14.25" customFormat="1" customHeight="1" s="157">
      <c r="A177" s="186" t="n"/>
      <c r="B177" s="186" t="n"/>
      <c r="C177" s="191" t="inlineStr">
        <is>
          <t>ИТОГО ПОКАЗАТЕЛЬ НА ЕД. ИЗМ.</t>
        </is>
      </c>
      <c r="D177" s="186" t="inlineStr">
        <is>
          <t>ед.</t>
        </is>
      </c>
      <c r="E177" s="124">
        <f>'Прил.1 Сравнит табл'!D15</f>
        <v/>
      </c>
      <c r="F177" s="193" t="n"/>
      <c r="G177" s="89">
        <f>G176/E177</f>
        <v/>
      </c>
      <c r="H177" s="201" t="n"/>
      <c r="I177" s="193" t="n"/>
      <c r="J177" s="89">
        <f>J176/E177</f>
        <v/>
      </c>
      <c r="L177" s="230" t="n"/>
    </row>
    <row r="179" ht="14.25" customFormat="1" customHeight="1" s="157">
      <c r="A179" s="158" t="n"/>
    </row>
    <row r="180" ht="14.25" customFormat="1" customHeight="1" s="157">
      <c r="A180" s="156" t="inlineStr">
        <is>
          <t>Составил ______________________        Е.А. Князева</t>
        </is>
      </c>
      <c r="B180" s="157" t="n"/>
    </row>
    <row r="181" ht="14.25" customFormat="1" customHeight="1" s="157">
      <c r="A181" s="159" t="inlineStr">
        <is>
          <t xml:space="preserve">                         (подпись, инициалы, фамилия)</t>
        </is>
      </c>
      <c r="B181" s="157" t="n"/>
    </row>
    <row r="182" ht="14.25" customFormat="1" customHeight="1" s="157">
      <c r="A182" s="156" t="n"/>
      <c r="B182" s="157" t="n"/>
    </row>
    <row r="183" ht="14.25" customFormat="1" customHeight="1" s="157">
      <c r="A183" s="156" t="inlineStr">
        <is>
          <t>Проверил ______________________        А.В. Костянецкая</t>
        </is>
      </c>
      <c r="B183" s="157" t="n"/>
    </row>
    <row r="184" ht="14.25" customFormat="1" customHeight="1" s="157">
      <c r="A184" s="159" t="inlineStr">
        <is>
          <t xml:space="preserve">                        (подпись, инициалы, фамилия)</t>
        </is>
      </c>
      <c r="B184" s="157" t="n"/>
    </row>
  </sheetData>
  <mergeCells count="19">
    <mergeCell ref="H9:H10"/>
    <mergeCell ref="B55:H55"/>
    <mergeCell ref="B15:H15"/>
    <mergeCell ref="C9:C10"/>
    <mergeCell ref="E9:E10"/>
    <mergeCell ref="A7:H7"/>
    <mergeCell ref="B9:B10"/>
    <mergeCell ref="D9:D10"/>
    <mergeCell ref="B18:H18"/>
    <mergeCell ref="B12:H12"/>
    <mergeCell ref="D6:J6"/>
    <mergeCell ref="B47:J47"/>
    <mergeCell ref="F9:G9"/>
    <mergeCell ref="B54:J54"/>
    <mergeCell ref="A4:H4"/>
    <mergeCell ref="B17:H17"/>
    <mergeCell ref="A9:A10"/>
    <mergeCell ref="B46:J46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3"/>
  <sheetViews>
    <sheetView view="pageBreakPreview" workbookViewId="0">
      <selection activeCell="C18" sqref="C18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2.42578125" customWidth="1" style="160" min="6" max="6"/>
    <col width="14.140625" customWidth="1" style="160" min="7" max="7"/>
  </cols>
  <sheetData>
    <row r="1">
      <c r="A1" s="206" t="inlineStr">
        <is>
          <t>Приложение №6</t>
        </is>
      </c>
    </row>
    <row r="2">
      <c r="A2" s="206" t="n"/>
      <c r="B2" s="206" t="n"/>
      <c r="C2" s="206" t="n"/>
      <c r="D2" s="206" t="n"/>
      <c r="E2" s="206" t="n"/>
      <c r="F2" s="206" t="n"/>
      <c r="G2" s="206" t="n"/>
    </row>
    <row r="3">
      <c r="A3" s="206" t="n"/>
      <c r="B3" s="206" t="n"/>
      <c r="C3" s="206" t="n"/>
      <c r="D3" s="206" t="n"/>
      <c r="E3" s="206" t="n"/>
      <c r="F3" s="206" t="n"/>
      <c r="G3" s="206" t="n"/>
    </row>
    <row r="4">
      <c r="A4" s="206" t="n"/>
      <c r="B4" s="206" t="n"/>
      <c r="C4" s="206" t="n"/>
      <c r="D4" s="206" t="n"/>
      <c r="E4" s="206" t="n"/>
      <c r="F4" s="206" t="n"/>
      <c r="G4" s="206" t="n"/>
    </row>
    <row r="5">
      <c r="A5" s="183" t="inlineStr">
        <is>
          <t>Расчет стоимости оборудования</t>
        </is>
      </c>
    </row>
    <row r="6" ht="64.5" customHeight="1" s="160">
      <c r="A6" s="176">
        <f>'Прил.1 Сравнит табл'!B7</f>
        <v/>
      </c>
    </row>
    <row r="7">
      <c r="A7" s="156" t="n"/>
      <c r="B7" s="156" t="n"/>
      <c r="C7" s="156" t="n"/>
      <c r="D7" s="156" t="n"/>
      <c r="E7" s="156" t="n"/>
      <c r="F7" s="156" t="n"/>
      <c r="G7" s="156" t="n"/>
    </row>
    <row r="8" ht="30" customHeight="1" s="160">
      <c r="A8" s="207" t="inlineStr">
        <is>
          <t>№ пп.</t>
        </is>
      </c>
      <c r="B8" s="207" t="inlineStr">
        <is>
          <t>Код ресурса</t>
        </is>
      </c>
      <c r="C8" s="207" t="inlineStr">
        <is>
          <t>Наименование</t>
        </is>
      </c>
      <c r="D8" s="207" t="inlineStr">
        <is>
          <t>Ед. изм.</t>
        </is>
      </c>
      <c r="E8" s="186" t="inlineStr">
        <is>
          <t>Кол-во единиц по проектным данным</t>
        </is>
      </c>
      <c r="F8" s="207" t="inlineStr">
        <is>
          <t>Сметная стоимость в ценах на 01.01.2000 (руб.)</t>
        </is>
      </c>
      <c r="G8" s="225" t="n"/>
    </row>
    <row r="9">
      <c r="A9" s="227" t="n"/>
      <c r="B9" s="227" t="n"/>
      <c r="C9" s="227" t="n"/>
      <c r="D9" s="227" t="n"/>
      <c r="E9" s="227" t="n"/>
      <c r="F9" s="186" t="inlineStr">
        <is>
          <t>на ед. изм.</t>
        </is>
      </c>
      <c r="G9" s="186" t="inlineStr">
        <is>
          <t>общая</t>
        </is>
      </c>
    </row>
    <row r="10">
      <c r="A10" s="186" t="n">
        <v>1</v>
      </c>
      <c r="B10" s="186" t="n">
        <v>2</v>
      </c>
      <c r="C10" s="186" t="n">
        <v>3</v>
      </c>
      <c r="D10" s="186" t="n">
        <v>4</v>
      </c>
      <c r="E10" s="186" t="n">
        <v>5</v>
      </c>
      <c r="F10" s="186" t="n">
        <v>6</v>
      </c>
      <c r="G10" s="186" t="n">
        <v>7</v>
      </c>
    </row>
    <row r="11" ht="15" customHeight="1" s="160">
      <c r="A11" s="32" t="n"/>
      <c r="B11" s="191" t="inlineStr">
        <is>
          <t>ИНЖЕНЕРНОЕ ОБОРУДОВАНИЕ</t>
        </is>
      </c>
      <c r="C11" s="224" t="n"/>
      <c r="D11" s="224" t="n"/>
      <c r="E11" s="224" t="n"/>
      <c r="F11" s="224" t="n"/>
      <c r="G11" s="225" t="n"/>
    </row>
    <row r="12" ht="27" customHeight="1" s="160">
      <c r="A12" s="186" t="n"/>
      <c r="B12" s="200" t="n"/>
      <c r="C12" s="191" t="inlineStr">
        <is>
          <t>ИТОГО ИНЖЕНЕРНОЕ ОБОРУДОВАНИЕ</t>
        </is>
      </c>
      <c r="D12" s="200" t="n"/>
      <c r="E12" s="9" t="n"/>
      <c r="F12" s="193" t="n"/>
      <c r="G12" s="193" t="n">
        <v>0</v>
      </c>
    </row>
    <row r="13">
      <c r="A13" s="186" t="n"/>
      <c r="B13" s="191" t="inlineStr">
        <is>
          <t>ТЕХНОЛОГИЧЕСКОЕ ОБОРУДОВАНИЕ</t>
        </is>
      </c>
      <c r="C13" s="224" t="n"/>
      <c r="D13" s="224" t="n"/>
      <c r="E13" s="224" t="n"/>
      <c r="F13" s="224" t="n"/>
      <c r="G13" s="225" t="n"/>
    </row>
    <row r="14" ht="29.25" customHeight="1" s="160">
      <c r="A14" s="186" t="n">
        <v>1</v>
      </c>
      <c r="B14" s="124">
        <f>'Прил.5 Расчет СМР и ОБ'!B48</f>
        <v/>
      </c>
      <c r="C14" s="125">
        <f>'Прил.5 Расчет СМР и ОБ'!C48</f>
        <v/>
      </c>
      <c r="D14" s="124">
        <f>'Прил.5 Расчет СМР и ОБ'!D48</f>
        <v/>
      </c>
      <c r="E14" s="124">
        <f>'Прил.5 Расчет СМР и ОБ'!E48</f>
        <v/>
      </c>
      <c r="F14" s="89">
        <f>'Прил.5 Расчет СМР и ОБ'!F48</f>
        <v/>
      </c>
      <c r="G14" s="89">
        <f>ROUND(E14*F14,2)</f>
        <v/>
      </c>
    </row>
    <row r="15" ht="27.75" customHeight="1" s="160">
      <c r="A15" s="186" t="n">
        <v>2</v>
      </c>
      <c r="B15" s="124">
        <f>'Прил.5 Расчет СМР и ОБ'!B49</f>
        <v/>
      </c>
      <c r="C15" s="125">
        <f>'Прил.5 Расчет СМР и ОБ'!C49</f>
        <v/>
      </c>
      <c r="D15" s="124">
        <f>'Прил.5 Расчет СМР и ОБ'!D49</f>
        <v/>
      </c>
      <c r="E15" s="124">
        <f>'Прил.5 Расчет СМР и ОБ'!E49</f>
        <v/>
      </c>
      <c r="F15" s="89">
        <f>'Прил.5 Расчет СМР и ОБ'!F49</f>
        <v/>
      </c>
      <c r="G15" s="89">
        <f>ROUND(E15*F15,2)</f>
        <v/>
      </c>
    </row>
    <row r="16" ht="25.5" customHeight="1" s="160">
      <c r="A16" s="186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193" t="n"/>
      <c r="G16" s="89">
        <f>SUM(G14:G15)</f>
        <v/>
      </c>
    </row>
    <row r="17" ht="19.5" customHeight="1" s="160">
      <c r="A17" s="186" t="n"/>
      <c r="B17" s="191" t="n"/>
      <c r="C17" s="191" t="inlineStr">
        <is>
          <t>Всего по разделу «Оборудование»</t>
        </is>
      </c>
      <c r="D17" s="191" t="n"/>
      <c r="E17" s="205" t="n"/>
      <c r="F17" s="193" t="n"/>
      <c r="G17" s="89">
        <f>G12+G16</f>
        <v/>
      </c>
    </row>
    <row r="18">
      <c r="A18" s="158" t="n"/>
      <c r="B18" s="12" t="n"/>
      <c r="C18" s="158" t="n"/>
      <c r="D18" s="158" t="n"/>
      <c r="E18" s="158" t="n"/>
      <c r="F18" s="158" t="n"/>
      <c r="G18" s="158" t="n"/>
    </row>
    <row r="19" s="160">
      <c r="A19" s="156" t="inlineStr">
        <is>
          <t>Составил ______________________        Е.А. Князева</t>
        </is>
      </c>
      <c r="B19" s="157" t="n"/>
      <c r="C19" s="157" t="n"/>
      <c r="D19" s="158" t="n"/>
      <c r="E19" s="158" t="n"/>
      <c r="F19" s="158" t="n"/>
      <c r="G19" s="158" t="n"/>
    </row>
    <row r="20" s="160">
      <c r="A20" s="159" t="inlineStr">
        <is>
          <t xml:space="preserve">                         (подпись, инициалы, фамилия)</t>
        </is>
      </c>
      <c r="B20" s="157" t="n"/>
      <c r="C20" s="157" t="n"/>
      <c r="D20" s="158" t="n"/>
      <c r="E20" s="158" t="n"/>
      <c r="F20" s="158" t="n"/>
      <c r="G20" s="158" t="n"/>
    </row>
    <row r="21" s="160">
      <c r="A21" s="156" t="n"/>
      <c r="B21" s="157" t="n"/>
      <c r="C21" s="157" t="n"/>
      <c r="D21" s="158" t="n"/>
      <c r="E21" s="158" t="n"/>
      <c r="F21" s="158" t="n"/>
      <c r="G21" s="158" t="n"/>
    </row>
    <row r="22" s="160">
      <c r="A22" s="156" t="inlineStr">
        <is>
          <t>Проверил ______________________        А.В. Костянецкая</t>
        </is>
      </c>
      <c r="B22" s="157" t="n"/>
      <c r="C22" s="157" t="n"/>
      <c r="D22" s="158" t="n"/>
      <c r="E22" s="158" t="n"/>
      <c r="F22" s="158" t="n"/>
      <c r="G22" s="158" t="n"/>
    </row>
    <row r="23" s="160">
      <c r="A23" s="159" t="inlineStr">
        <is>
          <t xml:space="preserve">                        (подпись, инициалы, фамилия)</t>
        </is>
      </c>
      <c r="B23" s="157" t="n"/>
      <c r="C23" s="157" t="n"/>
      <c r="D23" s="158" t="n"/>
      <c r="E23" s="158" t="n"/>
      <c r="F23" s="158" t="n"/>
      <c r="G23" s="158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60" min="1" max="1"/>
    <col width="16.42578125" customWidth="1" style="160" min="2" max="2"/>
    <col width="37.140625" customWidth="1" style="160" min="3" max="3"/>
    <col width="49" customWidth="1" style="160" min="4" max="4"/>
    <col width="9.140625" customWidth="1" style="160" min="5" max="5"/>
  </cols>
  <sheetData>
    <row r="1" ht="15.75" customHeight="1" s="160">
      <c r="A1" s="162" t="n"/>
      <c r="B1" s="162" t="n"/>
      <c r="C1" s="162" t="n"/>
      <c r="D1" s="162" t="inlineStr">
        <is>
          <t>Приложение №7</t>
        </is>
      </c>
    </row>
    <row r="2" ht="15.75" customHeight="1" s="160">
      <c r="A2" s="162" t="n"/>
      <c r="B2" s="162" t="n"/>
      <c r="C2" s="162" t="n"/>
      <c r="D2" s="162" t="n"/>
    </row>
    <row r="3" ht="15.75" customHeight="1" s="160">
      <c r="A3" s="162" t="n"/>
      <c r="B3" s="151" t="inlineStr">
        <is>
          <t>Расчет показателя УНЦ</t>
        </is>
      </c>
      <c r="C3" s="162" t="n"/>
      <c r="D3" s="162" t="n"/>
    </row>
    <row r="4" ht="15.75" customHeight="1" s="160">
      <c r="A4" s="162" t="n"/>
      <c r="B4" s="162" t="n"/>
      <c r="C4" s="162" t="n"/>
      <c r="D4" s="162" t="n"/>
    </row>
    <row r="5" ht="31.5" customHeight="1" s="160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5.75" customHeight="1" s="160">
      <c r="A6" s="162" t="inlineStr">
        <is>
          <t>Единица измерения  — 1 ед</t>
        </is>
      </c>
      <c r="B6" s="162" t="n"/>
      <c r="C6" s="162" t="n"/>
      <c r="D6" s="162" t="n"/>
    </row>
    <row r="7" ht="15.75" customHeight="1" s="160">
      <c r="A7" s="162" t="n"/>
      <c r="B7" s="162" t="n"/>
      <c r="C7" s="162" t="n"/>
      <c r="D7" s="162" t="n"/>
    </row>
    <row r="8">
      <c r="A8" s="179" t="inlineStr">
        <is>
          <t>Код показателя</t>
        </is>
      </c>
      <c r="B8" s="179" t="inlineStr">
        <is>
          <t>Наименование показателя</t>
        </is>
      </c>
      <c r="C8" s="179" t="inlineStr">
        <is>
          <t>Наименование РМ, входящих в состав показателя</t>
        </is>
      </c>
      <c r="D8" s="179" t="inlineStr">
        <is>
          <t>Норматив цены на 01.01.2023, тыс.руб.</t>
        </is>
      </c>
    </row>
    <row r="9">
      <c r="A9" s="227" t="n"/>
      <c r="B9" s="227" t="n"/>
      <c r="C9" s="227" t="n"/>
      <c r="D9" s="227" t="n"/>
    </row>
    <row r="10" ht="15.75" customHeight="1" s="160">
      <c r="A10" s="179" t="n">
        <v>1</v>
      </c>
      <c r="B10" s="179" t="n">
        <v>2</v>
      </c>
      <c r="C10" s="179" t="n">
        <v>3</v>
      </c>
      <c r="D10" s="179" t="n">
        <v>4</v>
      </c>
    </row>
    <row r="11" ht="63" customHeight="1" s="160">
      <c r="A11" s="179" t="inlineStr">
        <is>
          <t>И15-10</t>
        </is>
      </c>
      <c r="B11" s="179" t="inlineStr">
        <is>
          <t xml:space="preserve">УНЦ комплекса систем безопасности ПС </t>
        </is>
      </c>
      <c r="C11" s="154">
        <f>D5</f>
        <v/>
      </c>
      <c r="D11" s="155">
        <f>'Прил.4 РМ'!C41/1000</f>
        <v/>
      </c>
    </row>
    <row r="13">
      <c r="A13" s="156" t="inlineStr">
        <is>
          <t>Составил ______________________      Е. А. Князева</t>
        </is>
      </c>
      <c r="B13" s="157" t="n"/>
      <c r="C13" s="157" t="n"/>
      <c r="D13" s="158" t="n"/>
    </row>
    <row r="14">
      <c r="A14" s="159" t="inlineStr">
        <is>
          <t xml:space="preserve">                         (подпись, инициалы, фамилия)</t>
        </is>
      </c>
      <c r="B14" s="157" t="n"/>
      <c r="C14" s="157" t="n"/>
      <c r="D14" s="158" t="n"/>
    </row>
    <row r="15">
      <c r="A15" s="156" t="n"/>
      <c r="B15" s="157" t="n"/>
      <c r="C15" s="157" t="n"/>
      <c r="D15" s="158" t="n"/>
    </row>
    <row r="16">
      <c r="A16" s="156" t="inlineStr">
        <is>
          <t>Проверил ______________________        А.В. Костянецкая</t>
        </is>
      </c>
      <c r="B16" s="157" t="n"/>
      <c r="C16" s="157" t="n"/>
      <c r="D16" s="158" t="n"/>
    </row>
    <row r="17">
      <c r="A17" s="159" t="inlineStr">
        <is>
          <t xml:space="preserve">                        (подпись, инициалы, фамилия)</t>
        </is>
      </c>
      <c r="B17" s="157" t="n"/>
      <c r="C17" s="157" t="n"/>
      <c r="D17" s="15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9" zoomScale="60" zoomScaleNormal="100" workbookViewId="0">
      <selection activeCell="B26" sqref="B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173" t="inlineStr">
        <is>
          <t>Приложение № 10</t>
        </is>
      </c>
    </row>
    <row r="5" ht="18.75" customHeight="1" s="160">
      <c r="B5" s="22" t="n"/>
    </row>
    <row r="6" ht="15.75" customHeight="1" s="160">
      <c r="B6" s="174" t="inlineStr">
        <is>
          <t>Используемые индексы изменений сметной стоимости и нормы сопутствующих затрат</t>
        </is>
      </c>
    </row>
    <row r="7">
      <c r="B7" s="209" t="n"/>
    </row>
    <row r="8" ht="47.25" customHeight="1" s="160">
      <c r="B8" s="179" t="inlineStr">
        <is>
          <t>Наименование индекса / норм сопутствующих затрат</t>
        </is>
      </c>
      <c r="C8" s="179" t="inlineStr">
        <is>
          <t>Дата применения и обоснование индекса / норм сопутствующих затрат</t>
        </is>
      </c>
      <c r="D8" s="179" t="inlineStr">
        <is>
          <t>Размер индекса / норма сопутствующих затрат</t>
        </is>
      </c>
    </row>
    <row r="9" ht="15.75" customHeight="1" s="160">
      <c r="B9" s="179" t="n">
        <v>1</v>
      </c>
      <c r="C9" s="179" t="n">
        <v>2</v>
      </c>
      <c r="D9" s="179" t="n">
        <v>3</v>
      </c>
    </row>
    <row r="10" ht="31.5" customHeight="1" s="160">
      <c r="B10" s="179" t="inlineStr">
        <is>
          <t xml:space="preserve">Индекс изменения сметной стоимости на 1 квартал 2023 года. ОЗП </t>
        </is>
      </c>
      <c r="C10" s="179" t="inlineStr">
        <is>
          <t>Письмо Минстроя России от 30.03.2023г. №17106-ИФ/09  прил.1</t>
        </is>
      </c>
      <c r="D10" s="179" t="n">
        <v>44.29</v>
      </c>
    </row>
    <row r="11" ht="31.5" customHeight="1" s="160">
      <c r="B11" s="179" t="inlineStr">
        <is>
          <t>Индекс изменения сметной стоимости на 1 квартал 2023 года. ЭМ</t>
        </is>
      </c>
      <c r="C11" s="179" t="inlineStr">
        <is>
          <t>Письмо Минстроя России от 30.03.2023г. №17106-ИФ/09  прил.1</t>
        </is>
      </c>
      <c r="D11" s="179" t="n">
        <v>13.47</v>
      </c>
    </row>
    <row r="12" ht="31.5" customHeight="1" s="160">
      <c r="B12" s="179" t="inlineStr">
        <is>
          <t>Индекс изменения сметной стоимости на 1 квартал 2023 года. МАТ</t>
        </is>
      </c>
      <c r="C12" s="179" t="inlineStr">
        <is>
          <t>Письмо Минстроя России от 30.03.2023г. №17106-ИФ/09  прил.1</t>
        </is>
      </c>
      <c r="D12" s="179" t="n">
        <v>8.039999999999999</v>
      </c>
    </row>
    <row r="13" ht="31.5" customHeight="1" s="160">
      <c r="B13" s="179" t="inlineStr">
        <is>
          <t>Индекс изменения сметной стоимости на 1 квартал 2023 года. ОБ</t>
        </is>
      </c>
      <c r="C13" s="99" t="inlineStr">
        <is>
          <t>Письмо Минстроя России от 23.02.2023г. №9791-ИФ/09 прил.6</t>
        </is>
      </c>
      <c r="D13" s="179" t="n">
        <v>6.26</v>
      </c>
    </row>
    <row r="14" ht="78.75" customHeight="1" s="160">
      <c r="B14" s="179" t="inlineStr">
        <is>
          <t>Временные здания и сооружения</t>
        </is>
      </c>
      <c r="C14" s="17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30" t="n">
        <v>0.039</v>
      </c>
    </row>
    <row r="15" ht="78.75" customHeight="1" s="160">
      <c r="B15" s="179" t="inlineStr">
        <is>
          <t>Дополнительные затраты при производстве строительно-монтажных работ в зимнее время</t>
        </is>
      </c>
      <c r="C15" s="17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30" t="n">
        <v>0.021</v>
      </c>
    </row>
    <row r="16" ht="15.75" customHeight="1" s="160">
      <c r="B16" s="179" t="inlineStr">
        <is>
          <t>Пусконаладочные работы*</t>
        </is>
      </c>
      <c r="C16" s="179" t="n"/>
      <c r="D16" s="179" t="inlineStr">
        <is>
          <t>Расчет</t>
        </is>
      </c>
    </row>
    <row r="17" ht="31.5" customHeight="1" s="160">
      <c r="B17" s="179" t="inlineStr">
        <is>
          <t>Строительный контроль</t>
        </is>
      </c>
      <c r="C17" s="179" t="inlineStr">
        <is>
          <t>Постановление Правительства РФ от 21.06.10 г. № 468</t>
        </is>
      </c>
      <c r="D17" s="30" t="n">
        <v>0.0214</v>
      </c>
    </row>
    <row r="18" ht="31.5" customHeight="1" s="160">
      <c r="B18" s="179" t="inlineStr">
        <is>
          <t>Авторский надзор - 0,2%</t>
        </is>
      </c>
      <c r="C18" s="179" t="inlineStr">
        <is>
          <t>Приказ от 4.08.2020 № 421/пр п.173</t>
        </is>
      </c>
      <c r="D18" s="30" t="n">
        <v>0.002</v>
      </c>
    </row>
    <row r="19" ht="24" customHeight="1" s="160">
      <c r="B19" s="179" t="inlineStr">
        <is>
          <t>Непредвиденные расходы</t>
        </is>
      </c>
      <c r="C19" s="179" t="inlineStr">
        <is>
          <t>Приказ от 4.08.2020 № 421/пр п.179</t>
        </is>
      </c>
      <c r="D19" s="30" t="n">
        <v>0.03</v>
      </c>
    </row>
    <row r="20" ht="18.75" customHeight="1" s="160">
      <c r="B20" s="23" t="n"/>
    </row>
    <row r="21" ht="18.75" customHeight="1" s="160">
      <c r="B21" s="23" t="n"/>
    </row>
    <row r="22" ht="18.75" customHeight="1" s="160">
      <c r="B22" s="23" t="n"/>
    </row>
    <row r="23" ht="18.75" customHeight="1" s="160">
      <c r="B23" s="23" t="n"/>
    </row>
    <row r="26">
      <c r="B26" s="156" t="inlineStr">
        <is>
          <t>Составил ______________________        Е.А. Князева</t>
        </is>
      </c>
      <c r="C26" s="157" t="n"/>
    </row>
    <row r="27">
      <c r="B27" s="159" t="inlineStr">
        <is>
          <t xml:space="preserve">                         (подпись, инициалы, фамилия)</t>
        </is>
      </c>
      <c r="C27" s="157" t="n"/>
    </row>
    <row r="28">
      <c r="B28" s="156" t="n"/>
      <c r="C28" s="157" t="n"/>
    </row>
    <row r="29">
      <c r="B29" s="156" t="inlineStr">
        <is>
          <t>Проверил ______________________        А.В. Костянецкая</t>
        </is>
      </c>
      <c r="C29" s="157" t="n"/>
    </row>
    <row r="30">
      <c r="B30" s="159" t="inlineStr">
        <is>
          <t xml:space="preserve">                        (подпись, инициалы, фамилия)</t>
        </is>
      </c>
      <c r="C30" s="15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</cols>
  <sheetData>
    <row r="1" s="160"/>
    <row r="2" ht="17.25" customHeight="1" s="160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3" s="160"/>
    <row r="4" ht="18" customHeight="1" s="160">
      <c r="A4" s="161" t="inlineStr">
        <is>
          <t>Составлен в уровне цен на 01.01.2023 г.</t>
        </is>
      </c>
      <c r="B4" s="162" t="n"/>
      <c r="C4" s="162" t="n"/>
      <c r="D4" s="162" t="n"/>
      <c r="E4" s="162" t="n"/>
      <c r="F4" s="162" t="n"/>
      <c r="G4" s="162" t="n"/>
    </row>
    <row r="5" ht="15.75" customHeight="1" s="160">
      <c r="A5" s="210" t="inlineStr">
        <is>
          <t>№ пп.</t>
        </is>
      </c>
      <c r="B5" s="210" t="inlineStr">
        <is>
          <t>Наименование элемента</t>
        </is>
      </c>
      <c r="C5" s="210" t="inlineStr">
        <is>
          <t>Обозначение</t>
        </is>
      </c>
      <c r="D5" s="210" t="inlineStr">
        <is>
          <t>Формула</t>
        </is>
      </c>
      <c r="E5" s="210" t="inlineStr">
        <is>
          <t>Величина элемента</t>
        </is>
      </c>
      <c r="F5" s="210" t="inlineStr">
        <is>
          <t>Наименования обосновывающих документов</t>
        </is>
      </c>
      <c r="G5" s="162" t="n"/>
    </row>
    <row r="6" ht="15.75" customHeight="1" s="160">
      <c r="A6" s="210" t="n">
        <v>1</v>
      </c>
      <c r="B6" s="210" t="n">
        <v>2</v>
      </c>
      <c r="C6" s="210" t="n">
        <v>3</v>
      </c>
      <c r="D6" s="210" t="n">
        <v>4</v>
      </c>
      <c r="E6" s="210" t="n">
        <v>5</v>
      </c>
      <c r="F6" s="210" t="n">
        <v>6</v>
      </c>
      <c r="G6" s="162" t="n"/>
    </row>
    <row r="7" ht="110.25" customHeight="1" s="160">
      <c r="A7" s="211" t="inlineStr">
        <is>
          <t>1.1</t>
        </is>
      </c>
      <c r="B7" s="2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3" t="inlineStr">
        <is>
          <t>С1ср</t>
        </is>
      </c>
      <c r="D7" s="213" t="inlineStr">
        <is>
          <t>-</t>
        </is>
      </c>
      <c r="E7" s="214" t="n">
        <v>47872.94</v>
      </c>
      <c r="F7" s="2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62" t="n"/>
    </row>
    <row r="8" ht="31.5" customHeight="1" s="160">
      <c r="A8" s="211" t="inlineStr">
        <is>
          <t>1.2</t>
        </is>
      </c>
      <c r="B8" s="212" t="inlineStr">
        <is>
          <t>Среднегодовое нормативное число часов работы одного рабочего в месяц, часы (ч.)</t>
        </is>
      </c>
      <c r="C8" s="213" t="inlineStr">
        <is>
          <t>tср</t>
        </is>
      </c>
      <c r="D8" s="213" t="inlineStr">
        <is>
          <t>1973ч/12мес.</t>
        </is>
      </c>
      <c r="E8" s="215">
        <f>1973/12</f>
        <v/>
      </c>
      <c r="F8" s="212" t="inlineStr">
        <is>
          <t>Производственный календарь 2023 год
(40-часов.неделя)</t>
        </is>
      </c>
      <c r="G8" s="164" t="n"/>
    </row>
    <row r="9" ht="15.75" customHeight="1" s="160">
      <c r="A9" s="211" t="inlineStr">
        <is>
          <t>1.3</t>
        </is>
      </c>
      <c r="B9" s="212" t="inlineStr">
        <is>
          <t>Коэффициент увеличения</t>
        </is>
      </c>
      <c r="C9" s="213" t="inlineStr">
        <is>
          <t>Кув</t>
        </is>
      </c>
      <c r="D9" s="213" t="inlineStr">
        <is>
          <t>-</t>
        </is>
      </c>
      <c r="E9" s="215" t="n">
        <v>1</v>
      </c>
      <c r="F9" s="212" t="n"/>
      <c r="G9" s="164" t="n"/>
    </row>
    <row r="10" ht="15.75" customHeight="1" s="160">
      <c r="A10" s="211" t="inlineStr">
        <is>
          <t>1.4</t>
        </is>
      </c>
      <c r="B10" s="212" t="inlineStr">
        <is>
          <t>Средний разряд работ</t>
        </is>
      </c>
      <c r="C10" s="213" t="n"/>
      <c r="D10" s="213" t="n"/>
      <c r="E10" s="240" t="n">
        <v>3.8</v>
      </c>
      <c r="F10" s="212" t="inlineStr">
        <is>
          <t>РТМ</t>
        </is>
      </c>
      <c r="G10" s="164" t="n"/>
    </row>
    <row r="11" ht="78.75" customHeight="1" s="160">
      <c r="A11" s="211" t="inlineStr">
        <is>
          <t>1.5</t>
        </is>
      </c>
      <c r="B11" s="212" t="inlineStr">
        <is>
          <t>Тарифный коэффициент среднего разряда работ</t>
        </is>
      </c>
      <c r="C11" s="213" t="inlineStr">
        <is>
          <t>КТ</t>
        </is>
      </c>
      <c r="D11" s="213" t="inlineStr">
        <is>
          <t>-</t>
        </is>
      </c>
      <c r="E11" s="241" t="n">
        <v>1.308</v>
      </c>
      <c r="F11" s="2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62" t="n"/>
    </row>
    <row r="12" ht="78.75" customHeight="1" s="160">
      <c r="A12" s="211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242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4" t="n"/>
    </row>
    <row r="13" ht="63" customHeight="1" s="160">
      <c r="A13" s="211" t="inlineStr">
        <is>
          <t>1.7</t>
        </is>
      </c>
      <c r="B13" s="221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22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6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2025-01-24T12:01:56Z</dcterms:modified>
  <cp:lastModifiedBy>Nikolay Ivanov</cp:lastModifiedBy>
  <cp:lastPrinted>2023-11-30T13:47:09Z</cp:lastPrinted>
</cp:coreProperties>
</file>