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ОБ'!$A$1:$J$74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6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9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right" vertical="center"/>
    </xf>
    <xf numFmtId="167" fontId="6" fillId="0" borderId="1" applyAlignment="1" pivotButton="0" quotePrefix="0" xfId="0">
      <alignment horizontal="right" vertical="center" wrapText="1"/>
    </xf>
    <xf numFmtId="167" fontId="1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168" fontId="6" fillId="0" borderId="0" pivotButton="0" quotePrefix="0" xfId="0"/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vertical="center" wrapText="1"/>
    </xf>
    <xf numFmtId="4" fontId="6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10" fontId="2" fillId="2" borderId="1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0" fillId="0" borderId="5" pivotButton="0" quotePrefix="0" xfId="0"/>
    <xf numFmtId="0" fontId="6" fillId="0" borderId="6" applyAlignment="1" pivotButton="0" quotePrefix="0" xfId="0">
      <alignment vertical="center" wrapText="1"/>
    </xf>
    <xf numFmtId="0" fontId="6" fillId="0" borderId="7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10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/>
    </xf>
    <xf numFmtId="49" fontId="6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0" fontId="6" fillId="0" borderId="13" applyAlignment="1" pivotButton="0" quotePrefix="0" xfId="0">
      <alignment horizontal="center" vertical="center" wrapText="1"/>
    </xf>
    <xf numFmtId="4" fontId="0" fillId="0" borderId="13" applyAlignment="1" pivotButton="0" quotePrefix="0" xfId="0">
      <alignment horizontal="center" vertical="center"/>
    </xf>
    <xf numFmtId="4" fontId="6" fillId="0" borderId="13" applyAlignment="1" pivotButton="0" quotePrefix="0" xfId="0">
      <alignment horizontal="center" vertical="center"/>
    </xf>
    <xf numFmtId="169" fontId="6" fillId="0" borderId="13" applyAlignment="1" pivotButton="0" quotePrefix="0" xfId="0">
      <alignment horizontal="center" vertical="center"/>
    </xf>
    <xf numFmtId="167" fontId="6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vertical="center" wrapText="1"/>
    </xf>
    <xf numFmtId="166" fontId="6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wrapText="1"/>
    </xf>
    <xf numFmtId="0" fontId="10" fillId="0" borderId="13" applyAlignment="1" pivotButton="0" quotePrefix="0" xfId="0">
      <alignment vertical="center" wrapText="1"/>
    </xf>
    <xf numFmtId="4" fontId="10" fillId="0" borderId="13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6" pivotButton="0" quotePrefix="0" xfId="0"/>
    <xf numFmtId="0" fontId="0" fillId="0" borderId="2" pivotButton="0" quotePrefix="0" xfId="0"/>
    <xf numFmtId="167" fontId="6" fillId="0" borderId="1" applyAlignment="1" pivotButton="0" quotePrefix="0" xfId="0">
      <alignment horizontal="right" vertical="center"/>
    </xf>
    <xf numFmtId="167" fontId="6" fillId="0" borderId="1" applyAlignment="1" pivotButton="0" quotePrefix="0" xfId="0">
      <alignment horizontal="right" vertical="center" wrapText="1"/>
    </xf>
    <xf numFmtId="167" fontId="10" fillId="0" borderId="1" applyAlignment="1" pivotButton="0" quotePrefix="0" xfId="0">
      <alignment vertical="center" wrapText="1"/>
    </xf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9" pivotButton="0" quotePrefix="0" xfId="0"/>
    <xf numFmtId="169" fontId="6" fillId="0" borderId="13" applyAlignment="1" pivotButton="0" quotePrefix="0" xfId="0">
      <alignment horizontal="center" vertical="center"/>
    </xf>
    <xf numFmtId="167" fontId="6" fillId="0" borderId="13" applyAlignment="1" pivotButton="0" quotePrefix="0" xfId="0">
      <alignment horizontal="center" vertical="center"/>
    </xf>
    <xf numFmtId="166" fontId="6" fillId="0" borderId="13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zoomScale="60" zoomScaleNormal="85" workbookViewId="0">
      <selection activeCell="D38" sqref="D38"/>
    </sheetView>
  </sheetViews>
  <sheetFormatPr baseColWidth="8" defaultRowHeight="15.75"/>
  <cols>
    <col width="9.140625" customWidth="1" style="104" min="1" max="2"/>
    <col width="36.85546875" customWidth="1" style="104" min="3" max="3"/>
    <col width="36.5703125" customWidth="1" style="104" min="4" max="4"/>
    <col hidden="1" width="36.5703125" customWidth="1" style="104" min="5" max="6"/>
    <col width="14.28515625" customWidth="1" style="102" min="7" max="7"/>
    <col width="12.140625" customWidth="1" style="102" min="8" max="8"/>
    <col width="12.28515625" customWidth="1" style="102" min="9" max="9"/>
    <col width="15" customWidth="1" style="102" min="10" max="10"/>
  </cols>
  <sheetData>
    <row r="1">
      <c r="G1" s="104" t="n"/>
      <c r="H1" s="104" t="n"/>
      <c r="I1" s="104" t="n"/>
      <c r="J1" s="104" t="n"/>
      <c r="K1" s="104" t="n"/>
    </row>
    <row r="2">
      <c r="G2" s="104" t="n"/>
      <c r="H2" s="104" t="n"/>
      <c r="I2" s="104" t="n"/>
      <c r="J2" s="104" t="n"/>
      <c r="K2" s="104" t="n"/>
    </row>
    <row r="3">
      <c r="B3" s="130" t="inlineStr">
        <is>
          <t>Приложение № 1</t>
        </is>
      </c>
      <c r="G3" s="104" t="n"/>
      <c r="H3" s="104" t="n"/>
      <c r="I3" s="104" t="n"/>
      <c r="J3" s="104" t="n"/>
      <c r="K3" s="104" t="n"/>
    </row>
    <row r="4">
      <c r="B4" s="131" t="inlineStr">
        <is>
          <t>Сравнительная таблица отбора объекта-представителя</t>
        </is>
      </c>
      <c r="G4" s="104" t="n"/>
      <c r="H4" s="104" t="n"/>
      <c r="I4" s="104" t="n"/>
      <c r="J4" s="104" t="n"/>
      <c r="K4" s="104" t="n"/>
    </row>
    <row r="5">
      <c r="B5" s="57" t="n"/>
      <c r="C5" s="57" t="n"/>
      <c r="D5" s="57" t="n"/>
      <c r="E5" s="57" t="n"/>
      <c r="F5" s="57" t="n"/>
      <c r="G5" s="104" t="n"/>
      <c r="H5" s="104" t="n"/>
      <c r="I5" s="104" t="n"/>
      <c r="J5" s="104" t="n"/>
      <c r="K5" s="104" t="n"/>
    </row>
    <row r="6">
      <c r="B6" s="57" t="n"/>
      <c r="C6" s="57" t="n"/>
      <c r="D6" s="57" t="n"/>
      <c r="E6" s="57" t="n"/>
      <c r="F6" s="57" t="n"/>
      <c r="G6" s="104" t="n"/>
      <c r="H6" s="104" t="n"/>
      <c r="I6" s="104" t="n"/>
      <c r="J6" s="104" t="n"/>
      <c r="K6" s="104" t="n"/>
    </row>
    <row r="7" ht="31.5" customHeight="1" s="102">
      <c r="B7" s="129">
        <f>_xlfn.CONCAT(TEXT('Прил.5 Расчет СМР и ОБ'!A6,0)," - ",TEXT('Прил.5 Расчет СМР и ОБ'!D6,0))</f>
        <v/>
      </c>
      <c r="G7" s="58" t="n"/>
      <c r="H7" s="104" t="n"/>
      <c r="I7" s="104" t="n"/>
      <c r="J7" s="104" t="n"/>
      <c r="K7" s="104" t="n"/>
    </row>
    <row r="8" ht="15.75" customHeight="1" s="102">
      <c r="B8" s="56" t="inlineStr">
        <is>
          <t xml:space="preserve">Сопоставимый уровень цен: </t>
        </is>
      </c>
      <c r="C8" s="56" t="n"/>
      <c r="D8" s="56">
        <f>D22</f>
        <v/>
      </c>
      <c r="E8" s="56" t="n"/>
      <c r="F8" s="56" t="n"/>
      <c r="G8" s="104" t="n"/>
      <c r="H8" s="104" t="n"/>
      <c r="I8" s="104" t="n"/>
      <c r="J8" s="104" t="n"/>
      <c r="K8" s="104" t="n"/>
    </row>
    <row r="9" ht="15.75" customHeight="1" s="102">
      <c r="B9" s="129" t="inlineStr">
        <is>
          <t>Единица измерения  — 1 объект</t>
        </is>
      </c>
      <c r="G9" s="58" t="n"/>
      <c r="H9" s="104" t="n"/>
      <c r="I9" s="104" t="n"/>
      <c r="J9" s="104" t="n"/>
      <c r="K9" s="104" t="n"/>
    </row>
    <row r="10">
      <c r="B10" s="129" t="n"/>
      <c r="G10" s="104" t="n"/>
      <c r="H10" s="104" t="n"/>
      <c r="I10" s="104" t="n"/>
      <c r="J10" s="104" t="n"/>
      <c r="K10" s="104" t="n"/>
    </row>
    <row r="11">
      <c r="B11" s="133" t="inlineStr">
        <is>
          <t>№ п/п</t>
        </is>
      </c>
      <c r="C11" s="133" t="inlineStr">
        <is>
          <t>Параметр</t>
        </is>
      </c>
      <c r="D11" s="133" t="inlineStr">
        <is>
          <t>Объект-представитель 1</t>
        </is>
      </c>
      <c r="E11" s="133" t="inlineStr">
        <is>
          <t>Объект-представитель 2</t>
        </is>
      </c>
      <c r="F11" s="133" t="inlineStr">
        <is>
          <t>Объект-представитель 3</t>
        </is>
      </c>
      <c r="G11" s="58" t="n"/>
      <c r="H11" s="104" t="n"/>
      <c r="I11" s="104" t="n"/>
      <c r="J11" s="104" t="n"/>
      <c r="K11" s="104" t="n"/>
    </row>
    <row r="12" ht="31.5" customHeight="1" s="102">
      <c r="B12" s="133" t="n">
        <v>1</v>
      </c>
      <c r="C12" s="114" t="inlineStr">
        <is>
          <t>Наименование объекта-представителя</t>
        </is>
      </c>
      <c r="D12" s="133" t="inlineStr">
        <is>
          <t>Строительство ПП 500 кВ Агорта</t>
        </is>
      </c>
      <c r="E12" s="133" t="n"/>
      <c r="F12" s="133" t="n"/>
      <c r="G12" s="104" t="n"/>
      <c r="H12" s="104" t="n"/>
      <c r="I12" s="104" t="n"/>
      <c r="J12" s="104" t="n"/>
      <c r="K12" s="104" t="n"/>
    </row>
    <row r="13" ht="31.5" customHeight="1" s="102">
      <c r="B13" s="133" t="n">
        <v>2</v>
      </c>
      <c r="C13" s="114" t="inlineStr">
        <is>
          <t>Наименование субъекта Российской Федерации</t>
        </is>
      </c>
      <c r="D13" s="133" t="inlineStr">
        <is>
          <t>Амурская область</t>
        </is>
      </c>
      <c r="E13" s="133" t="n"/>
      <c r="F13" s="133" t="n"/>
      <c r="G13" s="104" t="n"/>
      <c r="H13" s="104" t="n"/>
      <c r="I13" s="104" t="n"/>
      <c r="J13" s="104" t="n"/>
      <c r="K13" s="104" t="n"/>
    </row>
    <row r="14">
      <c r="B14" s="133" t="n">
        <v>3</v>
      </c>
      <c r="C14" s="114" t="inlineStr">
        <is>
          <t>Климатический район и подрайон</t>
        </is>
      </c>
      <c r="D14" s="133" t="inlineStr">
        <is>
          <t>IД</t>
        </is>
      </c>
      <c r="E14" s="133" t="n"/>
      <c r="F14" s="133" t="n"/>
      <c r="G14" s="104" t="n"/>
      <c r="H14" s="104" t="n"/>
      <c r="I14" s="104" t="n"/>
      <c r="J14" s="104" t="n"/>
      <c r="K14" s="104" t="n"/>
    </row>
    <row r="15">
      <c r="B15" s="133" t="n">
        <v>4</v>
      </c>
      <c r="C15" s="114" t="inlineStr">
        <is>
          <t>Мощность объекта</t>
        </is>
      </c>
      <c r="D15" s="133" t="n">
        <v>1</v>
      </c>
      <c r="E15" s="133" t="n"/>
      <c r="F15" s="133" t="n"/>
      <c r="G15" s="104" t="n"/>
      <c r="H15" s="104" t="n"/>
      <c r="I15" s="104" t="n"/>
      <c r="J15" s="104" t="n"/>
      <c r="K15" s="104" t="n"/>
    </row>
    <row r="16" ht="134.25" customHeight="1" s="102">
      <c r="B16" s="133" t="n">
        <v>5</v>
      </c>
      <c r="C16" s="6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3" t="inlineStr">
        <is>
          <t>Межсетевой экран - 3 шт
Межсетевой экран с функцией шифрования - 2 шт
Средство обнаружения вторжений - 1 шт
Средство антивирусной защиты - 16 шт
Средство защиты от НСД</t>
        </is>
      </c>
      <c r="E16" s="133" t="n"/>
      <c r="F16" s="133" t="n"/>
      <c r="G16" s="104" t="n"/>
      <c r="H16" s="104" t="n"/>
      <c r="I16" s="104" t="n"/>
      <c r="J16" s="104" t="n"/>
      <c r="K16" s="104" t="n"/>
    </row>
    <row r="17" ht="82.5" customHeight="1" s="102">
      <c r="B17" s="133" t="n">
        <v>6</v>
      </c>
      <c r="C17" s="6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SUM(D18:D21)</f>
        <v/>
      </c>
      <c r="E17" s="184" t="n"/>
      <c r="F17" s="184" t="n"/>
      <c r="G17" s="61" t="n"/>
      <c r="H17" s="104" t="n"/>
      <c r="I17" s="104" t="n"/>
      <c r="J17" s="104" t="n"/>
      <c r="K17" s="104" t="n"/>
    </row>
    <row r="18">
      <c r="B18" s="62" t="inlineStr">
        <is>
          <t>6.1</t>
        </is>
      </c>
      <c r="C18" s="114" t="inlineStr">
        <is>
          <t>строительно-монтажные работы</t>
        </is>
      </c>
      <c r="D18" s="184" t="n">
        <v>2102.503</v>
      </c>
      <c r="E18" s="184" t="n"/>
      <c r="F18" s="184" t="n"/>
      <c r="G18" s="104" t="n"/>
      <c r="H18" s="104" t="n"/>
      <c r="I18" s="104" t="n"/>
      <c r="J18" s="104" t="n"/>
      <c r="K18" s="104" t="n"/>
    </row>
    <row r="19">
      <c r="B19" s="62" t="inlineStr">
        <is>
          <t>6.2</t>
        </is>
      </c>
      <c r="C19" s="114" t="inlineStr">
        <is>
          <t>оборудование и инвентарь</t>
        </is>
      </c>
      <c r="D19" s="184" t="n">
        <v>23599.919</v>
      </c>
      <c r="E19" s="184" t="n"/>
      <c r="F19" s="184" t="n"/>
      <c r="G19" s="104" t="n"/>
      <c r="H19" s="104" t="n"/>
      <c r="I19" s="104" t="n"/>
      <c r="J19" s="104" t="n"/>
      <c r="K19" s="104" t="n"/>
    </row>
    <row r="20">
      <c r="B20" s="62" t="inlineStr">
        <is>
          <t>6.3</t>
        </is>
      </c>
      <c r="C20" s="114" t="inlineStr">
        <is>
          <t>пусконаладочные работы</t>
        </is>
      </c>
      <c r="D20" s="184">
        <f>517501.3/4015915.64*D19</f>
        <v/>
      </c>
      <c r="E20" s="184" t="n"/>
      <c r="F20" s="184" t="n"/>
      <c r="G20" s="104" t="n"/>
      <c r="H20" s="104" t="n"/>
      <c r="I20" s="104" t="n"/>
      <c r="J20" s="104" t="n"/>
      <c r="K20" s="104" t="n"/>
    </row>
    <row r="21">
      <c r="B21" s="62" t="inlineStr">
        <is>
          <t>6.4</t>
        </is>
      </c>
      <c r="C21" s="63" t="inlineStr">
        <is>
          <t>прочие и лимитированные затраты</t>
        </is>
      </c>
      <c r="D21" s="184">
        <f>D18*3.9%+(D18+D18*3.9%)*7%*0.9</f>
        <v/>
      </c>
      <c r="E21" s="184" t="n"/>
      <c r="F21" s="184" t="n"/>
      <c r="G21" s="104" t="n"/>
      <c r="H21" s="104" t="n"/>
      <c r="I21" s="104" t="n"/>
      <c r="J21" s="104" t="n"/>
      <c r="K21" s="104" t="n"/>
    </row>
    <row r="22">
      <c r="B22" s="133" t="n">
        <v>7</v>
      </c>
      <c r="C22" s="63" t="inlineStr">
        <is>
          <t>Сопоставимый уровень цен</t>
        </is>
      </c>
      <c r="D22" s="133" t="inlineStr">
        <is>
          <t>1 кв. 2023г</t>
        </is>
      </c>
      <c r="E22" s="133" t="n"/>
      <c r="F22" s="133" t="n"/>
      <c r="G22" s="61" t="n"/>
      <c r="H22" s="104" t="n"/>
      <c r="I22" s="104" t="n"/>
      <c r="J22" s="104" t="n"/>
      <c r="K22" s="104" t="n"/>
    </row>
    <row r="23" ht="119.25" customHeight="1" s="102">
      <c r="B23" s="133" t="n">
        <v>8</v>
      </c>
      <c r="C23" s="6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84" t="n"/>
      <c r="F23" s="184" t="n"/>
      <c r="G23" s="104" t="n"/>
      <c r="H23" s="104" t="n"/>
      <c r="I23" s="104" t="n"/>
      <c r="J23" s="104" t="n"/>
      <c r="K23" s="104" t="n"/>
    </row>
    <row r="24" ht="47.25" customHeight="1" s="102">
      <c r="B24" s="133" t="n">
        <v>9</v>
      </c>
      <c r="C24" s="60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184" t="n"/>
      <c r="F24" s="184" t="n"/>
      <c r="G24" s="61" t="n"/>
      <c r="H24" s="104" t="n"/>
      <c r="I24" s="104" t="n"/>
      <c r="J24" s="104" t="n"/>
      <c r="K24" s="104" t="n"/>
    </row>
    <row r="25" hidden="1" ht="47.25" customHeight="1" s="102">
      <c r="B25" s="133" t="n">
        <v>10</v>
      </c>
      <c r="C25" s="114" t="inlineStr">
        <is>
          <t>Примечание</t>
        </is>
      </c>
      <c r="D25" s="114" t="n"/>
      <c r="E25" s="76" t="n"/>
      <c r="F25" s="114" t="inlineStr">
        <is>
          <t xml:space="preserve">Выбран объектом-представителем с учетом минимальной удельной стоимости </t>
        </is>
      </c>
      <c r="G25" s="104" t="n"/>
      <c r="H25" s="104" t="n"/>
      <c r="I25" s="104" t="n"/>
      <c r="J25" s="104" t="n"/>
      <c r="K25" s="104" t="n"/>
    </row>
    <row r="26">
      <c r="B26" s="165" t="n"/>
      <c r="C26" s="66" t="n"/>
      <c r="D26" s="66" t="n"/>
      <c r="E26" s="66" t="n"/>
      <c r="F26" s="66" t="n"/>
      <c r="G26" s="104" t="n"/>
      <c r="H26" s="104" t="n"/>
      <c r="I26" s="104" t="n"/>
      <c r="J26" s="104" t="n"/>
      <c r="K26" s="104" t="n"/>
    </row>
    <row r="27">
      <c r="B27" s="56" t="n"/>
      <c r="G27" s="104" t="n"/>
      <c r="H27" s="104" t="n"/>
      <c r="I27" s="104" t="n"/>
      <c r="J27" s="104" t="n"/>
      <c r="K27" s="104" t="n"/>
    </row>
    <row r="28">
      <c r="B28" s="104" t="inlineStr">
        <is>
          <t>Составил ______________________        Е.А. Князева</t>
        </is>
      </c>
      <c r="G28" s="104" t="n"/>
      <c r="H28" s="104" t="n"/>
      <c r="I28" s="104" t="n"/>
      <c r="J28" s="104" t="n"/>
      <c r="K28" s="104" t="n"/>
    </row>
    <row r="29" ht="22.5" customHeight="1" s="102">
      <c r="B29" s="77" t="inlineStr">
        <is>
          <t xml:space="preserve">                         (подпись, инициалы, фамилия)</t>
        </is>
      </c>
      <c r="G29" s="104" t="n"/>
      <c r="H29" s="104" t="n"/>
      <c r="I29" s="104" t="n"/>
      <c r="J29" s="104" t="n"/>
      <c r="K29" s="104" t="n"/>
    </row>
    <row r="30">
      <c r="G30" s="104" t="n"/>
      <c r="H30" s="104" t="n"/>
      <c r="I30" s="104" t="n"/>
      <c r="J30" s="104" t="n"/>
      <c r="K30" s="104" t="n"/>
    </row>
    <row r="31">
      <c r="B31" s="104" t="inlineStr">
        <is>
          <t>Проверил ______________________        А.В. Костянецкая</t>
        </is>
      </c>
      <c r="G31" s="104" t="n"/>
      <c r="H31" s="104" t="n"/>
      <c r="I31" s="104" t="n"/>
      <c r="J31" s="104" t="n"/>
      <c r="K31" s="104" t="n"/>
    </row>
    <row r="32" ht="22.5" customHeight="1" s="102">
      <c r="B32" s="77" t="inlineStr">
        <is>
          <t xml:space="preserve">                        (подпись, инициалы, фамилия)</t>
        </is>
      </c>
      <c r="G32" s="104" t="n"/>
      <c r="H32" s="104" t="n"/>
      <c r="I32" s="104" t="n"/>
      <c r="J32" s="104" t="n"/>
      <c r="K32" s="104" t="n"/>
    </row>
    <row r="33">
      <c r="G33" s="104" t="n"/>
      <c r="H33" s="104" t="n"/>
      <c r="I33" s="104" t="n"/>
      <c r="J33" s="104" t="n"/>
      <c r="K33" s="104" t="n"/>
    </row>
    <row r="34">
      <c r="G34" s="104" t="n"/>
      <c r="H34" s="104" t="n"/>
      <c r="I34" s="104" t="n"/>
      <c r="J34" s="104" t="n"/>
      <c r="K34" s="10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95" fitToHeight="0"/>
  <rowBreaks count="1" manualBreakCount="1">
    <brk id="22" min="0" max="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2"/>
  <sheetViews>
    <sheetView view="pageBreakPreview" topLeftCell="A7" zoomScale="60" zoomScaleNormal="100" workbookViewId="0">
      <selection activeCell="C16" sqref="C16"/>
    </sheetView>
  </sheetViews>
  <sheetFormatPr baseColWidth="8" defaultRowHeight="15"/>
  <cols>
    <col width="5.5703125" customWidth="1" style="102" min="1" max="1"/>
    <col width="35.28515625" customWidth="1" style="102" min="3" max="3"/>
    <col width="13.85546875" customWidth="1" style="102" min="4" max="4"/>
    <col width="24.85546875" customWidth="1" style="102" min="5" max="5"/>
    <col width="12.7109375" customWidth="1" style="102" min="6" max="6"/>
    <col width="14.85546875" customWidth="1" style="102" min="7" max="7"/>
    <col width="16.7109375" customWidth="1" style="102" min="8" max="8"/>
    <col width="13" customWidth="1" style="102" min="9" max="10"/>
    <col hidden="1" outlineLevel="1" width="11.28515625" customWidth="1" style="102" min="12" max="12"/>
    <col hidden="1" outlineLevel="1" width="9.140625" customWidth="1" style="102" min="13" max="14"/>
    <col hidden="1" outlineLevel="1" width="10.140625" customWidth="1" style="102" min="15" max="15"/>
    <col hidden="1" outlineLevel="1" width="17" customWidth="1" style="102" min="16" max="16"/>
    <col collapsed="1" width="9.140625" customWidth="1" style="102" min="17" max="17"/>
  </cols>
  <sheetData>
    <row r="1" ht="15.75" customHeight="1" s="102">
      <c r="A1" s="104" t="n"/>
      <c r="B1" s="104" t="n"/>
      <c r="C1" s="104" t="n"/>
      <c r="D1" s="104" t="n"/>
      <c r="E1" s="104" t="n"/>
      <c r="F1" s="104" t="n"/>
      <c r="G1" s="104" t="n"/>
      <c r="H1" s="104" t="n"/>
      <c r="I1" s="104" t="n"/>
      <c r="J1" s="104" t="n"/>
    </row>
    <row r="2" ht="15.75" customHeight="1" s="102">
      <c r="A2" s="104" t="n"/>
      <c r="B2" s="104" t="n"/>
      <c r="C2" s="104" t="n"/>
      <c r="D2" s="104" t="n"/>
      <c r="E2" s="104" t="n"/>
      <c r="F2" s="104" t="n"/>
      <c r="G2" s="104" t="n"/>
      <c r="H2" s="104" t="n"/>
      <c r="I2" s="104" t="n"/>
      <c r="J2" s="104" t="n"/>
    </row>
    <row r="3" ht="15.75" customHeight="1" s="102">
      <c r="A3" s="104" t="n"/>
      <c r="B3" s="130" t="inlineStr">
        <is>
          <t>Приложение № 2</t>
        </is>
      </c>
    </row>
    <row r="4" ht="15.75" customHeight="1" s="102">
      <c r="A4" s="104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2">
      <c r="A5" s="104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15.75" customHeight="1" s="102">
      <c r="A6" s="104" t="n"/>
      <c r="B6" s="135">
        <f>'Прил.1 Сравнит табл'!B7</f>
        <v/>
      </c>
    </row>
    <row r="7" ht="15.75" customHeight="1" s="102">
      <c r="A7" s="104" t="n"/>
      <c r="B7" s="129">
        <f>'Прил.1 Сравнит табл'!B9</f>
        <v/>
      </c>
    </row>
    <row r="8" ht="15.75" customHeight="1" s="102">
      <c r="A8" s="104" t="n"/>
      <c r="B8" s="129" t="n"/>
      <c r="C8" s="104" t="n"/>
      <c r="D8" s="104" t="n"/>
      <c r="E8" s="104" t="n"/>
      <c r="F8" s="104" t="n"/>
      <c r="G8" s="104" t="n"/>
      <c r="H8" s="104" t="n"/>
      <c r="I8" s="104" t="n"/>
      <c r="J8" s="104" t="n"/>
    </row>
    <row r="9" ht="15.75" customHeight="1" s="102">
      <c r="A9" s="104" t="n"/>
      <c r="B9" s="133" t="inlineStr">
        <is>
          <t>№ п/п</t>
        </is>
      </c>
      <c r="C9" s="1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3" t="inlineStr">
        <is>
          <t>Объект-представитель 1</t>
        </is>
      </c>
      <c r="E9" s="185" t="n"/>
      <c r="F9" s="185" t="n"/>
      <c r="G9" s="185" t="n"/>
      <c r="H9" s="185" t="n"/>
      <c r="I9" s="185" t="n"/>
      <c r="J9" s="186" t="n"/>
    </row>
    <row r="10" ht="15.75" customHeight="1" s="102">
      <c r="A10" s="104" t="n"/>
      <c r="B10" s="187" t="n"/>
      <c r="C10" s="187" t="n"/>
      <c r="D10" s="133" t="inlineStr">
        <is>
          <t>Номер сметы</t>
        </is>
      </c>
      <c r="E10" s="133" t="inlineStr">
        <is>
          <t>Наименование сметы</t>
        </is>
      </c>
      <c r="F10" s="133" t="inlineStr">
        <is>
          <t>Сметная стоимость в уровне цен 1 кв. 2023 г., тыс. руб.</t>
        </is>
      </c>
      <c r="G10" s="185" t="n"/>
      <c r="H10" s="185" t="n"/>
      <c r="I10" s="185" t="n"/>
      <c r="J10" s="186" t="n"/>
      <c r="L10" s="134" t="inlineStr">
        <is>
          <t>Сметная стоимость в уровне цен 01.01.2000, тыс. руб.</t>
        </is>
      </c>
      <c r="M10" s="185" t="n"/>
      <c r="N10" s="185" t="n"/>
      <c r="O10" s="185" t="n"/>
      <c r="P10" s="186" t="n"/>
    </row>
    <row r="11" ht="63" customHeight="1" s="102">
      <c r="A11" s="104" t="n"/>
      <c r="B11" s="188" t="n"/>
      <c r="C11" s="188" t="n"/>
      <c r="D11" s="188" t="n"/>
      <c r="E11" s="188" t="n"/>
      <c r="F11" s="133" t="inlineStr">
        <is>
          <t>Строительные работы</t>
        </is>
      </c>
      <c r="G11" s="133" t="inlineStr">
        <is>
          <t>Монтажные работы</t>
        </is>
      </c>
      <c r="H11" s="133" t="inlineStr">
        <is>
          <t>Оборудование</t>
        </is>
      </c>
      <c r="I11" s="133" t="inlineStr">
        <is>
          <t>Прочее</t>
        </is>
      </c>
      <c r="J11" s="133" t="inlineStr">
        <is>
          <t>Всего</t>
        </is>
      </c>
      <c r="L11" s="133" t="inlineStr">
        <is>
          <t>ОТ + НР + СП</t>
        </is>
      </c>
      <c r="M11" s="133" t="inlineStr">
        <is>
          <t>ЭММ</t>
        </is>
      </c>
      <c r="N11" s="133" t="inlineStr">
        <is>
          <t>Мат</t>
        </is>
      </c>
      <c r="O11" s="133" t="inlineStr">
        <is>
          <t>Об</t>
        </is>
      </c>
      <c r="P11" s="133" t="inlineStr">
        <is>
          <t>Всего</t>
        </is>
      </c>
    </row>
    <row r="12" ht="126" customHeight="1" s="102">
      <c r="A12" s="104" t="n"/>
      <c r="B12" s="90" t="n">
        <v>1</v>
      </c>
      <c r="C12" s="114">
        <f>'Прил.1 Сравнит табл'!D16</f>
        <v/>
      </c>
      <c r="D12" s="127" t="inlineStr">
        <is>
          <t>05-05-01</t>
        </is>
      </c>
      <c r="E12" s="114" t="inlineStr">
        <is>
          <t>Монтаж оборудования информационной безопасности</t>
        </is>
      </c>
      <c r="F12" s="189" t="n"/>
      <c r="G12" s="189" t="n">
        <v>2102.503</v>
      </c>
      <c r="H12" s="189" t="n">
        <v>23599.919</v>
      </c>
      <c r="I12" s="189" t="n"/>
      <c r="J12" s="190">
        <f>SUM(F12:I12)</f>
        <v/>
      </c>
      <c r="L12" s="190">
        <f>(15889.26+14897.14+7311.11)/1000</f>
        <v/>
      </c>
      <c r="M12" s="190">
        <f>39.32/1000</f>
        <v/>
      </c>
      <c r="N12" s="190">
        <f>724.56/1000</f>
        <v/>
      </c>
      <c r="O12" s="190">
        <f>3769955.11/1000</f>
        <v/>
      </c>
      <c r="P12" s="190">
        <f>SUM(L12:O12)</f>
        <v/>
      </c>
    </row>
    <row r="13" ht="15" customHeight="1" s="102">
      <c r="A13" s="104" t="n"/>
      <c r="B13" s="132" t="inlineStr">
        <is>
          <t>Всего по объекту:</t>
        </is>
      </c>
      <c r="C13" s="185" t="n"/>
      <c r="D13" s="185" t="n"/>
      <c r="E13" s="186" t="n"/>
      <c r="F13" s="191" t="n"/>
      <c r="G13" s="191">
        <f>SUM(G12:G12)</f>
        <v/>
      </c>
      <c r="H13" s="191">
        <f>SUM(H12:H12)</f>
        <v/>
      </c>
      <c r="I13" s="191" t="n"/>
      <c r="J13" s="191">
        <f>SUM(F13:I13)</f>
        <v/>
      </c>
      <c r="L13" t="n">
        <v>54.96</v>
      </c>
      <c r="M13" t="n">
        <v>16.91</v>
      </c>
      <c r="N13" t="n">
        <v>11.04</v>
      </c>
      <c r="O13" t="n">
        <v>6.26</v>
      </c>
      <c r="P13" s="93">
        <f>'Прил.1 Сравнит табл'!D13</f>
        <v/>
      </c>
    </row>
    <row r="14" ht="15.75" customHeight="1" s="102">
      <c r="A14" s="104" t="n"/>
      <c r="B14" s="132" t="inlineStr">
        <is>
          <t>Всего по объекту в сопоставимом уровне цен 1 кв. 2023г:</t>
        </is>
      </c>
      <c r="C14" s="185" t="n"/>
      <c r="D14" s="185" t="n"/>
      <c r="E14" s="186" t="n"/>
      <c r="F14" s="191" t="n"/>
      <c r="G14" s="191">
        <f>G13</f>
        <v/>
      </c>
      <c r="H14" s="191">
        <f>H13</f>
        <v/>
      </c>
      <c r="I14" s="191" t="n"/>
      <c r="J14" s="191">
        <f>SUM(F14:I14)</f>
        <v/>
      </c>
      <c r="L14" t="n">
        <v>44.29</v>
      </c>
      <c r="M14" t="n">
        <v>13.47</v>
      </c>
      <c r="N14" t="n">
        <v>8.039999999999999</v>
      </c>
      <c r="O14" t="n">
        <v>6.26</v>
      </c>
      <c r="P14" s="167" t="inlineStr">
        <is>
          <t>БР (МО)</t>
        </is>
      </c>
    </row>
    <row r="15" ht="15.75" customHeight="1" s="102">
      <c r="A15" s="104" t="n"/>
      <c r="B15" s="129" t="n"/>
      <c r="C15" s="104" t="n"/>
      <c r="D15" s="104" t="n"/>
      <c r="E15" s="104" t="n"/>
      <c r="F15" s="104" t="n"/>
      <c r="G15" s="104" t="n"/>
      <c r="H15" s="104" t="n"/>
      <c r="I15" s="104" t="n"/>
      <c r="J15" s="104" t="n"/>
    </row>
    <row r="16" ht="15.75" customHeight="1" s="102">
      <c r="A16" s="104" t="n"/>
      <c r="B16" s="104" t="n"/>
      <c r="C16" s="104" t="n"/>
      <c r="D16" s="104" t="n"/>
      <c r="E16" s="104" t="n"/>
      <c r="F16" s="104" t="n"/>
      <c r="G16" s="104" t="n"/>
      <c r="H16" s="104" t="n"/>
      <c r="I16" s="104" t="n"/>
      <c r="J16" s="104" t="n"/>
    </row>
    <row r="17" ht="15.75" customHeight="1" s="102">
      <c r="A17" s="104" t="n"/>
      <c r="B17" s="104" t="n"/>
      <c r="C17" s="104" t="n"/>
      <c r="D17" s="104" t="n"/>
      <c r="E17" s="104" t="n"/>
      <c r="F17" s="104" t="n"/>
      <c r="G17" s="104" t="n"/>
      <c r="H17" s="104" t="n"/>
      <c r="I17" s="104" t="n"/>
      <c r="J17" s="104" t="n"/>
    </row>
    <row r="18" ht="15.75" customHeight="1" s="102">
      <c r="A18" s="104" t="n"/>
      <c r="B18" s="104" t="inlineStr">
        <is>
          <t>Составил ______________________        Е.А. Князева</t>
        </is>
      </c>
      <c r="C18" s="104" t="n"/>
      <c r="D18" s="104" t="n"/>
      <c r="E18" s="104" t="n"/>
      <c r="F18" s="104" t="n"/>
      <c r="G18" s="104" t="n"/>
      <c r="H18" s="104" t="n"/>
      <c r="I18" s="104" t="n"/>
      <c r="J18" s="104" t="n"/>
    </row>
    <row r="19" ht="22.5" customHeight="1" s="102">
      <c r="A19" s="104" t="n"/>
      <c r="B19" s="77" t="inlineStr">
        <is>
          <t xml:space="preserve">                         (подпись, инициалы, фамилия)</t>
        </is>
      </c>
      <c r="C19" s="104" t="n"/>
      <c r="D19" s="104" t="n"/>
      <c r="E19" s="104" t="n"/>
      <c r="F19" s="104" t="n"/>
      <c r="G19" s="104" t="n"/>
      <c r="H19" s="104" t="n"/>
      <c r="I19" s="104" t="n"/>
      <c r="J19" s="104" t="n"/>
    </row>
    <row r="20" ht="15.75" customHeight="1" s="102">
      <c r="A20" s="104" t="n"/>
      <c r="B20" s="104" t="n"/>
      <c r="C20" s="104" t="n"/>
      <c r="D20" s="104" t="n"/>
      <c r="E20" s="104" t="n"/>
      <c r="F20" s="104" t="n"/>
      <c r="G20" s="104" t="n"/>
      <c r="H20" s="104" t="n"/>
      <c r="I20" s="104" t="n"/>
      <c r="J20" s="104" t="n"/>
    </row>
    <row r="21" ht="15.75" customHeight="1" s="102">
      <c r="A21" s="104" t="n"/>
      <c r="B21" s="104" t="inlineStr">
        <is>
          <t>Проверил ______________________        А.В. Костянецкая</t>
        </is>
      </c>
      <c r="C21" s="104" t="n"/>
      <c r="D21" s="104" t="n"/>
      <c r="E21" s="104" t="n"/>
      <c r="F21" s="104" t="n"/>
      <c r="G21" s="104" t="n"/>
      <c r="H21" s="104" t="n"/>
      <c r="I21" s="104" t="n"/>
      <c r="J21" s="104" t="n"/>
    </row>
    <row r="22" ht="22.5" customHeight="1" s="102">
      <c r="A22" s="104" t="n"/>
      <c r="B22" s="77" t="inlineStr">
        <is>
          <t xml:space="preserve">                        (подпись, инициалы, фамилия)</t>
        </is>
      </c>
      <c r="C22" s="104" t="n"/>
      <c r="D22" s="104" t="n"/>
      <c r="E22" s="104" t="n"/>
      <c r="F22" s="104" t="n"/>
      <c r="G22" s="104" t="n"/>
      <c r="H22" s="104" t="n"/>
      <c r="I22" s="104" t="n"/>
      <c r="J22" s="104" t="n"/>
    </row>
  </sheetData>
  <mergeCells count="13">
    <mergeCell ref="B7:J7"/>
    <mergeCell ref="B3:J3"/>
    <mergeCell ref="D10:D11"/>
    <mergeCell ref="D9:J9"/>
    <mergeCell ref="B13:E13"/>
    <mergeCell ref="F10:J10"/>
    <mergeCell ref="L10:P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6"/>
  <sheetViews>
    <sheetView view="pageBreakPreview" topLeftCell="A43" workbookViewId="0">
      <selection activeCell="D78" sqref="D78"/>
    </sheetView>
  </sheetViews>
  <sheetFormatPr baseColWidth="8" defaultRowHeight="15.75"/>
  <cols>
    <col width="9.140625" customWidth="1" style="104" min="1" max="1"/>
    <col width="12.5703125" customWidth="1" style="104" min="2" max="2"/>
    <col width="22.42578125" customWidth="1" style="104" min="3" max="3"/>
    <col width="49.7109375" customWidth="1" style="104" min="4" max="4"/>
    <col width="10.140625" customWidth="1" style="104" min="5" max="5"/>
    <col width="20.7109375" customWidth="1" style="104" min="6" max="6"/>
    <col width="16.140625" customWidth="1" style="104" min="7" max="7"/>
    <col width="16.7109375" customWidth="1" style="104" min="8" max="8"/>
    <col width="9.140625" customWidth="1" style="104" min="9" max="9"/>
    <col width="19.42578125" customWidth="1" style="104" min="10" max="10"/>
    <col width="13" customWidth="1" style="102" min="11" max="11"/>
    <col width="9.140625" customWidth="1" style="102" min="12" max="12"/>
  </cols>
  <sheetData>
    <row r="1">
      <c r="K1" s="104" t="n"/>
    </row>
    <row r="2">
      <c r="A2" s="130" t="inlineStr">
        <is>
          <t xml:space="preserve">Приложение № 3 </t>
        </is>
      </c>
      <c r="K2" s="104" t="n"/>
    </row>
    <row r="3">
      <c r="A3" s="131" t="inlineStr">
        <is>
          <t>Объектная ресурсная ведомость</t>
        </is>
      </c>
      <c r="K3" s="104" t="n"/>
    </row>
    <row r="4" ht="18.75" customHeight="1" s="102">
      <c r="A4" s="129" t="n"/>
      <c r="K4" s="104" t="n"/>
    </row>
    <row r="5" ht="36.75" customHeight="1" s="102">
      <c r="A5" s="139">
        <f>'Прил.1 Сравнит табл'!B7</f>
        <v/>
      </c>
      <c r="K5" s="104" t="n"/>
    </row>
    <row r="6" ht="36.75" customHeight="1" s="102">
      <c r="A6" s="139" t="n"/>
      <c r="B6" s="139" t="n"/>
      <c r="C6" s="139" t="n"/>
      <c r="D6" s="139" t="n"/>
      <c r="E6" s="139" t="n"/>
      <c r="F6" s="139" t="n"/>
      <c r="G6" s="139" t="n"/>
      <c r="H6" s="139" t="n"/>
      <c r="I6" s="104" t="n"/>
      <c r="J6" s="104" t="n"/>
      <c r="K6" s="104" t="n"/>
    </row>
    <row r="7" ht="36.75" customHeight="1" s="102">
      <c r="A7" s="139" t="n"/>
      <c r="B7" s="139" t="n"/>
      <c r="C7" s="139" t="n"/>
      <c r="D7" s="139" t="n"/>
      <c r="E7" s="139" t="n"/>
      <c r="F7" s="139" t="n"/>
      <c r="G7" s="139" t="n"/>
      <c r="H7" s="139" t="n"/>
      <c r="I7" s="104" t="n"/>
      <c r="J7" s="104" t="n"/>
      <c r="K7" s="104" t="n"/>
    </row>
    <row r="8">
      <c r="A8" s="135" t="n"/>
      <c r="B8" s="135" t="n"/>
      <c r="C8" s="135" t="n"/>
      <c r="D8" s="135" t="n"/>
      <c r="E8" s="135" t="n"/>
      <c r="F8" s="135" t="n"/>
      <c r="G8" s="135" t="n"/>
      <c r="H8" s="135" t="n"/>
      <c r="K8" s="104" t="n"/>
    </row>
    <row r="9" ht="33" customHeight="1" s="102">
      <c r="A9" s="133" t="inlineStr">
        <is>
          <t>п/п</t>
        </is>
      </c>
      <c r="B9" s="133" t="inlineStr">
        <is>
          <t>№ЛСР</t>
        </is>
      </c>
      <c r="C9" s="133" t="inlineStr">
        <is>
          <t>Код ресурса</t>
        </is>
      </c>
      <c r="D9" s="133" t="inlineStr">
        <is>
          <t>Наименование ресурса</t>
        </is>
      </c>
      <c r="E9" s="133" t="inlineStr">
        <is>
          <t>Ед. изм.</t>
        </is>
      </c>
      <c r="F9" s="133" t="inlineStr">
        <is>
          <t>Кол-во единиц по данным объекта-представителя</t>
        </is>
      </c>
      <c r="G9" s="133" t="inlineStr">
        <is>
          <t>Сметная стоимость в ценах на 01.01.2000 (руб.)</t>
        </is>
      </c>
      <c r="H9" s="186" t="n"/>
      <c r="K9" s="104" t="n"/>
    </row>
    <row r="10" ht="33" customHeight="1" s="102">
      <c r="A10" s="188" t="n"/>
      <c r="B10" s="188" t="n"/>
      <c r="C10" s="188" t="n"/>
      <c r="D10" s="188" t="n"/>
      <c r="E10" s="188" t="n"/>
      <c r="F10" s="188" t="n"/>
      <c r="G10" s="133" t="inlineStr">
        <is>
          <t>на ед.изм.</t>
        </is>
      </c>
      <c r="H10" s="133" t="inlineStr">
        <is>
          <t>общая</t>
        </is>
      </c>
      <c r="K10" s="104" t="n"/>
    </row>
    <row r="11">
      <c r="A11" s="118" t="n">
        <v>1</v>
      </c>
      <c r="B11" s="118" t="n"/>
      <c r="C11" s="118" t="n">
        <v>2</v>
      </c>
      <c r="D11" s="118" t="inlineStr">
        <is>
          <t>З</t>
        </is>
      </c>
      <c r="E11" s="118" t="n">
        <v>4</v>
      </c>
      <c r="F11" s="118" t="n">
        <v>5</v>
      </c>
      <c r="G11" s="118" t="n">
        <v>6</v>
      </c>
      <c r="H11" s="118" t="n">
        <v>7</v>
      </c>
      <c r="I11" s="192" t="n"/>
      <c r="K11" s="104" t="n"/>
    </row>
    <row r="12">
      <c r="A12" s="136" t="inlineStr">
        <is>
          <t>Затраты труда рабочих</t>
        </is>
      </c>
      <c r="B12" s="185" t="n"/>
      <c r="C12" s="185" t="n"/>
      <c r="D12" s="185" t="n"/>
      <c r="E12" s="186" t="n"/>
      <c r="F12" s="69" t="n">
        <v>1082.95</v>
      </c>
      <c r="G12" s="69" t="n"/>
      <c r="H12" s="69">
        <f>SUM(H13:H16)</f>
        <v/>
      </c>
      <c r="I12" s="70" t="n"/>
      <c r="J12" s="70" t="n"/>
      <c r="K12" s="70" t="n"/>
    </row>
    <row r="13">
      <c r="A13" s="137" t="n">
        <v>1</v>
      </c>
      <c r="B13" s="89" t="n"/>
      <c r="C13" s="72" t="inlineStr">
        <is>
          <t>2-0011</t>
        </is>
      </c>
      <c r="D13" s="138" t="inlineStr">
        <is>
          <t>Инженер I категории</t>
        </is>
      </c>
      <c r="E13" s="137" t="inlineStr">
        <is>
          <t>чел.-ч</t>
        </is>
      </c>
      <c r="F13" s="137" t="n">
        <v>530</v>
      </c>
      <c r="G13" s="74" t="n">
        <v>15.49</v>
      </c>
      <c r="H13" s="74">
        <f>ROUND(F13*G13,2)</f>
        <v/>
      </c>
      <c r="K13" s="104" t="n"/>
    </row>
    <row r="14" ht="15" customHeight="1" s="102">
      <c r="A14" s="137" t="n">
        <v>2</v>
      </c>
      <c r="B14" s="89" t="n"/>
      <c r="C14" s="72" t="inlineStr">
        <is>
          <t>2-0012</t>
        </is>
      </c>
      <c r="D14" s="138" t="inlineStr">
        <is>
          <t>Инженер II категории</t>
        </is>
      </c>
      <c r="E14" s="137" t="inlineStr">
        <is>
          <t>чел.-ч</t>
        </is>
      </c>
      <c r="F14" s="137" t="n">
        <v>530</v>
      </c>
      <c r="G14" s="74" t="n">
        <v>14.09</v>
      </c>
      <c r="H14" s="74">
        <f>ROUND(F14*G14,2)</f>
        <v/>
      </c>
      <c r="K14" s="104" t="n"/>
    </row>
    <row r="15">
      <c r="A15" s="137" t="n">
        <v>3</v>
      </c>
      <c r="B15" s="89" t="n"/>
      <c r="C15" s="72" t="inlineStr">
        <is>
          <t>1-0038</t>
        </is>
      </c>
      <c r="D15" s="138" t="inlineStr">
        <is>
          <t>Рабочий среднего разряда 3,8</t>
        </is>
      </c>
      <c r="E15" s="137" t="inlineStr">
        <is>
          <t>чел.-ч</t>
        </is>
      </c>
      <c r="F15" s="137" t="n">
        <v>17.8</v>
      </c>
      <c r="G15" s="74" t="n">
        <v>9.4</v>
      </c>
      <c r="H15" s="74">
        <f>ROUND(F15*G15,2)</f>
        <v/>
      </c>
      <c r="K15" s="104" t="n"/>
    </row>
    <row r="16">
      <c r="A16" s="137" t="n">
        <v>4</v>
      </c>
      <c r="B16" s="89" t="n"/>
      <c r="C16" s="72" t="inlineStr">
        <is>
          <t>1-0031</t>
        </is>
      </c>
      <c r="D16" s="138" t="inlineStr">
        <is>
          <t>Рабочий среднего разряда 3,1</t>
        </is>
      </c>
      <c r="E16" s="137" t="inlineStr">
        <is>
          <t>чел.-ч</t>
        </is>
      </c>
      <c r="F16" s="137" t="n">
        <v>5.15</v>
      </c>
      <c r="G16" s="74" t="n">
        <v>8.640000000000001</v>
      </c>
      <c r="H16" s="74">
        <f>ROUND(F16*G16,2)</f>
        <v/>
      </c>
      <c r="K16" s="104" t="n"/>
    </row>
    <row r="17">
      <c r="A17" s="136" t="inlineStr">
        <is>
          <t>Затраты труда машинистов</t>
        </is>
      </c>
      <c r="B17" s="185" t="n"/>
      <c r="C17" s="185" t="n"/>
      <c r="D17" s="185" t="n"/>
      <c r="E17" s="186" t="n"/>
      <c r="F17" s="136" t="n">
        <v>0.35</v>
      </c>
      <c r="G17" s="69" t="n"/>
      <c r="H17" s="69">
        <f>H18</f>
        <v/>
      </c>
      <c r="K17" s="104" t="n"/>
    </row>
    <row r="18">
      <c r="A18" s="137" t="n">
        <v>5</v>
      </c>
      <c r="B18" s="90" t="n"/>
      <c r="C18" s="84" t="n">
        <v>2</v>
      </c>
      <c r="D18" s="138" t="inlineStr">
        <is>
          <t>Затраты труда машинистов</t>
        </is>
      </c>
      <c r="E18" s="137" t="inlineStr">
        <is>
          <t>чел.-ч</t>
        </is>
      </c>
      <c r="F18" s="137" t="n">
        <v>0.35</v>
      </c>
      <c r="G18" s="74" t="n"/>
      <c r="H18" s="74" t="n">
        <v>4.39</v>
      </c>
      <c r="K18" s="104" t="n"/>
    </row>
    <row r="19">
      <c r="A19" s="136" t="inlineStr">
        <is>
          <t>Машины и механизмы</t>
        </is>
      </c>
      <c r="B19" s="185" t="n"/>
      <c r="C19" s="185" t="n"/>
      <c r="D19" s="185" t="n"/>
      <c r="E19" s="186" t="n"/>
      <c r="F19" s="136" t="n"/>
      <c r="G19" s="69" t="n"/>
      <c r="H19" s="69">
        <f>SUM(H20:H23)</f>
        <v/>
      </c>
      <c r="I19" s="70" t="n"/>
      <c r="J19" s="70" t="n"/>
      <c r="K19" s="70" t="n"/>
    </row>
    <row r="20" ht="31.5" customHeight="1" s="102">
      <c r="A20" s="137" t="n">
        <v>6</v>
      </c>
      <c r="B20" s="90" t="n"/>
      <c r="C20" s="84" t="inlineStr">
        <is>
          <t>91.05.05-015</t>
        </is>
      </c>
      <c r="D20" s="138" t="inlineStr">
        <is>
          <t>Краны на автомобильном ходу, грузоподъемность 16 т</t>
        </is>
      </c>
      <c r="E20" s="137" t="inlineStr">
        <is>
          <t>маш.-ч.</t>
        </is>
      </c>
      <c r="F20" s="137" t="n">
        <v>0.17</v>
      </c>
      <c r="G20" s="74" t="n">
        <v>115.4</v>
      </c>
      <c r="H20" s="74">
        <f>ROUND(F20*G20,2)</f>
        <v/>
      </c>
      <c r="K20" s="104" t="n"/>
    </row>
    <row r="21">
      <c r="A21" s="137" t="n">
        <v>7</v>
      </c>
      <c r="B21" s="90" t="n"/>
      <c r="C21" s="84" t="inlineStr">
        <is>
          <t>91.14.02-001</t>
        </is>
      </c>
      <c r="D21" s="138" t="inlineStr">
        <is>
          <t>Автомобили бортовые, грузоподъемность до 5 т</t>
        </is>
      </c>
      <c r="E21" s="137" t="inlineStr">
        <is>
          <t>маш.-ч.</t>
        </is>
      </c>
      <c r="F21" s="137" t="n">
        <v>0.18</v>
      </c>
      <c r="G21" s="74" t="n">
        <v>65.70999999999999</v>
      </c>
      <c r="H21" s="74">
        <f>ROUND(F21*G21,2)</f>
        <v/>
      </c>
      <c r="I21" s="70" t="n"/>
      <c r="J21" s="70" t="n"/>
      <c r="K21" s="70" t="n"/>
    </row>
    <row r="22">
      <c r="A22" s="137" t="n">
        <v>8</v>
      </c>
      <c r="B22" s="90" t="n"/>
      <c r="C22" s="84" t="inlineStr">
        <is>
          <t>91.21.19-031</t>
        </is>
      </c>
      <c r="D22" s="138" t="inlineStr">
        <is>
          <t>Станки сверлильные</t>
        </is>
      </c>
      <c r="E22" s="137" t="inlineStr">
        <is>
          <t>маш.-ч.</t>
        </is>
      </c>
      <c r="F22" s="137" t="n">
        <v>2.3</v>
      </c>
      <c r="G22" s="74" t="n">
        <v>2.36</v>
      </c>
      <c r="H22" s="74">
        <f>ROUND(F22*G22,2)</f>
        <v/>
      </c>
      <c r="K22" s="104" t="n"/>
    </row>
    <row r="23" ht="31.5" customHeight="1" s="102">
      <c r="A23" s="137" t="n">
        <v>9</v>
      </c>
      <c r="B23" s="90" t="n"/>
      <c r="C23" s="84" t="inlineStr">
        <is>
          <t>91.17.04-233</t>
        </is>
      </c>
      <c r="D23" s="138" t="inlineStr">
        <is>
          <t>Установки для сварки ручной дуговой (постоянного тока)</t>
        </is>
      </c>
      <c r="E23" s="137" t="inlineStr">
        <is>
          <t>маш.-ч.</t>
        </is>
      </c>
      <c r="F23" s="137" t="n">
        <v>0.3</v>
      </c>
      <c r="G23" s="74" t="n">
        <v>8.1</v>
      </c>
      <c r="H23" s="74">
        <f>ROUND(F23*G23,2)</f>
        <v/>
      </c>
      <c r="K23" s="104" t="n"/>
    </row>
    <row r="24">
      <c r="A24" s="136" t="inlineStr">
        <is>
          <t>Оборудование</t>
        </is>
      </c>
      <c r="B24" s="185" t="n"/>
      <c r="C24" s="185" t="n"/>
      <c r="D24" s="185" t="n"/>
      <c r="E24" s="186" t="n"/>
      <c r="F24" s="136" t="n"/>
      <c r="G24" s="69" t="n"/>
      <c r="H24" s="69">
        <f>SUM(H25:H37)</f>
        <v/>
      </c>
      <c r="J24" s="86" t="n"/>
    </row>
    <row r="25" ht="47.25" customHeight="1" s="102">
      <c r="A25" s="137" t="n">
        <v>10</v>
      </c>
      <c r="B25" s="90" t="n"/>
      <c r="C25" s="84" t="inlineStr">
        <is>
          <t>Прайс из СД ОП</t>
        </is>
      </c>
      <c r="D25" s="138" t="inlineStr">
        <is>
          <t>Антивирусное ПО для серверов Kaspersky Industrial CyberSecurity for Nodes, Server Russian Edition. 5-9 Node 1 year Base License</t>
        </is>
      </c>
      <c r="E25" s="137" t="inlineStr">
        <is>
          <t>шт.</t>
        </is>
      </c>
      <c r="F25" s="137" t="n">
        <v>8</v>
      </c>
      <c r="G25" s="74" t="n">
        <v>153634.19</v>
      </c>
      <c r="H25" s="74">
        <f>ROUND(F25*G25,2)</f>
        <v/>
      </c>
    </row>
    <row r="26" ht="31.5" customHeight="1" s="102">
      <c r="A26" s="137" t="n">
        <v>11</v>
      </c>
      <c r="B26" s="90" t="n"/>
      <c r="C26" s="84" t="inlineStr">
        <is>
          <t>Прайс из СД ОП</t>
        </is>
      </c>
      <c r="D26" s="138" t="inlineStr">
        <is>
          <t>Система обнаружения вторжений  ПАК ViPNet IDS NS1000 3.x</t>
        </is>
      </c>
      <c r="E26" s="137" t="inlineStr">
        <is>
          <t>шт.</t>
        </is>
      </c>
      <c r="F26" s="137" t="n">
        <v>2</v>
      </c>
      <c r="G26" s="74" t="n">
        <v>277693.77</v>
      </c>
      <c r="H26" s="74">
        <f>ROUND(F26*G26,2)</f>
        <v/>
      </c>
    </row>
    <row r="27" ht="31.5" customHeight="1" s="102">
      <c r="A27" s="137" t="n">
        <v>12</v>
      </c>
      <c r="B27" s="90" t="n"/>
      <c r="C27" s="84" t="inlineStr">
        <is>
          <t>Прайс из СД ОП</t>
        </is>
      </c>
      <c r="D27" s="138" t="inlineStr">
        <is>
          <t>Аппаратная платформа UserGate C150 с сертификатом ФСТЭК</t>
        </is>
      </c>
      <c r="E27" s="137" t="inlineStr">
        <is>
          <t>шт.</t>
        </is>
      </c>
      <c r="F27" s="137" t="n">
        <v>2</v>
      </c>
      <c r="G27" s="74" t="n">
        <v>277006.71</v>
      </c>
      <c r="H27" s="74">
        <f>ROUND(F27*G27,2)</f>
        <v/>
      </c>
    </row>
    <row r="28" ht="47.25" customHeight="1" s="102">
      <c r="A28" s="137" t="n">
        <v>13</v>
      </c>
      <c r="B28" s="90" t="n"/>
      <c r="C28" s="84" t="inlineStr">
        <is>
          <t>Прайс из СД ОП</t>
        </is>
      </c>
      <c r="D28" s="138" t="inlineStr">
        <is>
          <t>Антивирусное ПО для АРМ Kaspersky Industrial CyberSecurity for Nodes, Workstation Russian Edition. 5-9 Node 1 year Base License</t>
        </is>
      </c>
      <c r="E28" s="137" t="inlineStr">
        <is>
          <t>шт.</t>
        </is>
      </c>
      <c r="F28" s="137" t="n">
        <v>8</v>
      </c>
      <c r="G28" s="74" t="n">
        <v>67452.08</v>
      </c>
      <c r="H28" s="74">
        <f>ROUND(F28*G28,2)</f>
        <v/>
      </c>
    </row>
    <row r="29" ht="31.5" customHeight="1" s="102">
      <c r="A29" s="137" t="n">
        <v>14</v>
      </c>
      <c r="B29" s="90" t="n"/>
      <c r="C29" s="84" t="inlineStr">
        <is>
          <t>Прайс из СД ОП</t>
        </is>
      </c>
      <c r="D29" s="138" t="inlineStr">
        <is>
          <t>Аппаратная платформа UserGate C100 с сертификатом ФСТЭК</t>
        </is>
      </c>
      <c r="E29" s="137" t="inlineStr">
        <is>
          <t>шт.</t>
        </is>
      </c>
      <c r="F29" s="137" t="n">
        <v>1</v>
      </c>
      <c r="G29" s="74" t="n">
        <v>172088.5</v>
      </c>
      <c r="H29" s="74">
        <f>ROUND(F29*G29,2)</f>
        <v/>
      </c>
    </row>
    <row r="30" ht="63" customHeight="1" s="102">
      <c r="A30" s="137" t="n">
        <v>15</v>
      </c>
      <c r="B30" s="90" t="n"/>
      <c r="C30" s="84" t="inlineStr">
        <is>
          <t>Прайс из СД ОП</t>
        </is>
      </c>
      <c r="D30" s="138" t="inlineStr">
        <is>
          <t>Сертификат активации сервиса прямой технической поддержки ПАК ViPNet Coordinator HW1000 4.x на срок 1 год, уровень - Расширенный</t>
        </is>
      </c>
      <c r="E30" s="137" t="inlineStr">
        <is>
          <t>шт.</t>
        </is>
      </c>
      <c r="F30" s="137" t="n">
        <v>2</v>
      </c>
      <c r="G30" s="74" t="n">
        <v>58945.69</v>
      </c>
      <c r="H30" s="74">
        <f>ROUND(F30*G30,2)</f>
        <v/>
      </c>
    </row>
    <row r="31" ht="31.5" customHeight="1" s="102">
      <c r="A31" s="137" t="n">
        <v>16</v>
      </c>
      <c r="B31" s="90" t="n"/>
      <c r="C31" s="84" t="inlineStr">
        <is>
          <t>Прайс из СД ОП</t>
        </is>
      </c>
      <c r="D31" s="138" t="inlineStr">
        <is>
          <t>Шкаф ИБ (только металлоконструкция) 800х1000х2000 (ШхГхВ)</t>
        </is>
      </c>
      <c r="E31" s="137" t="inlineStr">
        <is>
          <t>шт</t>
        </is>
      </c>
      <c r="F31" s="137" t="n">
        <v>1</v>
      </c>
      <c r="G31" s="74" t="n">
        <v>110738.02</v>
      </c>
      <c r="H31" s="74">
        <f>ROUND(F31*G31,2)</f>
        <v/>
      </c>
    </row>
    <row r="32" ht="47.25" customHeight="1" s="102">
      <c r="A32" s="137" t="n">
        <v>17</v>
      </c>
      <c r="B32" s="90" t="n"/>
      <c r="C32" s="84" t="inlineStr">
        <is>
          <t>Прайс из СД ОП</t>
        </is>
      </c>
      <c r="D32" s="138" t="inlineStr">
        <is>
          <t>Лицензия без ограничения числа пользователей для UserGate С150 (кластер, 1-я нода) с сертификатом ФСТЭК</t>
        </is>
      </c>
      <c r="E32" s="137" t="inlineStr">
        <is>
          <t>шт.</t>
        </is>
      </c>
      <c r="F32" s="137" t="n">
        <v>1</v>
      </c>
      <c r="G32" s="74" t="n">
        <v>101757.19</v>
      </c>
      <c r="H32" s="74">
        <f>ROUND(F32*G32,2)</f>
        <v/>
      </c>
    </row>
    <row r="33" ht="47.25" customHeight="1" s="102">
      <c r="A33" s="137" t="n">
        <v>18</v>
      </c>
      <c r="B33" s="90" t="n"/>
      <c r="C33" s="84" t="inlineStr">
        <is>
          <t>Прайс из СД ОП</t>
        </is>
      </c>
      <c r="D33" s="138" t="inlineStr">
        <is>
          <t>Модуль защиты от НСД и контроля устройств Средства защиты информации Secret Net Studio 8</t>
        </is>
      </c>
      <c r="E33" s="137" t="inlineStr">
        <is>
          <t>шт.</t>
        </is>
      </c>
      <c r="F33" s="137" t="n">
        <v>16</v>
      </c>
      <c r="G33" s="74" t="n">
        <v>6309.9</v>
      </c>
      <c r="H33" s="74">
        <f>ROUND(F33*G33,2)</f>
        <v/>
      </c>
    </row>
    <row r="34" ht="47.25" customHeight="1" s="102">
      <c r="A34" s="137" t="n">
        <v>19</v>
      </c>
      <c r="B34" s="90" t="n"/>
      <c r="C34" s="84" t="inlineStr">
        <is>
          <t>Прайс из СД ОП</t>
        </is>
      </c>
      <c r="D34" s="138" t="inlineStr">
        <is>
          <t>Лицензия без ограничения числа пользователей для UserGate C150 (кластер, 2-я нода) с сертификатом ФСТЭК</t>
        </is>
      </c>
      <c r="E34" s="137" t="inlineStr">
        <is>
          <t>шт.</t>
        </is>
      </c>
      <c r="F34" s="137" t="n">
        <v>1</v>
      </c>
      <c r="G34" s="74" t="n">
        <v>89416.92999999999</v>
      </c>
      <c r="H34" s="74">
        <f>ROUND(F34*G34,2)</f>
        <v/>
      </c>
    </row>
    <row r="35" ht="31.5" customHeight="1" s="102">
      <c r="A35" s="137" t="n">
        <v>20</v>
      </c>
      <c r="B35" s="90" t="n"/>
      <c r="C35" s="84" t="inlineStr">
        <is>
          <t>Прайс из СД ОП</t>
        </is>
      </c>
      <c r="D35" s="138" t="inlineStr">
        <is>
          <t>Лицензия без ограничения числа пользователей для UserGate C100 с сертифика-том ФСТЭК</t>
        </is>
      </c>
      <c r="E35" s="137" t="inlineStr">
        <is>
          <t>шт.</t>
        </is>
      </c>
      <c r="F35" s="137" t="n">
        <v>1</v>
      </c>
      <c r="G35" s="74" t="n">
        <v>80411.34</v>
      </c>
      <c r="H35" s="74">
        <f>ROUND(F35*G35,2)</f>
        <v/>
      </c>
    </row>
    <row r="36" ht="47.25" customHeight="1" s="102">
      <c r="A36" s="137" t="n">
        <v>21</v>
      </c>
      <c r="B36" s="90" t="n"/>
      <c r="C36" s="84" t="inlineStr">
        <is>
          <t>Прайс из СД ОП</t>
        </is>
      </c>
      <c r="D36" s="138" t="inlineStr">
        <is>
          <t>Система обнаружения вторжений Kaspersky Industrial CyberSecurity for Networks, 1 year Base License</t>
        </is>
      </c>
      <c r="E36" s="137" t="inlineStr">
        <is>
          <t>шт.</t>
        </is>
      </c>
      <c r="F36" s="137" t="n">
        <v>1</v>
      </c>
      <c r="G36" s="74" t="n">
        <v>74001.60000000001</v>
      </c>
      <c r="H36" s="74">
        <f>ROUND(F36*G36,2)</f>
        <v/>
      </c>
    </row>
    <row r="37" ht="47.25" customHeight="1" s="102">
      <c r="A37" s="137" t="n">
        <v>22</v>
      </c>
      <c r="B37" s="90" t="n"/>
      <c r="C37" s="84" t="inlineStr">
        <is>
          <t>Прайс из СД ОП</t>
        </is>
      </c>
      <c r="D37" s="138" t="inlineStr">
        <is>
          <t>Установочный комплект. Сертифицированное Средство защиты информации Secret Net Studio 8</t>
        </is>
      </c>
      <c r="E37" s="137" t="inlineStr">
        <is>
          <t>шт.</t>
        </is>
      </c>
      <c r="F37" s="137" t="n">
        <v>16</v>
      </c>
      <c r="G37" s="74" t="n">
        <v>2787.54</v>
      </c>
      <c r="H37" s="74">
        <f>ROUND(F37*G37,2)</f>
        <v/>
      </c>
    </row>
    <row r="38">
      <c r="A38" s="136" t="inlineStr">
        <is>
          <t>Материалы</t>
        </is>
      </c>
      <c r="B38" s="185" t="n"/>
      <c r="C38" s="185" t="n"/>
      <c r="D38" s="185" t="n"/>
      <c r="E38" s="186" t="n"/>
      <c r="F38" s="136" t="n"/>
      <c r="G38" s="69" t="n"/>
      <c r="H38" s="69">
        <f>SUM(H39:H49)</f>
        <v/>
      </c>
      <c r="J38" s="86" t="n"/>
    </row>
    <row r="39" ht="31.5" customHeight="1" s="102">
      <c r="A39" s="137" t="n">
        <v>23</v>
      </c>
      <c r="B39" s="91" t="n"/>
      <c r="C39" s="84" t="inlineStr">
        <is>
          <t>999-9950</t>
        </is>
      </c>
      <c r="D39" s="138" t="inlineStr">
        <is>
          <t>Вспомогательные ненормируемые ресурсы (2% от Оплаты труда рабочих)</t>
        </is>
      </c>
      <c r="E39" s="137" t="inlineStr">
        <is>
          <t>руб</t>
        </is>
      </c>
      <c r="F39" s="137" t="n">
        <v>313.76</v>
      </c>
      <c r="G39" s="74" t="n">
        <v>1</v>
      </c>
      <c r="H39" s="74">
        <f>ROUND(F39*G39,2)</f>
        <v/>
      </c>
    </row>
    <row r="40" ht="47.25" customHeight="1" s="102">
      <c r="A40" s="137" t="n">
        <v>24</v>
      </c>
      <c r="B40" s="91" t="n"/>
      <c r="C40" s="84" t="inlineStr">
        <is>
          <t>08.3.06.01-0003</t>
        </is>
      </c>
      <c r="D40" s="13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0" s="137" t="inlineStr">
        <is>
          <t>т</t>
        </is>
      </c>
      <c r="F40" s="137" t="n">
        <v>0.028</v>
      </c>
      <c r="G40" s="74" t="n">
        <v>6834.81</v>
      </c>
      <c r="H40" s="74">
        <f>ROUND(F40*G40,2)</f>
        <v/>
      </c>
    </row>
    <row r="41">
      <c r="A41" s="137" t="n">
        <v>25</v>
      </c>
      <c r="B41" s="91" t="n"/>
      <c r="C41" s="84" t="inlineStr">
        <is>
          <t>07.2.07.13-0171</t>
        </is>
      </c>
      <c r="D41" s="138" t="inlineStr">
        <is>
          <t>Подкладки металлические</t>
        </is>
      </c>
      <c r="E41" s="137" t="inlineStr">
        <is>
          <t>кг</t>
        </is>
      </c>
      <c r="F41" s="137" t="n">
        <v>15</v>
      </c>
      <c r="G41" s="74" t="n">
        <v>12.6</v>
      </c>
      <c r="H41" s="74">
        <f>ROUND(F41*G41,2)</f>
        <v/>
      </c>
    </row>
    <row r="42">
      <c r="A42" s="137" t="n">
        <v>26</v>
      </c>
      <c r="B42" s="91" t="n"/>
      <c r="C42" s="84" t="inlineStr">
        <is>
          <t>25.2.02.11-0041</t>
        </is>
      </c>
      <c r="D42" s="138" t="inlineStr">
        <is>
          <t>Рамка для надписей 55x15 мм</t>
        </is>
      </c>
      <c r="E42" s="137" t="inlineStr">
        <is>
          <t>шт</t>
        </is>
      </c>
      <c r="F42" s="137" t="n">
        <v>50</v>
      </c>
      <c r="G42" s="74" t="n">
        <v>0.27</v>
      </c>
      <c r="H42" s="74">
        <f>ROUND(F42*G42,2)</f>
        <v/>
      </c>
    </row>
    <row r="43" ht="15" customHeight="1" s="102">
      <c r="A43" s="137" t="n">
        <v>27</v>
      </c>
      <c r="B43" s="91" t="n"/>
      <c r="C43" s="84" t="inlineStr">
        <is>
          <t>01.7.15.03-0034</t>
        </is>
      </c>
      <c r="D43" s="138" t="inlineStr">
        <is>
          <t>Болты с гайками и шайбами оцинкованные, диаметр 12 мм</t>
        </is>
      </c>
      <c r="E43" s="137" t="inlineStr">
        <is>
          <t>кг</t>
        </is>
      </c>
      <c r="F43" s="137" t="n">
        <v>0.2378</v>
      </c>
      <c r="G43" s="74" t="n">
        <v>25.76</v>
      </c>
      <c r="H43" s="74">
        <f>ROUND(F43*G43,2)</f>
        <v/>
      </c>
    </row>
    <row r="44">
      <c r="A44" s="137" t="n">
        <v>28</v>
      </c>
      <c r="B44" s="91" t="n"/>
      <c r="C44" s="84" t="inlineStr">
        <is>
          <t>01.7.11.07-0032</t>
        </is>
      </c>
      <c r="D44" s="138" t="inlineStr">
        <is>
          <t>Электроды сварочные Э42, диаметр 4 мм</t>
        </is>
      </c>
      <c r="E44" s="137" t="inlineStr">
        <is>
          <t>т</t>
        </is>
      </c>
      <c r="F44" s="137" t="n">
        <v>0.0005</v>
      </c>
      <c r="G44" s="74" t="n">
        <v>10315.01</v>
      </c>
      <c r="H44" s="74">
        <f>ROUND(F44*G44,2)</f>
        <v/>
      </c>
    </row>
    <row r="45" ht="31.5" customHeight="1" s="102">
      <c r="A45" s="137" t="n">
        <v>29</v>
      </c>
      <c r="B45" s="91" t="n"/>
      <c r="C45" s="84" t="inlineStr">
        <is>
          <t>999-9950</t>
        </is>
      </c>
      <c r="D45" s="138" t="inlineStr">
        <is>
          <t>Вспомогательные ненормируемые материальные ресурсы</t>
        </is>
      </c>
      <c r="E45" s="137" t="inlineStr">
        <is>
          <t>руб</t>
        </is>
      </c>
      <c r="F45" s="137" t="n">
        <v>4.2372</v>
      </c>
      <c r="G45" s="74" t="n">
        <v>1</v>
      </c>
      <c r="H45" s="74">
        <f>ROUND(F45*G45,2)</f>
        <v/>
      </c>
    </row>
    <row r="46" ht="15" customHeight="1" s="102">
      <c r="A46" s="137" t="n">
        <v>30</v>
      </c>
      <c r="B46" s="91" t="n"/>
      <c r="C46" s="84" t="inlineStr">
        <is>
          <t>14.4.04.09-0017</t>
        </is>
      </c>
      <c r="D46" s="138" t="inlineStr">
        <is>
          <t>Эмаль ХВ-124, защитная, зеленая</t>
        </is>
      </c>
      <c r="E46" s="137" t="inlineStr">
        <is>
          <t>т</t>
        </is>
      </c>
      <c r="F46" s="137" t="n">
        <v>3e-05</v>
      </c>
      <c r="G46" s="74" t="n">
        <v>28300.4</v>
      </c>
      <c r="H46" s="74">
        <f>ROUND(F46*G46,2)</f>
        <v/>
      </c>
    </row>
    <row r="47">
      <c r="A47" s="137" t="n">
        <v>31</v>
      </c>
      <c r="B47" s="91" t="n"/>
      <c r="C47" s="84" t="inlineStr">
        <is>
          <t>14.4.01.01-0003</t>
        </is>
      </c>
      <c r="D47" s="138" t="inlineStr">
        <is>
          <t>Грунтовка ГФ-021</t>
        </is>
      </c>
      <c r="E47" s="137" t="inlineStr">
        <is>
          <t>т</t>
        </is>
      </c>
      <c r="F47" s="137" t="n">
        <v>2e-05</v>
      </c>
      <c r="G47" s="74" t="n">
        <v>15620</v>
      </c>
      <c r="H47" s="74">
        <f>ROUND(F47*G47,2)</f>
        <v/>
      </c>
    </row>
    <row r="48">
      <c r="A48" s="137" t="n">
        <v>32</v>
      </c>
      <c r="B48" s="91" t="n"/>
      <c r="C48" s="84" t="inlineStr">
        <is>
          <t>14.5.09.07-0030</t>
        </is>
      </c>
      <c r="D48" s="138" t="inlineStr">
        <is>
          <t>Растворитель Р-4</t>
        </is>
      </c>
      <c r="E48" s="137" t="inlineStr">
        <is>
          <t>кг</t>
        </is>
      </c>
      <c r="F48" s="137" t="n">
        <v>0.02</v>
      </c>
      <c r="G48" s="74" t="n">
        <v>9.42</v>
      </c>
      <c r="H48" s="74">
        <f>ROUND(F48*G48,2)</f>
        <v/>
      </c>
    </row>
    <row r="49">
      <c r="A49" s="137" t="n">
        <v>33</v>
      </c>
      <c r="B49" s="91" t="n"/>
      <c r="C49" s="84" t="inlineStr">
        <is>
          <t>14.5.09.11-0102</t>
        </is>
      </c>
      <c r="D49" s="138" t="inlineStr">
        <is>
          <t>Уайт-спирит</t>
        </is>
      </c>
      <c r="E49" s="137" t="inlineStr">
        <is>
          <t>кг</t>
        </is>
      </c>
      <c r="F49" s="137" t="n">
        <v>0.01</v>
      </c>
      <c r="G49" s="74" t="n">
        <v>6.67</v>
      </c>
      <c r="H49" s="74">
        <f>ROUND(F49*G49,2)</f>
        <v/>
      </c>
    </row>
    <row r="50">
      <c r="J50" s="86" t="n"/>
    </row>
    <row r="52">
      <c r="B52" s="104" t="inlineStr">
        <is>
          <t>Составил ______________________        Е.А. Князева</t>
        </is>
      </c>
    </row>
    <row r="53">
      <c r="B53" s="56" t="inlineStr">
        <is>
          <t xml:space="preserve">                         (подпись, инициалы, фамилия)</t>
        </is>
      </c>
    </row>
    <row r="55">
      <c r="B55" s="104" t="inlineStr">
        <is>
          <t>Проверил ______________________        А.В. Костянецкая</t>
        </is>
      </c>
    </row>
    <row r="56">
      <c r="B56" s="56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38:E38"/>
    <mergeCell ref="F9:F10"/>
    <mergeCell ref="A9:A10"/>
    <mergeCell ref="A24:E24"/>
    <mergeCell ref="A2:H2"/>
    <mergeCell ref="A19:E19"/>
    <mergeCell ref="A5:H5"/>
    <mergeCell ref="G9:H9"/>
    <mergeCell ref="A17:E17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4" sqref="B44"/>
    </sheetView>
  </sheetViews>
  <sheetFormatPr baseColWidth="8" defaultRowHeight="15"/>
  <cols>
    <col width="4.140625" customWidth="1" style="102" min="1" max="1"/>
    <col width="36.28515625" customWidth="1" style="102" min="2" max="2"/>
    <col width="18.85546875" customWidth="1" style="102" min="3" max="3"/>
    <col width="18.28515625" customWidth="1" style="102" min="4" max="4"/>
    <col width="18.85546875" customWidth="1" style="102" min="5" max="5"/>
    <col width="9.140625" customWidth="1" style="102" min="6" max="6"/>
    <col width="12.85546875" customWidth="1" style="102" min="7" max="7"/>
    <col width="9.140625" customWidth="1" style="102" min="8" max="11"/>
    <col width="13.5703125" customWidth="1" style="102" min="12" max="12"/>
    <col width="9.140625" customWidth="1" style="102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3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0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02">
      <c r="B7" s="141">
        <f>'Прил.1 Сравнит табл'!B7</f>
        <v/>
      </c>
    </row>
    <row r="8">
      <c r="B8" s="142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02">
      <c r="B10" s="143" t="inlineStr">
        <is>
          <t>Наименование</t>
        </is>
      </c>
      <c r="C10" s="143" t="inlineStr">
        <is>
          <t>Сметная стоимость в ценах на 01.01.2023
 (руб.)</t>
        </is>
      </c>
      <c r="D10" s="143" t="inlineStr">
        <is>
          <t>Удельный вес, 
(в СМР)</t>
        </is>
      </c>
      <c r="E10" s="14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6">
        <f>'Прил.5 Расчет СМР и ОБ'!J16</f>
        <v/>
      </c>
      <c r="D11" s="25">
        <f>C11/$C$24</f>
        <v/>
      </c>
      <c r="E11" s="25">
        <f>C11/$C$40</f>
        <v/>
      </c>
    </row>
    <row r="12">
      <c r="B12" s="7" t="inlineStr">
        <is>
          <t>Эксплуатация машин основных</t>
        </is>
      </c>
      <c r="C12" s="26">
        <f>'Прил.5 Расчет СМР и ОБ'!J24</f>
        <v/>
      </c>
      <c r="D12" s="25">
        <f>C12/$C$24</f>
        <v/>
      </c>
      <c r="E12" s="25">
        <f>C12/$C$40</f>
        <v/>
      </c>
    </row>
    <row r="13">
      <c r="B13" s="7" t="inlineStr">
        <is>
          <t>Эксплуатация машин прочих</t>
        </is>
      </c>
      <c r="C13" s="26">
        <f>'Прил.5 Расчет СМР и ОБ'!J26</f>
        <v/>
      </c>
      <c r="D13" s="25">
        <f>C13/$C$24</f>
        <v/>
      </c>
      <c r="E13" s="25">
        <f>C13/$C$40</f>
        <v/>
      </c>
    </row>
    <row r="14">
      <c r="B14" s="7" t="inlineStr">
        <is>
          <t>ЭКСПЛУАТАЦИЯ МАШИН, ВСЕГО:</t>
        </is>
      </c>
      <c r="C14" s="26">
        <f>C13+C12</f>
        <v/>
      </c>
      <c r="D14" s="25">
        <f>C14/$C$24</f>
        <v/>
      </c>
      <c r="E14" s="25">
        <f>C14/$C$40</f>
        <v/>
      </c>
    </row>
    <row r="15">
      <c r="B15" s="7" t="inlineStr">
        <is>
          <t>в том числе зарплата машинистов</t>
        </is>
      </c>
      <c r="C15" s="26">
        <f>'Прил.5 Расчет СМР и ОБ'!J18</f>
        <v/>
      </c>
      <c r="D15" s="25">
        <f>C15/$C$24</f>
        <v/>
      </c>
      <c r="E15" s="25">
        <f>C15/$C$40</f>
        <v/>
      </c>
    </row>
    <row r="16">
      <c r="B16" s="7" t="inlineStr">
        <is>
          <t>Материалы основные</t>
        </is>
      </c>
      <c r="C16" s="26">
        <f>'Прил.5 Расчет СМР и ОБ'!J52</f>
        <v/>
      </c>
      <c r="D16" s="25">
        <f>C16/$C$24</f>
        <v/>
      </c>
      <c r="E16" s="25">
        <f>C16/$C$40</f>
        <v/>
      </c>
    </row>
    <row r="17">
      <c r="B17" s="7" t="inlineStr">
        <is>
          <t>Материалы прочие</t>
        </is>
      </c>
      <c r="C17" s="26">
        <f>'Прил.5 Расчет СМР и ОБ'!J60</f>
        <v/>
      </c>
      <c r="D17" s="25">
        <f>C17/$C$24</f>
        <v/>
      </c>
      <c r="E17" s="25">
        <f>C17/$C$40</f>
        <v/>
      </c>
      <c r="G17" s="193" t="n"/>
    </row>
    <row r="18">
      <c r="B18" s="7" t="inlineStr">
        <is>
          <t>МАТЕРИАЛЫ, ВСЕГО:</t>
        </is>
      </c>
      <c r="C18" s="26">
        <f>C17+C16</f>
        <v/>
      </c>
      <c r="D18" s="25">
        <f>C18/$C$24</f>
        <v/>
      </c>
      <c r="E18" s="25">
        <f>C18/$C$40</f>
        <v/>
      </c>
    </row>
    <row r="19">
      <c r="B19" s="7" t="inlineStr">
        <is>
          <t>ИТОГО</t>
        </is>
      </c>
      <c r="C19" s="26">
        <f>C18+C14+C11</f>
        <v/>
      </c>
      <c r="D19" s="25" t="n"/>
      <c r="E19" s="7" t="n"/>
    </row>
    <row r="20">
      <c r="B20" s="7" t="inlineStr">
        <is>
          <t>Сметная прибыль, руб.</t>
        </is>
      </c>
      <c r="C20" s="26">
        <f>ROUND(C21*(C11+C15),2)</f>
        <v/>
      </c>
      <c r="D20" s="25">
        <f>C20/$C$24</f>
        <v/>
      </c>
      <c r="E20" s="25">
        <f>C20/$C$40</f>
        <v/>
      </c>
    </row>
    <row r="21">
      <c r="B21" s="7" t="inlineStr">
        <is>
          <t>Сметная прибыль, %</t>
        </is>
      </c>
      <c r="C21" s="27">
        <f>'Прил.5 Расчет СМР и ОБ'!E64</f>
        <v/>
      </c>
      <c r="D21" s="25" t="n"/>
      <c r="E21" s="7" t="n"/>
    </row>
    <row r="22">
      <c r="B22" s="7" t="inlineStr">
        <is>
          <t>Накладные расходы, руб.</t>
        </is>
      </c>
      <c r="C22" s="26">
        <f>ROUND(C23*(C11+C15),2)</f>
        <v/>
      </c>
      <c r="D22" s="25">
        <f>C22/$C$24</f>
        <v/>
      </c>
      <c r="E22" s="25">
        <f>C22/$C$40</f>
        <v/>
      </c>
    </row>
    <row r="23">
      <c r="B23" s="7" t="inlineStr">
        <is>
          <t>Накладные расходы, %</t>
        </is>
      </c>
      <c r="C23" s="27">
        <f>'Прил.5 Расчет СМР и ОБ'!E63</f>
        <v/>
      </c>
      <c r="D23" s="25" t="n"/>
      <c r="E23" s="7" t="n"/>
    </row>
    <row r="24">
      <c r="B24" s="7" t="inlineStr">
        <is>
          <t>ВСЕГО СМР с НР и СП</t>
        </is>
      </c>
      <c r="C24" s="26">
        <f>C19+C20+C22</f>
        <v/>
      </c>
      <c r="D24" s="25">
        <f>C24/$C$24</f>
        <v/>
      </c>
      <c r="E24" s="25">
        <f>C24/$C$40</f>
        <v/>
      </c>
    </row>
    <row r="25" ht="25.5" customHeight="1" s="102">
      <c r="B25" s="7" t="inlineStr">
        <is>
          <t>ВСЕГО стоимость оборудования, в том числе</t>
        </is>
      </c>
      <c r="C25" s="26">
        <f>'Прил.5 Расчет СМР и ОБ'!J45</f>
        <v/>
      </c>
      <c r="D25" s="25" t="n"/>
      <c r="E25" s="25">
        <f>C25/$C$40</f>
        <v/>
      </c>
    </row>
    <row r="26" ht="25.5" customHeight="1" s="102">
      <c r="B26" s="7" t="inlineStr">
        <is>
          <t>стоимость оборудования технологического</t>
        </is>
      </c>
      <c r="C26" s="26">
        <f>'Прил.5 Расчет СМР и ОБ'!J46</f>
        <v/>
      </c>
      <c r="D26" s="25" t="n"/>
      <c r="E26" s="25">
        <f>C26/$C$40</f>
        <v/>
      </c>
    </row>
    <row r="27">
      <c r="B27" s="7" t="inlineStr">
        <is>
          <t>ИТОГО (СМР + ОБОРУДОВАНИЕ)</t>
        </is>
      </c>
      <c r="C27" s="24">
        <f>C24+C25</f>
        <v/>
      </c>
      <c r="D27" s="25" t="n"/>
      <c r="E27" s="25">
        <f>C27/$C$40</f>
        <v/>
      </c>
    </row>
    <row r="28" ht="33" customHeight="1" s="102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2">
      <c r="B29" s="7" t="inlineStr">
        <is>
          <t>Временные здания и сооружения - 3,9%</t>
        </is>
      </c>
      <c r="C29" s="24">
        <f>ROUND(C24*3.9%,2)</f>
        <v/>
      </c>
      <c r="D29" s="7" t="n"/>
      <c r="E29" s="25">
        <f>C29/$C$40</f>
        <v/>
      </c>
    </row>
    <row r="30" ht="38.25" customHeight="1" s="102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00">
        <f>ROUND((C24+C29)*2.1%,2)</f>
        <v/>
      </c>
      <c r="D30" s="99" t="n"/>
      <c r="E30" s="101">
        <f>C30/$C$40</f>
        <v/>
      </c>
    </row>
    <row r="31">
      <c r="B31" s="99" t="inlineStr">
        <is>
          <t xml:space="preserve">Пусконаладочные работы </t>
        </is>
      </c>
      <c r="C31" s="100" t="n">
        <v>1851057.58</v>
      </c>
      <c r="D31" s="99" t="n"/>
      <c r="E31" s="101">
        <f>C31/$C$40</f>
        <v/>
      </c>
    </row>
    <row r="32" ht="25.5" customHeight="1" s="102">
      <c r="B32" s="99" t="inlineStr">
        <is>
          <t>Затраты по перевозке работников к месту работы и обратно - 0.04%</t>
        </is>
      </c>
      <c r="C32" s="100">
        <f>ROUND($C$27*0%,2)</f>
        <v/>
      </c>
      <c r="D32" s="99" t="n"/>
      <c r="E32" s="101">
        <f>C32/$C$40</f>
        <v/>
      </c>
      <c r="G32" s="88" t="n"/>
    </row>
    <row r="33" ht="25.5" customHeight="1" s="102">
      <c r="B33" s="99" t="inlineStr">
        <is>
          <t>Затраты, связанные с осуществлением работ вахтовым методом</t>
        </is>
      </c>
      <c r="C33" s="100">
        <f>ROUND($C$27*0%,2)</f>
        <v/>
      </c>
      <c r="D33" s="99" t="n"/>
      <c r="E33" s="101">
        <f>C33/$C$40</f>
        <v/>
      </c>
      <c r="G33" s="88" t="n"/>
    </row>
    <row r="34" ht="51" customHeight="1" s="102">
      <c r="B34" s="99" t="inlineStr">
        <is>
          <t>Расходы на командировки рабочих и пусконаладочного персонала, привлекаемых для выполнения строительства - 2.03%</t>
        </is>
      </c>
      <c r="C34" s="100">
        <f>ROUND($C$27*0%,2)</f>
        <v/>
      </c>
      <c r="D34" s="99" t="n"/>
      <c r="E34" s="101">
        <f>C34/$C$40</f>
        <v/>
      </c>
      <c r="G34" s="88" t="n"/>
    </row>
    <row r="35" ht="76.5" customHeight="1" s="102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- 0.15%</t>
        </is>
      </c>
      <c r="C35" s="100">
        <f>ROUND($C$27*0%,2)</f>
        <v/>
      </c>
      <c r="D35" s="99" t="n"/>
      <c r="E35" s="101">
        <f>C35/$C$40</f>
        <v/>
      </c>
      <c r="G35" s="88" t="n"/>
    </row>
    <row r="36" ht="25.5" customHeight="1" s="102">
      <c r="B36" s="7" t="inlineStr">
        <is>
          <t>Строительный контроль и содержание службы заказчика - 2,14%</t>
        </is>
      </c>
      <c r="C36" s="24">
        <f>ROUND(SUM(C27:C35)*2.14%,2)</f>
        <v/>
      </c>
      <c r="D36" s="7" t="n"/>
      <c r="E36" s="25">
        <f>C36/$C$40</f>
        <v/>
      </c>
      <c r="G36" s="45" t="n"/>
      <c r="L36" s="18" t="n"/>
    </row>
    <row r="37">
      <c r="B37" s="7" t="inlineStr">
        <is>
          <t>Авторский надзор - 0,2%</t>
        </is>
      </c>
      <c r="C37" s="24">
        <f>ROUND(SUM(C27:C35)*0.2%,2)</f>
        <v/>
      </c>
      <c r="D37" s="7" t="n"/>
      <c r="E37" s="25">
        <f>C37/$C$40</f>
        <v/>
      </c>
      <c r="G37" s="45" t="n"/>
      <c r="L37" s="18" t="n"/>
    </row>
    <row r="38" ht="38.25" customHeight="1" s="102">
      <c r="B38" s="7" t="inlineStr">
        <is>
          <t>ИТОГО (СМР+ОБОРУДОВАНИЕ+ПРОЧ. ЗАТР., УЧТЕННЫЕ ПОКАЗАТЕЛЕМ)</t>
        </is>
      </c>
      <c r="C38" s="26">
        <f>SUM(C27:C37)</f>
        <v/>
      </c>
      <c r="D38" s="7" t="n"/>
      <c r="E38" s="25">
        <f>C38/$C$40</f>
        <v/>
      </c>
    </row>
    <row r="39" ht="13.5" customHeight="1" s="102">
      <c r="B39" s="7" t="inlineStr">
        <is>
          <t>Непредвиденные расходы - 3%</t>
        </is>
      </c>
      <c r="C39" s="26">
        <f>ROUND(C38*3%,2)</f>
        <v/>
      </c>
      <c r="D39" s="7" t="n"/>
      <c r="E39" s="25">
        <f>C39/$C$40</f>
        <v/>
      </c>
    </row>
    <row r="40">
      <c r="B40" s="7" t="inlineStr">
        <is>
          <t>ВСЕГО:</t>
        </is>
      </c>
      <c r="C40" s="26">
        <f>C39+C38</f>
        <v/>
      </c>
      <c r="D40" s="7" t="n"/>
      <c r="E40" s="25">
        <f>C40/$C$40</f>
        <v/>
      </c>
    </row>
    <row r="41">
      <c r="B41" s="7" t="inlineStr">
        <is>
          <t>ИТОГО ПОКАЗАТЕЛЬ НА ЕД. ИЗМ.</t>
        </is>
      </c>
      <c r="C41" s="26">
        <f>C40/'Прил.5 Расчет СМР и ОБ'!E67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8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8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74"/>
  <sheetViews>
    <sheetView view="pageBreakPreview" topLeftCell="A37" zoomScale="85" workbookViewId="0">
      <selection activeCell="C68" sqref="C6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02">
      <c r="I2" s="104" t="n"/>
      <c r="J2" s="46" t="inlineStr">
        <is>
          <t>Приложение №5</t>
        </is>
      </c>
    </row>
    <row r="4" ht="12.75" customFormat="1" customHeight="1" s="6">
      <c r="A4" s="140" t="inlineStr">
        <is>
          <t>Расчет стоимости СМР и оборудования</t>
        </is>
      </c>
      <c r="I4" s="140" t="n"/>
      <c r="J4" s="140" t="n"/>
    </row>
    <row r="5" ht="12.75" customFormat="1" customHeight="1" s="6">
      <c r="A5" s="140" t="n"/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</row>
    <row r="6" ht="41.25" customFormat="1" customHeight="1" s="6">
      <c r="A6" s="78" t="inlineStr">
        <is>
          <t>Наименование разрабатываемого показателя УНЦ</t>
        </is>
      </c>
      <c r="B6" s="79" t="n"/>
      <c r="C6" s="79" t="n"/>
      <c r="D6" s="156" t="inlineStr">
        <is>
          <t>ПАК информационной безопасности для защиты до 100 интеллектуальных устройств</t>
        </is>
      </c>
    </row>
    <row r="7" ht="12.75" customFormat="1" customHeight="1" s="6">
      <c r="A7" s="156">
        <f>'Прил.1 Сравнит табл'!B9</f>
        <v/>
      </c>
      <c r="I7" s="141" t="n"/>
      <c r="J7" s="141" t="n"/>
    </row>
    <row r="8" ht="12.75" customFormat="1" customHeight="1" s="6"/>
    <row r="9" ht="27" customHeight="1" s="102">
      <c r="A9" s="143" t="inlineStr">
        <is>
          <t>№ пп.</t>
        </is>
      </c>
      <c r="B9" s="143" t="inlineStr">
        <is>
          <t>Код ресурса</t>
        </is>
      </c>
      <c r="C9" s="143" t="inlineStr">
        <is>
          <t>Наименование</t>
        </is>
      </c>
      <c r="D9" s="143" t="inlineStr">
        <is>
          <t>Ед. изм.</t>
        </is>
      </c>
      <c r="E9" s="143" t="inlineStr">
        <is>
          <t>Кол-во единиц по проектным данным</t>
        </is>
      </c>
      <c r="F9" s="143" t="inlineStr">
        <is>
          <t>Сметная стоимость в ценах на 01.01.2000 (руб.)</t>
        </is>
      </c>
      <c r="G9" s="186" t="n"/>
      <c r="H9" s="143" t="inlineStr">
        <is>
          <t>Удельный вес, %</t>
        </is>
      </c>
      <c r="I9" s="143" t="inlineStr">
        <is>
          <t>Сметная стоимость в ценах на 01.01.2023 (руб.)</t>
        </is>
      </c>
      <c r="J9" s="186" t="n"/>
    </row>
    <row r="10" ht="28.5" customHeight="1" s="102">
      <c r="A10" s="188" t="n"/>
      <c r="B10" s="188" t="n"/>
      <c r="C10" s="188" t="n"/>
      <c r="D10" s="188" t="n"/>
      <c r="E10" s="188" t="n"/>
      <c r="F10" s="143" t="inlineStr">
        <is>
          <t>на ед. изм.</t>
        </is>
      </c>
      <c r="G10" s="143" t="inlineStr">
        <is>
          <t>общая</t>
        </is>
      </c>
      <c r="H10" s="188" t="n"/>
      <c r="I10" s="143" t="inlineStr">
        <is>
          <t>на ед. изм.</t>
        </is>
      </c>
      <c r="J10" s="143" t="inlineStr">
        <is>
          <t>общая</t>
        </is>
      </c>
    </row>
    <row r="11">
      <c r="A11" s="143" t="n">
        <v>1</v>
      </c>
      <c r="B11" s="143" t="n">
        <v>2</v>
      </c>
      <c r="C11" s="143" t="n">
        <v>3</v>
      </c>
      <c r="D11" s="143" t="n">
        <v>4</v>
      </c>
      <c r="E11" s="143" t="n">
        <v>5</v>
      </c>
      <c r="F11" s="143" t="n">
        <v>6</v>
      </c>
      <c r="G11" s="143" t="n">
        <v>7</v>
      </c>
      <c r="H11" s="143" t="n">
        <v>8</v>
      </c>
      <c r="I11" s="143" t="n">
        <v>9</v>
      </c>
      <c r="J11" s="143" t="n">
        <v>10</v>
      </c>
      <c r="L11" s="43" t="n"/>
    </row>
    <row r="12">
      <c r="A12" s="143" t="n"/>
      <c r="B12" s="157" t="inlineStr">
        <is>
          <t>Затраты труда рабочих-строителей</t>
        </is>
      </c>
      <c r="C12" s="185" t="n"/>
      <c r="D12" s="185" t="n"/>
      <c r="E12" s="185" t="n"/>
      <c r="F12" s="185" t="n"/>
      <c r="G12" s="185" t="n"/>
      <c r="H12" s="186" t="n"/>
      <c r="I12" s="29" t="n"/>
      <c r="J12" s="29" t="n"/>
      <c r="L12" s="194" t="n"/>
    </row>
    <row r="13" ht="25.5" customHeight="1" s="102">
      <c r="A13" s="143" t="n">
        <v>1</v>
      </c>
      <c r="B13" s="33" t="inlineStr">
        <is>
          <t>1-3-6</t>
        </is>
      </c>
      <c r="C13" s="148" t="inlineStr">
        <is>
          <t>Затраты труда рабочих-строителей среднего разряда (3,6)</t>
        </is>
      </c>
      <c r="D13" s="143" t="inlineStr">
        <is>
          <t>чел.-ч.</t>
        </is>
      </c>
      <c r="E13" s="195">
        <f>G13/F13</f>
        <v/>
      </c>
      <c r="F13" s="14" t="n">
        <v>9.18</v>
      </c>
      <c r="G13" s="14">
        <f>SUM(Прил.3!H15:H16)</f>
        <v/>
      </c>
      <c r="H13" s="158">
        <f>G13/$G$16</f>
        <v/>
      </c>
      <c r="I13" s="14">
        <f>ФОТр.тек.!E13</f>
        <v/>
      </c>
      <c r="J13" s="14">
        <f>ROUND(I13*E13,2)</f>
        <v/>
      </c>
    </row>
    <row r="14">
      <c r="A14" s="143" t="n">
        <v>2</v>
      </c>
      <c r="B14" s="33" t="inlineStr">
        <is>
          <t>10-3-1</t>
        </is>
      </c>
      <c r="C14" s="148" t="inlineStr">
        <is>
          <t>Инженер I категории</t>
        </is>
      </c>
      <c r="D14" s="143" t="inlineStr">
        <is>
          <t>чел.-ч</t>
        </is>
      </c>
      <c r="E14" s="195" t="n">
        <v>530</v>
      </c>
      <c r="F14" s="14" t="n">
        <v>15.49</v>
      </c>
      <c r="G14" s="14">
        <f>ROUND(E14*F14,2)</f>
        <v/>
      </c>
      <c r="H14" s="158">
        <f>G14/$G$16</f>
        <v/>
      </c>
      <c r="I14" s="14">
        <f>ФОТр.тек.!E21</f>
        <v/>
      </c>
      <c r="J14" s="14">
        <f>ROUND(E14*I14,2)</f>
        <v/>
      </c>
    </row>
    <row r="15">
      <c r="A15" s="143" t="n">
        <v>3</v>
      </c>
      <c r="B15" s="33" t="inlineStr">
        <is>
          <t>10-3-2</t>
        </is>
      </c>
      <c r="C15" s="148" t="inlineStr">
        <is>
          <t>Инженер II категории</t>
        </is>
      </c>
      <c r="D15" s="143" t="inlineStr">
        <is>
          <t>чел.-ч</t>
        </is>
      </c>
      <c r="E15" s="195" t="n">
        <v>530</v>
      </c>
      <c r="F15" s="14" t="n">
        <v>14.09</v>
      </c>
      <c r="G15" s="14">
        <f>ROUND(E15*F15,2)</f>
        <v/>
      </c>
      <c r="H15" s="158">
        <f>G15/$G$16</f>
        <v/>
      </c>
      <c r="I15" s="14">
        <f>ФОТр.тек.!E29</f>
        <v/>
      </c>
      <c r="J15" s="14">
        <f>ROUND(E15*I15,2)</f>
        <v/>
      </c>
    </row>
    <row r="16" ht="25.5" customFormat="1" customHeight="1" s="1">
      <c r="A16" s="143" t="n"/>
      <c r="B16" s="143" t="n"/>
      <c r="C16" s="157" t="inlineStr">
        <is>
          <t>Итого по разделу "Затраты труда рабочих-строителей"</t>
        </is>
      </c>
      <c r="D16" s="143" t="inlineStr">
        <is>
          <t>чел.-ч.</t>
        </is>
      </c>
      <c r="E16" s="195">
        <f>SUM(E13:E15)</f>
        <v/>
      </c>
      <c r="F16" s="14" t="n"/>
      <c r="G16" s="14">
        <f>SUM(G13:G15)</f>
        <v/>
      </c>
      <c r="H16" s="158" t="n">
        <v>1</v>
      </c>
      <c r="I16" s="14" t="n"/>
      <c r="J16" s="14">
        <f>SUM(J13:J15)</f>
        <v/>
      </c>
      <c r="L16" s="51" t="n"/>
    </row>
    <row r="17" ht="14.25" customFormat="1" customHeight="1" s="1">
      <c r="A17" s="143" t="n"/>
      <c r="B17" s="148" t="inlineStr">
        <is>
          <t>Затраты труда машинистов</t>
        </is>
      </c>
      <c r="C17" s="185" t="n"/>
      <c r="D17" s="185" t="n"/>
      <c r="E17" s="185" t="n"/>
      <c r="F17" s="185" t="n"/>
      <c r="G17" s="185" t="n"/>
      <c r="H17" s="186" t="n"/>
      <c r="I17" s="29" t="n"/>
      <c r="J17" s="29" t="n"/>
      <c r="L17" s="194" t="n"/>
    </row>
    <row r="18" ht="14.25" customFormat="1" customHeight="1" s="1">
      <c r="A18" s="143" t="n">
        <v>4</v>
      </c>
      <c r="B18" s="143" t="n">
        <v>2</v>
      </c>
      <c r="C18" s="148" t="inlineStr">
        <is>
          <t>Затраты труда машинистов</t>
        </is>
      </c>
      <c r="D18" s="143" t="inlineStr">
        <is>
          <t>чел.-ч.</t>
        </is>
      </c>
      <c r="E18" s="195">
        <f>Прил.3!F18</f>
        <v/>
      </c>
      <c r="F18" s="14">
        <f>G18/E18</f>
        <v/>
      </c>
      <c r="G18" s="14">
        <f>Прил.3!H18</f>
        <v/>
      </c>
      <c r="H18" s="158" t="n">
        <v>1</v>
      </c>
      <c r="I18" s="14">
        <f>ROUND(F18*Прил.10!D10,2)</f>
        <v/>
      </c>
      <c r="J18" s="14">
        <f>ROUND(I18*E18,2)</f>
        <v/>
      </c>
      <c r="L18" s="43" t="n"/>
    </row>
    <row r="19" ht="14.25" customFormat="1" customHeight="1" s="1">
      <c r="A19" s="143" t="n"/>
      <c r="B19" s="157" t="inlineStr">
        <is>
          <t>Машины и механизмы</t>
        </is>
      </c>
      <c r="C19" s="185" t="n"/>
      <c r="D19" s="185" t="n"/>
      <c r="E19" s="185" t="n"/>
      <c r="F19" s="185" t="n"/>
      <c r="G19" s="185" t="n"/>
      <c r="H19" s="186" t="n"/>
      <c r="I19" s="158" t="n"/>
      <c r="J19" s="158" t="n"/>
    </row>
    <row r="20" ht="14.25" customFormat="1" customHeight="1" s="1">
      <c r="A20" s="143" t="n"/>
      <c r="B20" s="148" t="inlineStr">
        <is>
          <t>Основные машины и механизмы</t>
        </is>
      </c>
      <c r="C20" s="185" t="n"/>
      <c r="D20" s="185" t="n"/>
      <c r="E20" s="185" t="n"/>
      <c r="F20" s="185" t="n"/>
      <c r="G20" s="185" t="n"/>
      <c r="H20" s="186" t="n"/>
      <c r="I20" s="29" t="n"/>
      <c r="J20" s="29" t="n"/>
    </row>
    <row r="21" ht="25.5" customFormat="1" customHeight="1" s="1">
      <c r="A21" s="143" t="n">
        <v>5</v>
      </c>
      <c r="B21" s="33" t="inlineStr">
        <is>
          <t>91.05.05-015</t>
        </is>
      </c>
      <c r="C21" s="148" t="inlineStr">
        <is>
          <t>Краны на автомобильном ходу, грузоподъемность 16 т</t>
        </is>
      </c>
      <c r="D21" s="143" t="inlineStr">
        <is>
          <t>маш.-ч.</t>
        </is>
      </c>
      <c r="E21" s="195" t="n">
        <v>0.17</v>
      </c>
      <c r="F21" s="162" t="n">
        <v>115.4</v>
      </c>
      <c r="G21" s="14">
        <f>ROUND(E21*F21,2)</f>
        <v/>
      </c>
      <c r="H21" s="158">
        <f>G21/$G$27</f>
        <v/>
      </c>
      <c r="I21" s="14">
        <f>ROUND(F21*Прил.10!$D$11,2)</f>
        <v/>
      </c>
      <c r="J21" s="14">
        <f>ROUND(I21*E21,2)</f>
        <v/>
      </c>
    </row>
    <row r="22" ht="25.5" customFormat="1" customHeight="1" s="1">
      <c r="A22" s="143" t="n">
        <v>6</v>
      </c>
      <c r="B22" s="33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3" t="inlineStr">
        <is>
          <t>маш.-ч.</t>
        </is>
      </c>
      <c r="E22" s="195" t="n">
        <v>0.18</v>
      </c>
      <c r="F22" s="162" t="n">
        <v>65.70999999999999</v>
      </c>
      <c r="G22" s="14">
        <f>ROUND(E22*F22,2)</f>
        <v/>
      </c>
      <c r="H22" s="158">
        <f>G22/$G$27</f>
        <v/>
      </c>
      <c r="I22" s="14">
        <f>ROUND(F22*Прил.10!$D$11,2)</f>
        <v/>
      </c>
      <c r="J22" s="14">
        <f>ROUND(I22*E22,2)</f>
        <v/>
      </c>
    </row>
    <row r="23" ht="14.25" customFormat="1" customHeight="1" s="1">
      <c r="A23" s="143" t="n">
        <v>7</v>
      </c>
      <c r="B23" s="33" t="inlineStr">
        <is>
          <t>91.21.19-031</t>
        </is>
      </c>
      <c r="C23" s="148" t="inlineStr">
        <is>
          <t>Станки сверлильные</t>
        </is>
      </c>
      <c r="D23" s="143" t="inlineStr">
        <is>
          <t>маш.-ч.</t>
        </is>
      </c>
      <c r="E23" s="195" t="n">
        <v>2.3</v>
      </c>
      <c r="F23" s="162" t="n">
        <v>2.36</v>
      </c>
      <c r="G23" s="14">
        <f>ROUND(E23*F23,2)</f>
        <v/>
      </c>
      <c r="H23" s="158">
        <f>G23/$G$27</f>
        <v/>
      </c>
      <c r="I23" s="14">
        <f>ROUND(F23*Прил.10!$D$11,2)</f>
        <v/>
      </c>
      <c r="J23" s="14">
        <f>ROUND(I23*E23,2)</f>
        <v/>
      </c>
    </row>
    <row r="24" ht="14.25" customFormat="1" customHeight="1" s="1">
      <c r="B24" s="143" t="n"/>
      <c r="C24" s="148" t="inlineStr">
        <is>
          <t>Итого основные машины и механизмы</t>
        </is>
      </c>
      <c r="D24" s="143" t="n"/>
      <c r="E24" s="196" t="n"/>
      <c r="F24" s="14" t="n"/>
      <c r="G24" s="14">
        <f>SUM(G21:G23)</f>
        <v/>
      </c>
      <c r="H24" s="158">
        <f>G24/G27</f>
        <v/>
      </c>
      <c r="I24" s="14" t="n"/>
      <c r="J24" s="14">
        <f>SUM(J21:J23)</f>
        <v/>
      </c>
      <c r="L24" s="194" t="n"/>
    </row>
    <row r="25" hidden="1" outlineLevel="1" ht="25.5" customFormat="1" customHeight="1" s="1">
      <c r="A25" s="143" t="n">
        <v>8</v>
      </c>
      <c r="B25" s="33" t="inlineStr">
        <is>
          <t>91.17.04-233</t>
        </is>
      </c>
      <c r="C25" s="148" t="inlineStr">
        <is>
          <t>Установки для сварки ручной дуговой (постоянного тока)</t>
        </is>
      </c>
      <c r="D25" s="143" t="inlineStr">
        <is>
          <t>маш.-ч.</t>
        </is>
      </c>
      <c r="E25" s="195" t="n">
        <v>0.3</v>
      </c>
      <c r="F25" s="162" t="n">
        <v>8.1</v>
      </c>
      <c r="G25" s="14">
        <f>ROUND(E25*F25,2)</f>
        <v/>
      </c>
      <c r="H25" s="158">
        <f>G25/$G$27</f>
        <v/>
      </c>
      <c r="I25" s="14">
        <f>ROUND(F25*Прил.10!$D$11,2)</f>
        <v/>
      </c>
      <c r="J25" s="14">
        <f>ROUND(I25*E25,2)</f>
        <v/>
      </c>
      <c r="L25" s="194" t="n"/>
    </row>
    <row r="26" collapsed="1" ht="14.25" customFormat="1" customHeight="1" s="1">
      <c r="A26" s="143" t="n"/>
      <c r="B26" s="143" t="n"/>
      <c r="C26" s="148" t="inlineStr">
        <is>
          <t>Итого прочие машины и механизмы</t>
        </is>
      </c>
      <c r="D26" s="143" t="n"/>
      <c r="E26" s="149" t="n"/>
      <c r="F26" s="14" t="n"/>
      <c r="G26" s="14">
        <f>SUM(G25:G25)</f>
        <v/>
      </c>
      <c r="H26" s="158">
        <f>G26/G27</f>
        <v/>
      </c>
      <c r="I26" s="14" t="n"/>
      <c r="J26" s="14">
        <f>SUM(J25:J25)</f>
        <v/>
      </c>
      <c r="K26" s="197" t="n"/>
      <c r="L26" s="194" t="n"/>
    </row>
    <row r="27" ht="25.5" customFormat="1" customHeight="1" s="1">
      <c r="A27" s="143" t="n"/>
      <c r="B27" s="144" t="n"/>
      <c r="C27" s="152" t="inlineStr">
        <is>
          <t>Итого по разделу «Машины и механизмы»</t>
        </is>
      </c>
      <c r="D27" s="144" t="n"/>
      <c r="E27" s="38" t="n"/>
      <c r="F27" s="39" t="n"/>
      <c r="G27" s="39">
        <f>G24+G26</f>
        <v/>
      </c>
      <c r="H27" s="40" t="n">
        <v>1</v>
      </c>
      <c r="I27" s="39" t="n"/>
      <c r="J27" s="39">
        <f>J24+J26</f>
        <v/>
      </c>
    </row>
    <row r="28">
      <c r="A28" s="53" t="n"/>
      <c r="B28" s="152" t="inlineStr">
        <is>
          <t xml:space="preserve">Оборудование </t>
        </is>
      </c>
      <c r="C28" s="198" t="n"/>
      <c r="D28" s="198" t="n"/>
      <c r="E28" s="198" t="n"/>
      <c r="F28" s="198" t="n"/>
      <c r="G28" s="198" t="n"/>
      <c r="H28" s="198" t="n"/>
      <c r="I28" s="198" t="n"/>
      <c r="J28" s="199" t="n"/>
    </row>
    <row r="29" ht="15" customHeight="1" s="102">
      <c r="A29" s="143" t="n"/>
      <c r="B29" s="148" t="inlineStr">
        <is>
          <t>Основное оборудование</t>
        </is>
      </c>
      <c r="C29" s="185" t="n"/>
      <c r="D29" s="185" t="n"/>
      <c r="E29" s="185" t="n"/>
      <c r="F29" s="185" t="n"/>
      <c r="G29" s="185" t="n"/>
      <c r="H29" s="185" t="n"/>
      <c r="I29" s="185" t="n"/>
      <c r="J29" s="186" t="n"/>
    </row>
    <row r="30" ht="51" customHeight="1" s="102">
      <c r="A30" s="143" t="n">
        <v>9</v>
      </c>
      <c r="B30" s="33" t="inlineStr">
        <is>
          <t>Прайс из СД ОП</t>
        </is>
      </c>
      <c r="C30" s="148" t="inlineStr">
        <is>
          <t>Антивирусное ПО для серверов Kaspersky Industrial CyberSecurity for Nodes, Server Russian Edition. 5-9 Node 1 year Base License</t>
        </is>
      </c>
      <c r="D30" s="143" t="inlineStr">
        <is>
          <t>шт.</t>
        </is>
      </c>
      <c r="E30" s="195" t="n">
        <v>8</v>
      </c>
      <c r="F30" s="150" t="n">
        <v>153634.19</v>
      </c>
      <c r="G30" s="14">
        <f>ROUND(E30*F30,2)</f>
        <v/>
      </c>
      <c r="H30" s="158">
        <f>G30/$G$45</f>
        <v/>
      </c>
      <c r="I30" s="150">
        <f>ROUND(F30*Прил.10!$D$13,2)</f>
        <v/>
      </c>
      <c r="J30" s="14">
        <f>ROUND(I30*E30,2)</f>
        <v/>
      </c>
      <c r="K30" s="197" t="n"/>
    </row>
    <row r="31" ht="25.5" customHeight="1" s="102">
      <c r="A31" s="143" t="n">
        <v>10</v>
      </c>
      <c r="B31" s="33" t="inlineStr">
        <is>
          <t>Прайс из СД ОП</t>
        </is>
      </c>
      <c r="C31" s="148" t="inlineStr">
        <is>
          <t>Система обнаружения вторжений  ПАК ViPNet IDS NS1000 3.x</t>
        </is>
      </c>
      <c r="D31" s="143" t="inlineStr">
        <is>
          <t>шт.</t>
        </is>
      </c>
      <c r="E31" s="195" t="n">
        <v>2</v>
      </c>
      <c r="F31" s="150" t="n">
        <v>277693.77</v>
      </c>
      <c r="G31" s="14">
        <f>ROUND(E31*F31,2)</f>
        <v/>
      </c>
      <c r="H31" s="158">
        <f>G31/$G$45</f>
        <v/>
      </c>
      <c r="I31" s="150">
        <f>ROUND(F31*Прил.10!$D$13,2)</f>
        <v/>
      </c>
      <c r="J31" s="14">
        <f>ROUND(I31*E31,2)</f>
        <v/>
      </c>
      <c r="K31" s="197" t="n"/>
    </row>
    <row r="32" ht="25.5" customHeight="1" s="102">
      <c r="A32" s="143" t="n">
        <v>11</v>
      </c>
      <c r="B32" s="33" t="inlineStr">
        <is>
          <t>Прайс из СД ОП</t>
        </is>
      </c>
      <c r="C32" s="148" t="inlineStr">
        <is>
          <t>Аппаратная платформа UserGate C150 с сертификатом ФСТЭК</t>
        </is>
      </c>
      <c r="D32" s="143" t="inlineStr">
        <is>
          <t>шт.</t>
        </is>
      </c>
      <c r="E32" s="195" t="n">
        <v>2</v>
      </c>
      <c r="F32" s="150" t="n">
        <v>277006.71</v>
      </c>
      <c r="G32" s="14">
        <f>ROUND(E32*F32,2)</f>
        <v/>
      </c>
      <c r="H32" s="158">
        <f>G32/$G$45</f>
        <v/>
      </c>
      <c r="I32" s="150">
        <f>ROUND(F32*Прил.10!$D$13,2)</f>
        <v/>
      </c>
      <c r="J32" s="14">
        <f>ROUND(I32*E32,2)</f>
        <v/>
      </c>
      <c r="K32" s="197" t="n"/>
    </row>
    <row r="33" ht="51" customHeight="1" s="102">
      <c r="A33" s="143" t="n">
        <v>12</v>
      </c>
      <c r="B33" s="33" t="inlineStr">
        <is>
          <t>Прайс из СД ОП</t>
        </is>
      </c>
      <c r="C33" s="148" t="inlineStr">
        <is>
          <t>Антивирусное ПО для АРМ Kaspersky Industrial CyberSecurity for Nodes, Workstation Russian Edition. 5-9 Node 1 year Base License</t>
        </is>
      </c>
      <c r="D33" s="143" t="inlineStr">
        <is>
          <t>шт.</t>
        </is>
      </c>
      <c r="E33" s="195" t="n">
        <v>8</v>
      </c>
      <c r="F33" s="150" t="n">
        <v>67452.08</v>
      </c>
      <c r="G33" s="14">
        <f>ROUND(E33*F33,2)</f>
        <v/>
      </c>
      <c r="H33" s="158">
        <f>G33/$G$45</f>
        <v/>
      </c>
      <c r="I33" s="150">
        <f>ROUND(F33*Прил.10!$D$13,2)</f>
        <v/>
      </c>
      <c r="J33" s="14">
        <f>ROUND(I33*E33,2)</f>
        <v/>
      </c>
      <c r="K33" s="197" t="n"/>
    </row>
    <row r="34" ht="25.5" customHeight="1" s="102">
      <c r="A34" s="143" t="n">
        <v>13</v>
      </c>
      <c r="B34" s="33" t="inlineStr">
        <is>
          <t>Прайс из СД ОП</t>
        </is>
      </c>
      <c r="C34" s="148" t="inlineStr">
        <is>
          <t>Аппаратная платформа UserGate C100 с сертификатом ФСТЭК</t>
        </is>
      </c>
      <c r="D34" s="143" t="inlineStr">
        <is>
          <t>шт.</t>
        </is>
      </c>
      <c r="E34" s="195" t="n">
        <v>1</v>
      </c>
      <c r="F34" s="150" t="n">
        <v>172088.5</v>
      </c>
      <c r="G34" s="14">
        <f>ROUND(E34*F34,2)</f>
        <v/>
      </c>
      <c r="H34" s="158">
        <f>G34/$G$45</f>
        <v/>
      </c>
      <c r="I34" s="150">
        <f>ROUND(F34*Прил.10!$D$13,2)</f>
        <v/>
      </c>
      <c r="J34" s="14">
        <f>ROUND(I34*E34,2)</f>
        <v/>
      </c>
      <c r="K34" s="197" t="n"/>
    </row>
    <row r="35" ht="51" customHeight="1" s="102">
      <c r="A35" s="143" t="n">
        <v>14</v>
      </c>
      <c r="B35" s="33" t="inlineStr">
        <is>
          <t>Прайс из СД ОП</t>
        </is>
      </c>
      <c r="C35" s="148" t="inlineStr">
        <is>
          <t>Сертификат активации сервиса прямой технической поддержки ПАК ViPNet Coordinator HW1000 4.x на срок 1 год, уровень - Расширенный</t>
        </is>
      </c>
      <c r="D35" s="143" t="inlineStr">
        <is>
          <t>шт.</t>
        </is>
      </c>
      <c r="E35" s="195" t="n">
        <v>2</v>
      </c>
      <c r="F35" s="150" t="n">
        <v>58945.69</v>
      </c>
      <c r="G35" s="14">
        <f>ROUND(E35*F35,2)</f>
        <v/>
      </c>
      <c r="H35" s="158">
        <f>G35/$G$45</f>
        <v/>
      </c>
      <c r="I35" s="150">
        <f>ROUND(F35*Прил.10!$D$13,2)</f>
        <v/>
      </c>
      <c r="J35" s="14">
        <f>ROUND(I35*E35,2)</f>
        <v/>
      </c>
      <c r="K35" s="197" t="n"/>
    </row>
    <row r="36" ht="25.5" customHeight="1" s="102">
      <c r="A36" s="143" t="n">
        <v>15</v>
      </c>
      <c r="B36" s="33" t="inlineStr">
        <is>
          <t>Прайс из СД ОП</t>
        </is>
      </c>
      <c r="C36" s="148" t="inlineStr">
        <is>
          <t>Шкаф ИБ (только металлоконструкция) 800х1000х2000 (ШхГхВ)</t>
        </is>
      </c>
      <c r="D36" s="143" t="inlineStr">
        <is>
          <t>шт</t>
        </is>
      </c>
      <c r="E36" s="195" t="n">
        <v>1</v>
      </c>
      <c r="F36" s="150" t="n">
        <v>110738.02</v>
      </c>
      <c r="G36" s="14">
        <f>ROUND(E36*F36,2)</f>
        <v/>
      </c>
      <c r="H36" s="158">
        <f>G36/$G$45</f>
        <v/>
      </c>
      <c r="I36" s="150">
        <f>ROUND(F36*Прил.10!$D$13,2)</f>
        <v/>
      </c>
      <c r="J36" s="14">
        <f>ROUND(I36*E36,2)</f>
        <v/>
      </c>
      <c r="K36" s="197" t="n"/>
    </row>
    <row r="37">
      <c r="A37" s="54" t="n"/>
      <c r="B37" s="143" t="n"/>
      <c r="C37" s="148" t="inlineStr">
        <is>
          <t>Итого основное оборудование</t>
        </is>
      </c>
      <c r="D37" s="143" t="n"/>
      <c r="E37" s="195" t="n"/>
      <c r="F37" s="150" t="n"/>
      <c r="G37" s="14">
        <f>SUM(G30:G36)</f>
        <v/>
      </c>
      <c r="H37" s="158">
        <f>G37/$G$45</f>
        <v/>
      </c>
      <c r="I37" s="14" t="n"/>
      <c r="J37" s="14">
        <f>SUM(J30:J36)</f>
        <v/>
      </c>
      <c r="K37" s="197" t="n"/>
    </row>
    <row r="38" hidden="1" outlineLevel="1" ht="38.25" customHeight="1" s="102">
      <c r="A38" s="143" t="n">
        <v>16</v>
      </c>
      <c r="B38" s="49" t="inlineStr">
        <is>
          <t>Прайс из СД ОП</t>
        </is>
      </c>
      <c r="C38" s="148" t="inlineStr">
        <is>
          <t>Лицензия без ограничения числа пользователей для UserGate С150 (кластер, 1-я нода) с сертификатом ФСТЭК</t>
        </is>
      </c>
      <c r="D38" s="143" t="inlineStr">
        <is>
          <t>шт.</t>
        </is>
      </c>
      <c r="E38" s="195" t="n">
        <v>1</v>
      </c>
      <c r="F38" s="150" t="n">
        <v>101757.19</v>
      </c>
      <c r="G38" s="14">
        <f>ROUND(E38*F38,2)</f>
        <v/>
      </c>
      <c r="H38" s="158">
        <f>G38/$G$45</f>
        <v/>
      </c>
      <c r="I38" s="150">
        <f>ROUND(F38*Прил.10!$D$13,2)</f>
        <v/>
      </c>
      <c r="J38" s="14">
        <f>ROUND(I38*E38,2)</f>
        <v/>
      </c>
      <c r="K38" s="197" t="n"/>
    </row>
    <row r="39" hidden="1" outlineLevel="1" ht="38.25" customHeight="1" s="102">
      <c r="A39" s="143" t="n">
        <v>17</v>
      </c>
      <c r="B39" s="49" t="inlineStr">
        <is>
          <t>Прайс из СД ОП</t>
        </is>
      </c>
      <c r="C39" s="148" t="inlineStr">
        <is>
          <t>Модуль защиты от НСД и контроля устройств Средства защиты информации Secret Net Studio 8</t>
        </is>
      </c>
      <c r="D39" s="143" t="inlineStr">
        <is>
          <t>шт.</t>
        </is>
      </c>
      <c r="E39" s="195" t="n">
        <v>16</v>
      </c>
      <c r="F39" s="150" t="n">
        <v>6309.9</v>
      </c>
      <c r="G39" s="14">
        <f>ROUND(E39*F39,2)</f>
        <v/>
      </c>
      <c r="H39" s="158">
        <f>G39/$G$45</f>
        <v/>
      </c>
      <c r="I39" s="150">
        <f>ROUND(F39*Прил.10!$D$13,2)</f>
        <v/>
      </c>
      <c r="J39" s="14">
        <f>ROUND(I39*E39,2)</f>
        <v/>
      </c>
      <c r="K39" s="197" t="n"/>
    </row>
    <row r="40" hidden="1" outlineLevel="1" ht="38.25" customHeight="1" s="102">
      <c r="A40" s="143" t="n">
        <v>18</v>
      </c>
      <c r="B40" s="49" t="inlineStr">
        <is>
          <t>Прайс из СД ОП</t>
        </is>
      </c>
      <c r="C40" s="148" t="inlineStr">
        <is>
          <t>Лицензия без ограничения числа пользователей для UserGate C150 (кластер, 2-я нода) с сертификатом ФСТЭК</t>
        </is>
      </c>
      <c r="D40" s="143" t="inlineStr">
        <is>
          <t>шт.</t>
        </is>
      </c>
      <c r="E40" s="195" t="n">
        <v>1</v>
      </c>
      <c r="F40" s="150" t="n">
        <v>89416.92999999999</v>
      </c>
      <c r="G40" s="14">
        <f>ROUND(E40*F40,2)</f>
        <v/>
      </c>
      <c r="H40" s="158">
        <f>G40/$G$45</f>
        <v/>
      </c>
      <c r="I40" s="150">
        <f>ROUND(F40*Прил.10!$D$13,2)</f>
        <v/>
      </c>
      <c r="J40" s="14">
        <f>ROUND(I40*E40,2)</f>
        <v/>
      </c>
      <c r="K40" s="197" t="n"/>
    </row>
    <row r="41" hidden="1" outlineLevel="1" ht="38.25" customHeight="1" s="102">
      <c r="A41" s="143" t="n">
        <v>19</v>
      </c>
      <c r="B41" s="49" t="inlineStr">
        <is>
          <t>Прайс из СД ОП</t>
        </is>
      </c>
      <c r="C41" s="148" t="inlineStr">
        <is>
          <t>Лицензия без ограничения числа пользователей для UserGate C100 с сертифика-том ФСТЭК</t>
        </is>
      </c>
      <c r="D41" s="143" t="inlineStr">
        <is>
          <t>шт.</t>
        </is>
      </c>
      <c r="E41" s="195" t="n">
        <v>1</v>
      </c>
      <c r="F41" s="150" t="n">
        <v>80411.34</v>
      </c>
      <c r="G41" s="14">
        <f>ROUND(E41*F41,2)</f>
        <v/>
      </c>
      <c r="H41" s="158">
        <f>G41/$G$45</f>
        <v/>
      </c>
      <c r="I41" s="150">
        <f>ROUND(F41*Прил.10!$D$13,2)</f>
        <v/>
      </c>
      <c r="J41" s="14">
        <f>ROUND(I41*E41,2)</f>
        <v/>
      </c>
      <c r="K41" s="197" t="n"/>
    </row>
    <row r="42" hidden="1" outlineLevel="1" ht="38.25" customHeight="1" s="102">
      <c r="A42" s="143" t="n">
        <v>20</v>
      </c>
      <c r="B42" s="49" t="inlineStr">
        <is>
          <t>Прайс из СД ОП</t>
        </is>
      </c>
      <c r="C42" s="148" t="inlineStr">
        <is>
          <t>Система обнаружения вторжений Kaspersky Industrial CyberSecurity for Networks, 1 year Base License</t>
        </is>
      </c>
      <c r="D42" s="143" t="inlineStr">
        <is>
          <t>шт.</t>
        </is>
      </c>
      <c r="E42" s="195" t="n">
        <v>1</v>
      </c>
      <c r="F42" s="150" t="n">
        <v>74001.60000000001</v>
      </c>
      <c r="G42" s="14">
        <f>ROUND(E42*F42,2)</f>
        <v/>
      </c>
      <c r="H42" s="158">
        <f>G42/$G$45</f>
        <v/>
      </c>
      <c r="I42" s="150">
        <f>ROUND(F42*Прил.10!$D$13,2)</f>
        <v/>
      </c>
      <c r="J42" s="14">
        <f>ROUND(I42*E42,2)</f>
        <v/>
      </c>
      <c r="K42" s="197" t="n"/>
    </row>
    <row r="43" hidden="1" outlineLevel="1" ht="38.25" customHeight="1" s="102">
      <c r="A43" s="143" t="n">
        <v>21</v>
      </c>
      <c r="B43" s="49" t="inlineStr">
        <is>
          <t>Прайс из СД ОП</t>
        </is>
      </c>
      <c r="C43" s="148" t="inlineStr">
        <is>
          <t>Установочный комплект. Сертифицированное Средство защиты информации Secret Net Studio 8</t>
        </is>
      </c>
      <c r="D43" s="143" t="inlineStr">
        <is>
          <t>шт.</t>
        </is>
      </c>
      <c r="E43" s="195" t="n">
        <v>16</v>
      </c>
      <c r="F43" s="150" t="n">
        <v>2787.54</v>
      </c>
      <c r="G43" s="14">
        <f>ROUND(E43*F43,2)</f>
        <v/>
      </c>
      <c r="H43" s="158">
        <f>G43/$G$45</f>
        <v/>
      </c>
      <c r="I43" s="150">
        <f>ROUND(F43*Прил.10!$D$13,2)</f>
        <v/>
      </c>
      <c r="J43" s="14">
        <f>ROUND(I43*E43,2)</f>
        <v/>
      </c>
      <c r="K43" s="197" t="n"/>
    </row>
    <row r="44" collapsed="1" s="102">
      <c r="A44" s="54" t="n"/>
      <c r="B44" s="143" t="n"/>
      <c r="C44" s="148" t="inlineStr">
        <is>
          <t>Итого прочее оборудование</t>
        </is>
      </c>
      <c r="D44" s="143" t="n"/>
      <c r="E44" s="149" t="n"/>
      <c r="F44" s="150" t="n"/>
      <c r="G44" s="14">
        <f>SUM(G38:G43)</f>
        <v/>
      </c>
      <c r="H44" s="158">
        <f>G44/$G$45</f>
        <v/>
      </c>
      <c r="I44" s="14" t="n"/>
      <c r="J44" s="14">
        <f>SUM(J38:J43)</f>
        <v/>
      </c>
      <c r="K44" s="197" t="n"/>
      <c r="L44" s="200" t="n"/>
    </row>
    <row r="45">
      <c r="A45" s="143" t="n"/>
      <c r="B45" s="143" t="n"/>
      <c r="C45" s="157" t="inlineStr">
        <is>
          <t>Итого по разделу «Оборудование»</t>
        </is>
      </c>
      <c r="D45" s="143" t="n"/>
      <c r="E45" s="149" t="n"/>
      <c r="F45" s="150" t="n"/>
      <c r="G45" s="14">
        <f>G37+G44</f>
        <v/>
      </c>
      <c r="H45" s="158">
        <f>(G37+G44)/G45</f>
        <v/>
      </c>
      <c r="I45" s="14" t="n"/>
      <c r="J45" s="14">
        <f>J44+J37</f>
        <v/>
      </c>
      <c r="K45" s="197" t="n"/>
    </row>
    <row r="46" ht="25.5" customHeight="1" s="102">
      <c r="A46" s="143" t="n"/>
      <c r="B46" s="143" t="n"/>
      <c r="C46" s="148" t="inlineStr">
        <is>
          <t>в том числе технологическое оборудование</t>
        </is>
      </c>
      <c r="D46" s="143" t="n"/>
      <c r="E46" s="149" t="n"/>
      <c r="F46" s="150" t="n"/>
      <c r="G46" s="14">
        <f>'Прил.6 Расчет ОБ'!G27</f>
        <v/>
      </c>
      <c r="H46" s="158">
        <f>G46/$G$45</f>
        <v/>
      </c>
      <c r="I46" s="14" t="n"/>
      <c r="J46" s="14">
        <f>ROUND(G46*Прил.10!$D$13,2)</f>
        <v/>
      </c>
      <c r="K46" s="197" t="n"/>
    </row>
    <row r="47" ht="14.25" customFormat="1" customHeight="1" s="1">
      <c r="A47" s="145" t="n"/>
      <c r="B47" s="201" t="inlineStr">
        <is>
          <t>Материалы</t>
        </is>
      </c>
      <c r="J47" s="202" t="n"/>
      <c r="K47" s="197" t="n"/>
    </row>
    <row r="48" ht="14.25" customFormat="1" customHeight="1" s="1">
      <c r="A48" s="143" t="n"/>
      <c r="B48" s="148" t="inlineStr">
        <is>
          <t>Основные материалы</t>
        </is>
      </c>
      <c r="C48" s="185" t="n"/>
      <c r="D48" s="185" t="n"/>
      <c r="E48" s="185" t="n"/>
      <c r="F48" s="185" t="n"/>
      <c r="G48" s="185" t="n"/>
      <c r="H48" s="186" t="n"/>
      <c r="I48" s="158" t="n"/>
      <c r="J48" s="158" t="n"/>
    </row>
    <row r="49" ht="25.5" customFormat="1" customHeight="1" s="1">
      <c r="A49" s="143" t="n">
        <v>22</v>
      </c>
      <c r="B49" s="33" t="inlineStr">
        <is>
          <t>999-9950</t>
        </is>
      </c>
      <c r="C49" s="148" t="inlineStr">
        <is>
          <t>Вспомогательные ненормируемые ресурсы</t>
        </is>
      </c>
      <c r="D49" s="143" t="inlineStr">
        <is>
          <t>руб</t>
        </is>
      </c>
      <c r="E49" s="195" t="n">
        <v>317.9972</v>
      </c>
      <c r="F49" s="162" t="n">
        <v>1</v>
      </c>
      <c r="G49" s="14">
        <f>ROUND(E49*F49,2)</f>
        <v/>
      </c>
      <c r="H49" s="158">
        <f>G49/$G$61</f>
        <v/>
      </c>
      <c r="I49" s="14">
        <f>ROUND(F49*Прил.10!$D$12,2)</f>
        <v/>
      </c>
      <c r="J49" s="14">
        <f>ROUND(I49*E49,2)</f>
        <v/>
      </c>
    </row>
    <row r="50" ht="51" customFormat="1" customHeight="1" s="1">
      <c r="A50" s="143" t="n">
        <v>23</v>
      </c>
      <c r="B50" s="33" t="inlineStr">
        <is>
          <t>08.3.06.01-0003</t>
        </is>
      </c>
      <c r="C50" s="14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0" s="143" t="inlineStr">
        <is>
          <t>т</t>
        </is>
      </c>
      <c r="E50" s="195" t="n">
        <v>0.028</v>
      </c>
      <c r="F50" s="162" t="n">
        <v>6834.81</v>
      </c>
      <c r="G50" s="14">
        <f>ROUND(E50*F50,2)</f>
        <v/>
      </c>
      <c r="H50" s="158">
        <f>G50/$G$61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43" t="n">
        <v>24</v>
      </c>
      <c r="B51" s="33" t="inlineStr">
        <is>
          <t>07.2.07.13-0171</t>
        </is>
      </c>
      <c r="C51" s="148" t="inlineStr">
        <is>
          <t>Подкладки металлические</t>
        </is>
      </c>
      <c r="D51" s="143" t="inlineStr">
        <is>
          <t>кг</t>
        </is>
      </c>
      <c r="E51" s="195" t="n">
        <v>15</v>
      </c>
      <c r="F51" s="162" t="n">
        <v>12.6</v>
      </c>
      <c r="G51" s="14">
        <f>ROUND(E51*F51,2)</f>
        <v/>
      </c>
      <c r="H51" s="158">
        <f>G51/$G$61</f>
        <v/>
      </c>
      <c r="I51" s="14">
        <f>ROUND(F51*Прил.10!$D$12,2)</f>
        <v/>
      </c>
      <c r="J51" s="14">
        <f>ROUND(I51*E51,2)</f>
        <v/>
      </c>
    </row>
    <row r="52" ht="14.25" customFormat="1" customHeight="1" s="1">
      <c r="B52" s="143" t="n"/>
      <c r="C52" s="148" t="inlineStr">
        <is>
          <t>Итого основные материалы</t>
        </is>
      </c>
      <c r="D52" s="143" t="n"/>
      <c r="E52" s="195" t="n"/>
      <c r="F52" s="150" t="n"/>
      <c r="G52" s="14">
        <f>SUM(G49:G51)</f>
        <v/>
      </c>
      <c r="H52" s="158">
        <f>G52/$G$61</f>
        <v/>
      </c>
      <c r="I52" s="14" t="n"/>
      <c r="J52" s="14">
        <f>SUM(J49:J51)</f>
        <v/>
      </c>
      <c r="K52" s="197" t="n"/>
    </row>
    <row r="53" hidden="1" outlineLevel="1" ht="14.25" customFormat="1" customHeight="1" s="1">
      <c r="A53" s="143" t="n">
        <v>25</v>
      </c>
      <c r="B53" s="49" t="inlineStr">
        <is>
          <t>25.2.02.11-0041</t>
        </is>
      </c>
      <c r="C53" s="148" t="inlineStr">
        <is>
          <t>Рамка для надписей 55x15 мм</t>
        </is>
      </c>
      <c r="D53" s="143" t="inlineStr">
        <is>
          <t>шт</t>
        </is>
      </c>
      <c r="E53" s="195" t="n">
        <v>50</v>
      </c>
      <c r="F53" s="162" t="n">
        <v>0.27</v>
      </c>
      <c r="G53" s="14">
        <f>ROUND(F53*E53,2)</f>
        <v/>
      </c>
      <c r="H53" s="158">
        <f>G53/$G$61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">
      <c r="A54" s="143" t="n">
        <v>26</v>
      </c>
      <c r="B54" s="33" t="inlineStr">
        <is>
          <t>01.7.15.03-0034</t>
        </is>
      </c>
      <c r="C54" s="148" t="inlineStr">
        <is>
          <t>Болты с гайками и шайбами оцинкованные, диаметр 12 мм</t>
        </is>
      </c>
      <c r="D54" s="143" t="inlineStr">
        <is>
          <t>кг</t>
        </is>
      </c>
      <c r="E54" s="195" t="n">
        <v>0.2378</v>
      </c>
      <c r="F54" s="162" t="n">
        <v>25.76</v>
      </c>
      <c r="G54" s="14">
        <f>ROUND(F54*E54,2)</f>
        <v/>
      </c>
      <c r="H54" s="158">
        <f>G54/$G$61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43" t="n">
        <v>27</v>
      </c>
      <c r="B55" s="33" t="inlineStr">
        <is>
          <t>01.7.11.07-0032</t>
        </is>
      </c>
      <c r="C55" s="148" t="inlineStr">
        <is>
          <t>Электроды сварочные Э42, диаметр 4 мм</t>
        </is>
      </c>
      <c r="D55" s="143" t="inlineStr">
        <is>
          <t>т</t>
        </is>
      </c>
      <c r="E55" s="195" t="n">
        <v>0.0005</v>
      </c>
      <c r="F55" s="162" t="n">
        <v>10315.01</v>
      </c>
      <c r="G55" s="14">
        <f>ROUND(F55*E55,2)</f>
        <v/>
      </c>
      <c r="H55" s="158">
        <f>G55/$G$61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43" t="n">
        <v>28</v>
      </c>
      <c r="B56" s="33" t="inlineStr">
        <is>
          <t>14.4.04.09-0017</t>
        </is>
      </c>
      <c r="C56" s="148" t="inlineStr">
        <is>
          <t>Эмаль ХВ-124, защитная, зеленая</t>
        </is>
      </c>
      <c r="D56" s="143" t="inlineStr">
        <is>
          <t>т</t>
        </is>
      </c>
      <c r="E56" s="195" t="n">
        <v>3e-05</v>
      </c>
      <c r="F56" s="162" t="n">
        <v>28300.4</v>
      </c>
      <c r="G56" s="14">
        <f>ROUND(F56*E56,2)</f>
        <v/>
      </c>
      <c r="H56" s="158">
        <f>G56/$G$61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43" t="n">
        <v>29</v>
      </c>
      <c r="B57" s="33" t="inlineStr">
        <is>
          <t>14.4.01.01-0003</t>
        </is>
      </c>
      <c r="C57" s="148" t="inlineStr">
        <is>
          <t>Грунтовка ГФ-021</t>
        </is>
      </c>
      <c r="D57" s="143" t="inlineStr">
        <is>
          <t>т</t>
        </is>
      </c>
      <c r="E57" s="195" t="n">
        <v>2e-05</v>
      </c>
      <c r="F57" s="162" t="n">
        <v>15620</v>
      </c>
      <c r="G57" s="14">
        <f>ROUND(F57*E57,2)</f>
        <v/>
      </c>
      <c r="H57" s="158">
        <f>G57/$G$61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43" t="n">
        <v>30</v>
      </c>
      <c r="B58" s="33" t="inlineStr">
        <is>
          <t>14.5.09.07-0030</t>
        </is>
      </c>
      <c r="C58" s="148" t="inlineStr">
        <is>
          <t>Растворитель Р-4</t>
        </is>
      </c>
      <c r="D58" s="143" t="inlineStr">
        <is>
          <t>кг</t>
        </is>
      </c>
      <c r="E58" s="195" t="n">
        <v>0.02</v>
      </c>
      <c r="F58" s="162" t="n">
        <v>9.42</v>
      </c>
      <c r="G58" s="14">
        <f>ROUND(F58*E58,2)</f>
        <v/>
      </c>
      <c r="H58" s="158">
        <f>G58/$G$61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43" t="n">
        <v>31</v>
      </c>
      <c r="B59" s="33" t="inlineStr">
        <is>
          <t>14.5.09.11-0102</t>
        </is>
      </c>
      <c r="C59" s="148" t="inlineStr">
        <is>
          <t>Уайт-спирит</t>
        </is>
      </c>
      <c r="D59" s="143" t="inlineStr">
        <is>
          <t>кг</t>
        </is>
      </c>
      <c r="E59" s="195" t="n">
        <v>0.01</v>
      </c>
      <c r="F59" s="162" t="n">
        <v>6.67</v>
      </c>
      <c r="G59" s="14">
        <f>ROUND(F59*E59,2)</f>
        <v/>
      </c>
      <c r="H59" s="158">
        <f>G59/$G$61</f>
        <v/>
      </c>
      <c r="I59" s="14">
        <f>ROUND(F59*Прил.10!$D$12,2)</f>
        <v/>
      </c>
      <c r="J59" s="14">
        <f>ROUND(I59*E59,2)</f>
        <v/>
      </c>
    </row>
    <row r="60" collapsed="1" customFormat="1" s="1">
      <c r="A60" s="143" t="n"/>
      <c r="B60" s="143" t="n"/>
      <c r="C60" s="148" t="inlineStr">
        <is>
          <t>Итого прочие материалы</t>
        </is>
      </c>
      <c r="D60" s="143" t="n"/>
      <c r="E60" s="149" t="n"/>
      <c r="F60" s="150" t="n"/>
      <c r="G60" s="14">
        <f>SUM(G53:G59)</f>
        <v/>
      </c>
      <c r="H60" s="158">
        <f>G60/G61</f>
        <v/>
      </c>
      <c r="I60" s="14" t="n"/>
      <c r="J60" s="14">
        <f>SUM(J53:J59)</f>
        <v/>
      </c>
      <c r="L60" s="200" t="n"/>
    </row>
    <row r="61" ht="14.25" customFormat="1" customHeight="1" s="1">
      <c r="A61" s="143" t="n"/>
      <c r="B61" s="143" t="n"/>
      <c r="C61" s="157" t="inlineStr">
        <is>
          <t>Итого по разделу «Материалы»</t>
        </is>
      </c>
      <c r="D61" s="143" t="n"/>
      <c r="E61" s="149" t="n"/>
      <c r="F61" s="150" t="n"/>
      <c r="G61" s="14">
        <f>G52+G60</f>
        <v/>
      </c>
      <c r="H61" s="158" t="n">
        <v>1</v>
      </c>
      <c r="I61" s="150" t="n"/>
      <c r="J61" s="14">
        <f>J52+J60</f>
        <v/>
      </c>
      <c r="K61" s="197" t="n"/>
    </row>
    <row r="62" ht="14.25" customFormat="1" customHeight="1" s="1">
      <c r="A62" s="143" t="n"/>
      <c r="B62" s="143" t="n"/>
      <c r="C62" s="148" t="inlineStr">
        <is>
          <t>ИТОГО ПО РМ</t>
        </is>
      </c>
      <c r="D62" s="143" t="n"/>
      <c r="E62" s="149" t="n"/>
      <c r="F62" s="150" t="n"/>
      <c r="G62" s="14">
        <f>G16+G27+G61</f>
        <v/>
      </c>
      <c r="H62" s="158" t="n"/>
      <c r="I62" s="150" t="n"/>
      <c r="J62" s="14">
        <f>J16+J27+J61</f>
        <v/>
      </c>
    </row>
    <row r="63" ht="14.25" customFormat="1" customHeight="1" s="1">
      <c r="A63" s="143" t="n"/>
      <c r="B63" s="143" t="n"/>
      <c r="C63" s="148" t="inlineStr">
        <is>
          <t>Накладные расходы</t>
        </is>
      </c>
      <c r="D63" s="143" t="inlineStr">
        <is>
          <t>%</t>
        </is>
      </c>
      <c r="E63" s="41">
        <f>ROUND(G63/(G16+G18),2)</f>
        <v/>
      </c>
      <c r="F63" s="150" t="n"/>
      <c r="G63" s="14" t="n">
        <v>14304.3</v>
      </c>
      <c r="H63" s="158" t="n"/>
      <c r="I63" s="150" t="n"/>
      <c r="J63" s="14">
        <f>ROUND(E63*(J16+J18),2)</f>
        <v/>
      </c>
      <c r="K63" s="42" t="n"/>
    </row>
    <row r="64" ht="14.25" customFormat="1" customHeight="1" s="1">
      <c r="A64" s="143" t="n"/>
      <c r="B64" s="143" t="n"/>
      <c r="C64" s="148" t="inlineStr">
        <is>
          <t>Сметная прибыль</t>
        </is>
      </c>
      <c r="D64" s="143" t="inlineStr">
        <is>
          <t>%</t>
        </is>
      </c>
      <c r="E64" s="41">
        <f>ROUND(G64/(G16+G18),2)</f>
        <v/>
      </c>
      <c r="F64" s="150" t="n"/>
      <c r="G64" s="14" t="n">
        <v>7311.11</v>
      </c>
      <c r="H64" s="158" t="n"/>
      <c r="I64" s="150" t="n"/>
      <c r="J64" s="14">
        <f>ROUND(E64*(J16+J18),2)</f>
        <v/>
      </c>
      <c r="K64" s="42" t="n"/>
    </row>
    <row r="65" ht="14.25" customFormat="1" customHeight="1" s="1">
      <c r="A65" s="143" t="n"/>
      <c r="B65" s="143" t="n"/>
      <c r="C65" s="148" t="inlineStr">
        <is>
          <t>Итого СМР (с НР и СП)</t>
        </is>
      </c>
      <c r="D65" s="143" t="n"/>
      <c r="E65" s="149" t="n"/>
      <c r="F65" s="150" t="n"/>
      <c r="G65" s="14">
        <f>G16+G27+G61+G63+G64</f>
        <v/>
      </c>
      <c r="H65" s="158" t="n"/>
      <c r="I65" s="150" t="n"/>
      <c r="J65" s="14">
        <f>J16+J27+J61+J63+J64</f>
        <v/>
      </c>
      <c r="L65" s="43" t="n"/>
    </row>
    <row r="66" ht="14.25" customFormat="1" customHeight="1" s="1">
      <c r="A66" s="143" t="n"/>
      <c r="B66" s="143" t="n"/>
      <c r="C66" s="148" t="inlineStr">
        <is>
          <t>ВСЕГО СМР + ОБОРУДОВАНИЕ</t>
        </is>
      </c>
      <c r="D66" s="143" t="n"/>
      <c r="E66" s="149" t="n"/>
      <c r="F66" s="150" t="n"/>
      <c r="G66" s="14">
        <f>G65+G45</f>
        <v/>
      </c>
      <c r="H66" s="158" t="n"/>
      <c r="I66" s="150" t="n"/>
      <c r="J66" s="14">
        <f>J65+J45</f>
        <v/>
      </c>
      <c r="L66" s="42" t="n"/>
    </row>
    <row r="67" ht="14.25" customFormat="1" customHeight="1" s="1">
      <c r="A67" s="143" t="n"/>
      <c r="B67" s="143" t="n"/>
      <c r="C67" s="148" t="inlineStr">
        <is>
          <t>ИТОГО ПОКАЗАТЕЛЬ НА ЕД. ИЗМ.</t>
        </is>
      </c>
      <c r="D67" s="143" t="inlineStr">
        <is>
          <t>ед.</t>
        </is>
      </c>
      <c r="E67" s="44">
        <f>'Прил.1 Сравнит табл'!D15</f>
        <v/>
      </c>
      <c r="F67" s="150" t="n"/>
      <c r="G67" s="14">
        <f>G66/E67</f>
        <v/>
      </c>
      <c r="H67" s="158" t="n"/>
      <c r="I67" s="150" t="n"/>
      <c r="J67" s="14">
        <f>J66/E67</f>
        <v/>
      </c>
      <c r="L67" s="194" t="n"/>
    </row>
    <row r="69" ht="14.25" customFormat="1" customHeight="1" s="1">
      <c r="A69" s="10" t="n"/>
    </row>
    <row r="70" ht="14.25" customFormat="1" customHeight="1" s="1">
      <c r="A70" s="6" t="inlineStr">
        <is>
          <t>Составил ______________________        Е.А. Князева</t>
        </is>
      </c>
    </row>
    <row r="71" ht="14.25" customFormat="1" customHeight="1" s="1">
      <c r="A71" s="48" t="inlineStr">
        <is>
          <t xml:space="preserve">                         (подпись, инициалы, фамилия)</t>
        </is>
      </c>
    </row>
    <row r="72" ht="14.25" customFormat="1" customHeight="1" s="1">
      <c r="A72" s="6" t="n"/>
    </row>
    <row r="73" ht="14.25" customFormat="1" customHeight="1" s="1">
      <c r="A73" s="6" t="inlineStr">
        <is>
          <t>Проверил ______________________        А.В. Костянецкая</t>
        </is>
      </c>
    </row>
    <row r="74" ht="14.25" customFormat="1" customHeight="1" s="1">
      <c r="A74" s="48" t="inlineStr">
        <is>
          <t xml:space="preserve">                        (подпись, инициалы, фамилия)</t>
        </is>
      </c>
    </row>
  </sheetData>
  <mergeCells count="19">
    <mergeCell ref="H9:H10"/>
    <mergeCell ref="B20:H20"/>
    <mergeCell ref="B29:J29"/>
    <mergeCell ref="C9:C10"/>
    <mergeCell ref="E9:E10"/>
    <mergeCell ref="A7:H7"/>
    <mergeCell ref="B28:J28"/>
    <mergeCell ref="B9:B10"/>
    <mergeCell ref="D9:D10"/>
    <mergeCell ref="B12:H12"/>
    <mergeCell ref="D6:J6"/>
    <mergeCell ref="B48:H48"/>
    <mergeCell ref="B47:J47"/>
    <mergeCell ref="F9:G9"/>
    <mergeCell ref="A4:H4"/>
    <mergeCell ref="B17:H17"/>
    <mergeCell ref="A9:A10"/>
    <mergeCell ref="B19:H19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4"/>
  <sheetViews>
    <sheetView view="pageBreakPreview" topLeftCell="A19" workbookViewId="0">
      <selection activeCell="C31" sqref="C31"/>
    </sheetView>
  </sheetViews>
  <sheetFormatPr baseColWidth="8" defaultRowHeight="15"/>
  <cols>
    <col width="5.7109375" customWidth="1" style="102" min="1" max="1"/>
    <col width="14.85546875" customWidth="1" style="102" min="2" max="2"/>
    <col width="39.140625" customWidth="1" style="102" min="3" max="3"/>
    <col width="8.28515625" customWidth="1" style="102" min="4" max="4"/>
    <col width="13.5703125" customWidth="1" style="102" min="5" max="5"/>
    <col width="12.42578125" customWidth="1" style="102" min="6" max="6"/>
    <col width="14.140625" customWidth="1" style="102" min="7" max="7"/>
  </cols>
  <sheetData>
    <row r="1">
      <c r="A1" s="163" t="inlineStr">
        <is>
          <t>Приложение №6</t>
        </is>
      </c>
    </row>
    <row r="2">
      <c r="A2" s="163" t="n"/>
      <c r="B2" s="163" t="n"/>
      <c r="C2" s="163" t="n"/>
      <c r="D2" s="163" t="n"/>
      <c r="E2" s="163" t="n"/>
      <c r="F2" s="163" t="n"/>
      <c r="G2" s="163" t="n"/>
    </row>
    <row r="3">
      <c r="A3" s="163" t="n"/>
      <c r="B3" s="163" t="n"/>
      <c r="C3" s="163" t="n"/>
      <c r="D3" s="163" t="n"/>
      <c r="E3" s="163" t="n"/>
      <c r="F3" s="163" t="n"/>
      <c r="G3" s="163" t="n"/>
    </row>
    <row r="4">
      <c r="A4" s="163" t="n"/>
      <c r="B4" s="163" t="n"/>
      <c r="C4" s="163" t="n"/>
      <c r="D4" s="163" t="n"/>
      <c r="E4" s="163" t="n"/>
      <c r="F4" s="163" t="n"/>
      <c r="G4" s="163" t="n"/>
    </row>
    <row r="5">
      <c r="A5" s="140" t="inlineStr">
        <is>
          <t>Расчет стоимости оборудования</t>
        </is>
      </c>
    </row>
    <row r="6" ht="64.5" customHeight="1" s="102">
      <c r="A6" s="165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02">
      <c r="A8" s="164" t="inlineStr">
        <is>
          <t>№ пп.</t>
        </is>
      </c>
      <c r="B8" s="164" t="inlineStr">
        <is>
          <t>Код ресурса</t>
        </is>
      </c>
      <c r="C8" s="164" t="inlineStr">
        <is>
          <t>Наименование</t>
        </is>
      </c>
      <c r="D8" s="164" t="inlineStr">
        <is>
          <t>Ед. изм.</t>
        </is>
      </c>
      <c r="E8" s="143" t="inlineStr">
        <is>
          <t>Кол-во единиц по проектным данным</t>
        </is>
      </c>
      <c r="F8" s="164" t="inlineStr">
        <is>
          <t>Сметная стоимость в ценах на 01.01.2000 (руб.)</t>
        </is>
      </c>
      <c r="G8" s="186" t="n"/>
    </row>
    <row r="9">
      <c r="A9" s="188" t="n"/>
      <c r="B9" s="188" t="n"/>
      <c r="C9" s="188" t="n"/>
      <c r="D9" s="188" t="n"/>
      <c r="E9" s="188" t="n"/>
      <c r="F9" s="143" t="inlineStr">
        <is>
          <t>на ед. изм.</t>
        </is>
      </c>
      <c r="G9" s="143" t="inlineStr">
        <is>
          <t>общая</t>
        </is>
      </c>
    </row>
    <row r="10">
      <c r="A10" s="143" t="n">
        <v>1</v>
      </c>
      <c r="B10" s="143" t="n">
        <v>2</v>
      </c>
      <c r="C10" s="143" t="n">
        <v>3</v>
      </c>
      <c r="D10" s="143" t="n">
        <v>4</v>
      </c>
      <c r="E10" s="143" t="n">
        <v>5</v>
      </c>
      <c r="F10" s="143" t="n">
        <v>6</v>
      </c>
      <c r="G10" s="143" t="n">
        <v>7</v>
      </c>
    </row>
    <row r="11" ht="15" customHeight="1" s="102">
      <c r="A11" s="7" t="n"/>
      <c r="B11" s="148" t="inlineStr">
        <is>
          <t>ИНЖЕНЕРНОЕ ОБОРУДОВАНИЕ</t>
        </is>
      </c>
      <c r="C11" s="185" t="n"/>
      <c r="D11" s="185" t="n"/>
      <c r="E11" s="185" t="n"/>
      <c r="F11" s="185" t="n"/>
      <c r="G11" s="186" t="n"/>
    </row>
    <row r="12" ht="27" customHeight="1" s="102">
      <c r="A12" s="143" t="n"/>
      <c r="B12" s="157" t="n"/>
      <c r="C12" s="148" t="inlineStr">
        <is>
          <t>ИТОГО ИНЖЕНЕРНОЕ ОБОРУДОВАНИЕ</t>
        </is>
      </c>
      <c r="D12" s="157" t="n"/>
      <c r="E12" s="8" t="n"/>
      <c r="F12" s="150" t="n"/>
      <c r="G12" s="150" t="n">
        <v>0</v>
      </c>
    </row>
    <row r="13">
      <c r="A13" s="143" t="n"/>
      <c r="B13" s="148" t="inlineStr">
        <is>
          <t>ТЕХНОЛОГИЧЕСКОЕ ОБОРУДОВАНИЕ</t>
        </is>
      </c>
      <c r="C13" s="185" t="n"/>
      <c r="D13" s="185" t="n"/>
      <c r="E13" s="185" t="n"/>
      <c r="F13" s="185" t="n"/>
      <c r="G13" s="186" t="n"/>
    </row>
    <row r="14" ht="51" customHeight="1" s="102">
      <c r="A14" s="143" t="n">
        <v>1</v>
      </c>
      <c r="B14" s="44">
        <f>'Прил.5 Расчет СМР и ОБ'!B30</f>
        <v/>
      </c>
      <c r="C14" s="87">
        <f>'Прил.5 Расчет СМР и ОБ'!C30</f>
        <v/>
      </c>
      <c r="D14" s="44">
        <f>'Прил.5 Расчет СМР и ОБ'!D30</f>
        <v/>
      </c>
      <c r="E14" s="44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 ht="25.5" customHeight="1" s="102">
      <c r="A15" s="143" t="n">
        <v>2</v>
      </c>
      <c r="B15" s="44">
        <f>'Прил.5 Расчет СМР и ОБ'!B31</f>
        <v/>
      </c>
      <c r="C15" s="87">
        <f>'Прил.5 Расчет СМР и ОБ'!C31</f>
        <v/>
      </c>
      <c r="D15" s="44">
        <f>'Прил.5 Расчет СМР и ОБ'!D31</f>
        <v/>
      </c>
      <c r="E15" s="44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 ht="25.5" customHeight="1" s="102">
      <c r="A16" s="143" t="n">
        <v>3</v>
      </c>
      <c r="B16" s="44">
        <f>'Прил.5 Расчет СМР и ОБ'!B32</f>
        <v/>
      </c>
      <c r="C16" s="87">
        <f>'Прил.5 Расчет СМР и ОБ'!C32</f>
        <v/>
      </c>
      <c r="D16" s="44">
        <f>'Прил.5 Расчет СМР и ОБ'!D32</f>
        <v/>
      </c>
      <c r="E16" s="44">
        <f>'Прил.5 Расчет СМР и ОБ'!E32</f>
        <v/>
      </c>
      <c r="F16" s="14">
        <f>'Прил.5 Расчет СМР и ОБ'!F32</f>
        <v/>
      </c>
      <c r="G16" s="14">
        <f>ROUND(E16*F16,2)</f>
        <v/>
      </c>
    </row>
    <row r="17" ht="51" customHeight="1" s="102">
      <c r="A17" s="143" t="n">
        <v>4</v>
      </c>
      <c r="B17" s="44">
        <f>'Прил.5 Расчет СМР и ОБ'!B33</f>
        <v/>
      </c>
      <c r="C17" s="87">
        <f>'Прил.5 Расчет СМР и ОБ'!C33</f>
        <v/>
      </c>
      <c r="D17" s="44">
        <f>'Прил.5 Расчет СМР и ОБ'!D33</f>
        <v/>
      </c>
      <c r="E17" s="44">
        <f>'Прил.5 Расчет СМР и ОБ'!E33</f>
        <v/>
      </c>
      <c r="F17" s="14">
        <f>'Прил.5 Расчет СМР и ОБ'!F33</f>
        <v/>
      </c>
      <c r="G17" s="14">
        <f>ROUND(E17*F17,2)</f>
        <v/>
      </c>
    </row>
    <row r="18" ht="25.5" customHeight="1" s="102">
      <c r="A18" s="143" t="n">
        <v>5</v>
      </c>
      <c r="B18" s="44">
        <f>'Прил.5 Расчет СМР и ОБ'!B34</f>
        <v/>
      </c>
      <c r="C18" s="87">
        <f>'Прил.5 Расчет СМР и ОБ'!C34</f>
        <v/>
      </c>
      <c r="D18" s="44">
        <f>'Прил.5 Расчет СМР и ОБ'!D34</f>
        <v/>
      </c>
      <c r="E18" s="44">
        <f>'Прил.5 Расчет СМР и ОБ'!E34</f>
        <v/>
      </c>
      <c r="F18" s="14">
        <f>'Прил.5 Расчет СМР и ОБ'!F34</f>
        <v/>
      </c>
      <c r="G18" s="14">
        <f>ROUND(E18*F18,2)</f>
        <v/>
      </c>
    </row>
    <row r="19" ht="51" customHeight="1" s="102">
      <c r="A19" s="143" t="n">
        <v>6</v>
      </c>
      <c r="B19" s="44">
        <f>'Прил.5 Расчет СМР и ОБ'!B35</f>
        <v/>
      </c>
      <c r="C19" s="87">
        <f>'Прил.5 Расчет СМР и ОБ'!C35</f>
        <v/>
      </c>
      <c r="D19" s="44">
        <f>'Прил.5 Расчет СМР и ОБ'!D35</f>
        <v/>
      </c>
      <c r="E19" s="44">
        <f>'Прил.5 Расчет СМР и ОБ'!E35</f>
        <v/>
      </c>
      <c r="F19" s="14">
        <f>'Прил.5 Расчет СМР и ОБ'!F35</f>
        <v/>
      </c>
      <c r="G19" s="14">
        <f>ROUND(E19*F19,2)</f>
        <v/>
      </c>
    </row>
    <row r="20" ht="25.5" customHeight="1" s="102">
      <c r="A20" s="143" t="n">
        <v>7</v>
      </c>
      <c r="B20" s="44">
        <f>'Прил.5 Расчет СМР и ОБ'!B36</f>
        <v/>
      </c>
      <c r="C20" s="87">
        <f>'Прил.5 Расчет СМР и ОБ'!C36</f>
        <v/>
      </c>
      <c r="D20" s="44">
        <f>'Прил.5 Расчет СМР и ОБ'!D36</f>
        <v/>
      </c>
      <c r="E20" s="44">
        <f>'Прил.5 Расчет СМР и ОБ'!E36</f>
        <v/>
      </c>
      <c r="F20" s="14">
        <f>'Прил.5 Расчет СМР и ОБ'!F36</f>
        <v/>
      </c>
      <c r="G20" s="14">
        <f>ROUND(E20*F20,2)</f>
        <v/>
      </c>
    </row>
    <row r="21" ht="38.25" customHeight="1" s="102">
      <c r="A21" s="143" t="n">
        <v>8</v>
      </c>
      <c r="B21" s="44">
        <f>'Прил.5 Расчет СМР и ОБ'!B38</f>
        <v/>
      </c>
      <c r="C21" s="87">
        <f>'Прил.5 Расчет СМР и ОБ'!C38</f>
        <v/>
      </c>
      <c r="D21" s="44">
        <f>'Прил.5 Расчет СМР и ОБ'!D38</f>
        <v/>
      </c>
      <c r="E21" s="44">
        <f>'Прил.5 Расчет СМР и ОБ'!E38</f>
        <v/>
      </c>
      <c r="F21" s="14">
        <f>'Прил.5 Расчет СМР и ОБ'!F38</f>
        <v/>
      </c>
      <c r="G21" s="14">
        <f>ROUND(E21*F21,2)</f>
        <v/>
      </c>
    </row>
    <row r="22" ht="38.25" customHeight="1" s="102">
      <c r="A22" s="143" t="n">
        <v>9</v>
      </c>
      <c r="B22" s="44">
        <f>'Прил.5 Расчет СМР и ОБ'!B39</f>
        <v/>
      </c>
      <c r="C22" s="87">
        <f>'Прил.5 Расчет СМР и ОБ'!C39</f>
        <v/>
      </c>
      <c r="D22" s="44">
        <f>'Прил.5 Расчет СМР и ОБ'!D39</f>
        <v/>
      </c>
      <c r="E22" s="44">
        <f>'Прил.5 Расчет СМР и ОБ'!E39</f>
        <v/>
      </c>
      <c r="F22" s="14">
        <f>'Прил.5 Расчет СМР и ОБ'!F39</f>
        <v/>
      </c>
      <c r="G22" s="14">
        <f>ROUND(E22*F22,2)</f>
        <v/>
      </c>
    </row>
    <row r="23" ht="38.25" customHeight="1" s="102">
      <c r="A23" s="143" t="n">
        <v>10</v>
      </c>
      <c r="B23" s="44">
        <f>'Прил.5 Расчет СМР и ОБ'!B40</f>
        <v/>
      </c>
      <c r="C23" s="87">
        <f>'Прил.5 Расчет СМР и ОБ'!C40</f>
        <v/>
      </c>
      <c r="D23" s="44">
        <f>'Прил.5 Расчет СМР и ОБ'!D40</f>
        <v/>
      </c>
      <c r="E23" s="44">
        <f>'Прил.5 Расчет СМР и ОБ'!E40</f>
        <v/>
      </c>
      <c r="F23" s="14">
        <f>'Прил.5 Расчет СМР и ОБ'!F40</f>
        <v/>
      </c>
      <c r="G23" s="14">
        <f>ROUND(E23*F23,2)</f>
        <v/>
      </c>
    </row>
    <row r="24" ht="38.25" customHeight="1" s="102">
      <c r="A24" s="143" t="n">
        <v>11</v>
      </c>
      <c r="B24" s="44">
        <f>'Прил.5 Расчет СМР и ОБ'!B41</f>
        <v/>
      </c>
      <c r="C24" s="87">
        <f>'Прил.5 Расчет СМР и ОБ'!C41</f>
        <v/>
      </c>
      <c r="D24" s="44">
        <f>'Прил.5 Расчет СМР и ОБ'!D41</f>
        <v/>
      </c>
      <c r="E24" s="44">
        <f>'Прил.5 Расчет СМР и ОБ'!E41</f>
        <v/>
      </c>
      <c r="F24" s="14">
        <f>'Прил.5 Расчет СМР и ОБ'!F41</f>
        <v/>
      </c>
      <c r="G24" s="14">
        <f>ROUND(E24*F24,2)</f>
        <v/>
      </c>
    </row>
    <row r="25" ht="38.25" customHeight="1" s="102">
      <c r="A25" s="143" t="n">
        <v>12</v>
      </c>
      <c r="B25" s="44">
        <f>'Прил.5 Расчет СМР и ОБ'!B42</f>
        <v/>
      </c>
      <c r="C25" s="87">
        <f>'Прил.5 Расчет СМР и ОБ'!C42</f>
        <v/>
      </c>
      <c r="D25" s="44">
        <f>'Прил.5 Расчет СМР и ОБ'!D42</f>
        <v/>
      </c>
      <c r="E25" s="44">
        <f>'Прил.5 Расчет СМР и ОБ'!E42</f>
        <v/>
      </c>
      <c r="F25" s="14">
        <f>'Прил.5 Расчет СМР и ОБ'!F42</f>
        <v/>
      </c>
      <c r="G25" s="14">
        <f>ROUND(E25*F25,2)</f>
        <v/>
      </c>
    </row>
    <row r="26" ht="38.25" customHeight="1" s="102">
      <c r="A26" s="143" t="n">
        <v>13</v>
      </c>
      <c r="B26" s="44">
        <f>'Прил.5 Расчет СМР и ОБ'!B43</f>
        <v/>
      </c>
      <c r="C26" s="87">
        <f>'Прил.5 Расчет СМР и ОБ'!C43</f>
        <v/>
      </c>
      <c r="D26" s="44">
        <f>'Прил.5 Расчет СМР и ОБ'!D43</f>
        <v/>
      </c>
      <c r="E26" s="44">
        <f>'Прил.5 Расчет СМР и ОБ'!E43</f>
        <v/>
      </c>
      <c r="F26" s="14">
        <f>'Прил.5 Расчет СМР и ОБ'!F43</f>
        <v/>
      </c>
      <c r="G26" s="14">
        <f>ROUND(E26*F26,2)</f>
        <v/>
      </c>
    </row>
    <row r="27" ht="25.5" customHeight="1" s="102">
      <c r="A27" s="143" t="n"/>
      <c r="B27" s="12" t="n"/>
      <c r="C27" s="12" t="inlineStr">
        <is>
          <t>ИТОГО ТЕХНОЛОГИЧЕСКОЕ ОБОРУДОВАНИЕ</t>
        </is>
      </c>
      <c r="D27" s="12" t="n"/>
      <c r="E27" s="13" t="n"/>
      <c r="F27" s="150" t="n"/>
      <c r="G27" s="14">
        <f>SUM(G14:G26)</f>
        <v/>
      </c>
    </row>
    <row r="28" ht="19.5" customHeight="1" s="102">
      <c r="A28" s="143" t="n"/>
      <c r="B28" s="148" t="n"/>
      <c r="C28" s="148" t="inlineStr">
        <is>
          <t>Всего по разделу «Оборудование»</t>
        </is>
      </c>
      <c r="D28" s="148" t="n"/>
      <c r="E28" s="162" t="n"/>
      <c r="F28" s="150" t="n"/>
      <c r="G28" s="14">
        <f>G12+G27</f>
        <v/>
      </c>
    </row>
    <row r="29">
      <c r="A29" s="10" t="n"/>
      <c r="B29" s="11" t="n"/>
      <c r="C29" s="10" t="n"/>
      <c r="D29" s="10" t="n"/>
      <c r="E29" s="10" t="n"/>
      <c r="F29" s="10" t="n"/>
      <c r="G29" s="10" t="n"/>
    </row>
    <row r="30">
      <c r="A30" s="6" t="inlineStr">
        <is>
          <t>Составил ______________________        Е.А. Князева</t>
        </is>
      </c>
      <c r="B30" s="1" t="n"/>
      <c r="C30" s="1" t="n"/>
      <c r="D30" s="10" t="n"/>
      <c r="E30" s="10" t="n"/>
      <c r="F30" s="10" t="n"/>
      <c r="G30" s="10" t="n"/>
    </row>
    <row r="31">
      <c r="A31" s="48" t="inlineStr">
        <is>
          <t xml:space="preserve">                         (подпись, инициалы, фамилия)</t>
        </is>
      </c>
      <c r="B31" s="1" t="n"/>
      <c r="C31" s="1" t="n"/>
      <c r="D31" s="10" t="n"/>
      <c r="E31" s="10" t="n"/>
      <c r="F31" s="10" t="n"/>
      <c r="G31" s="10" t="n"/>
    </row>
    <row r="32">
      <c r="A32" s="6" t="n"/>
      <c r="B32" s="1" t="n"/>
      <c r="C32" s="1" t="n"/>
      <c r="D32" s="10" t="n"/>
      <c r="E32" s="10" t="n"/>
      <c r="F32" s="10" t="n"/>
      <c r="G32" s="10" t="n"/>
    </row>
    <row r="33">
      <c r="A33" s="6" t="inlineStr">
        <is>
          <t>Проверил ______________________        А.В. Костянецкая</t>
        </is>
      </c>
      <c r="B33" s="1" t="n"/>
      <c r="C33" s="1" t="n"/>
      <c r="D33" s="10" t="n"/>
      <c r="E33" s="10" t="n"/>
      <c r="F33" s="10" t="n"/>
      <c r="G33" s="10" t="n"/>
    </row>
    <row r="34">
      <c r="A34" s="48" t="inlineStr">
        <is>
          <t xml:space="preserve">                        (подпись, инициалы, фамилия)</t>
        </is>
      </c>
      <c r="B34" s="1" t="n"/>
      <c r="C34" s="1" t="n"/>
      <c r="D34" s="10" t="n"/>
      <c r="E34" s="10" t="n"/>
      <c r="F34" s="10" t="n"/>
      <c r="G34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4" sqref="B14"/>
    </sheetView>
  </sheetViews>
  <sheetFormatPr baseColWidth="8" defaultRowHeight="15"/>
  <cols>
    <col width="12.7109375" customWidth="1" style="102" min="1" max="1"/>
    <col width="16.42578125" customWidth="1" style="102" min="2" max="2"/>
    <col width="37.140625" customWidth="1" style="102" min="3" max="3"/>
    <col width="49" customWidth="1" style="102" min="4" max="4"/>
    <col width="9.140625" customWidth="1" style="102" min="5" max="5"/>
  </cols>
  <sheetData>
    <row r="1" ht="15.75" customHeight="1" s="102">
      <c r="A1" s="104" t="n"/>
      <c r="B1" s="104" t="n"/>
      <c r="C1" s="104" t="n"/>
      <c r="D1" s="104" t="inlineStr">
        <is>
          <t>Приложение №7</t>
        </is>
      </c>
    </row>
    <row r="2" ht="15.75" customHeight="1" s="102">
      <c r="A2" s="104" t="n"/>
      <c r="B2" s="104" t="n"/>
      <c r="C2" s="104" t="n"/>
      <c r="D2" s="104" t="n"/>
    </row>
    <row r="3" ht="15.75" customHeight="1" s="102">
      <c r="A3" s="104" t="n"/>
      <c r="B3" s="70" t="inlineStr">
        <is>
          <t>Расчет показателя УНЦ</t>
        </is>
      </c>
      <c r="C3" s="104" t="n"/>
      <c r="D3" s="104" t="n"/>
    </row>
    <row r="4" ht="15.75" customHeight="1" s="102">
      <c r="A4" s="104" t="n"/>
      <c r="B4" s="104" t="n"/>
      <c r="C4" s="104" t="n"/>
      <c r="D4" s="104" t="n"/>
    </row>
    <row r="5" ht="31.5" customHeight="1" s="102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5.75" customHeight="1" s="102">
      <c r="A6" s="104" t="inlineStr">
        <is>
          <t>Единица измерения  — 1 ед</t>
        </is>
      </c>
      <c r="B6" s="104" t="n"/>
      <c r="C6" s="104" t="n"/>
      <c r="D6" s="104" t="n"/>
    </row>
    <row r="7" ht="15.75" customHeight="1" s="102">
      <c r="A7" s="104" t="n"/>
      <c r="B7" s="104" t="n"/>
      <c r="C7" s="104" t="n"/>
      <c r="D7" s="104" t="n"/>
    </row>
    <row r="8">
      <c r="A8" s="133" t="inlineStr">
        <is>
          <t>Код показателя</t>
        </is>
      </c>
      <c r="B8" s="133" t="inlineStr">
        <is>
          <t>Наименование показателя</t>
        </is>
      </c>
      <c r="C8" s="133" t="inlineStr">
        <is>
          <t>Наименование РМ, входящих в состав показателя</t>
        </is>
      </c>
      <c r="D8" s="133" t="inlineStr">
        <is>
          <t>Норматив цены на 01.01.2023, тыс.руб.</t>
        </is>
      </c>
    </row>
    <row r="9">
      <c r="A9" s="188" t="n"/>
      <c r="B9" s="188" t="n"/>
      <c r="C9" s="188" t="n"/>
      <c r="D9" s="188" t="n"/>
    </row>
    <row r="10" ht="15.75" customHeight="1" s="102">
      <c r="A10" s="133" t="n">
        <v>1</v>
      </c>
      <c r="B10" s="133" t="n">
        <v>2</v>
      </c>
      <c r="C10" s="133" t="n">
        <v>3</v>
      </c>
      <c r="D10" s="133" t="n">
        <v>4</v>
      </c>
    </row>
    <row r="11" ht="63" customHeight="1" s="102">
      <c r="A11" s="133" t="inlineStr">
        <is>
          <t>И15-12</t>
        </is>
      </c>
      <c r="B11" s="133" t="inlineStr">
        <is>
          <t xml:space="preserve">УНЦ комплекса систем безопасности ПС </t>
        </is>
      </c>
      <c r="C11" s="97">
        <f>D5</f>
        <v/>
      </c>
      <c r="D11" s="109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48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8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9" zoomScale="60" zoomScaleNormal="100" workbookViewId="0">
      <selection activeCell="B26" sqref="B26"/>
    </sheetView>
  </sheetViews>
  <sheetFormatPr baseColWidth="8" defaultRowHeight="15"/>
  <cols>
    <col width="40.7109375" customWidth="1" style="102" min="2" max="2"/>
    <col width="37" customWidth="1" style="102" min="3" max="3"/>
    <col width="32" customWidth="1" style="102" min="4" max="4"/>
  </cols>
  <sheetData>
    <row r="4" ht="15.75" customHeight="1" s="102">
      <c r="B4" s="130" t="inlineStr">
        <is>
          <t>Приложение № 10</t>
        </is>
      </c>
    </row>
    <row r="5" ht="18.75" customHeight="1" s="102">
      <c r="B5" s="20" t="n"/>
    </row>
    <row r="6" ht="15.75" customHeight="1" s="102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67" t="n"/>
    </row>
    <row r="8" ht="47.25" customHeight="1" s="102">
      <c r="B8" s="133" t="inlineStr">
        <is>
          <t>Наименование индекса / норм сопутствующих затрат</t>
        </is>
      </c>
      <c r="C8" s="133" t="inlineStr">
        <is>
          <t>Дата применения и обоснование индекса / норм сопутствующих затрат</t>
        </is>
      </c>
      <c r="D8" s="133" t="inlineStr">
        <is>
          <t>Размер индекса / норма сопутствующих затрат</t>
        </is>
      </c>
    </row>
    <row r="9" ht="15.75" customHeight="1" s="102">
      <c r="B9" s="133" t="n">
        <v>1</v>
      </c>
      <c r="C9" s="133" t="n">
        <v>2</v>
      </c>
      <c r="D9" s="133" t="n">
        <v>3</v>
      </c>
    </row>
    <row r="10" ht="31.5" customHeight="1" s="102">
      <c r="B10" s="133" t="inlineStr">
        <is>
          <t xml:space="preserve">Индекс изменения сметной стоимости на 1 квартал 2023 года. ОЗП </t>
        </is>
      </c>
      <c r="C10" s="133" t="inlineStr">
        <is>
          <t>Письмо Минстроя России от 30.03.2023г. №17106-ИФ/09  прил.1</t>
        </is>
      </c>
      <c r="D10" s="133" t="n">
        <v>44.29</v>
      </c>
    </row>
    <row r="11" ht="31.5" customHeight="1" s="102">
      <c r="B11" s="133" t="inlineStr">
        <is>
          <t>Индекс изменения сметной стоимости на 1 квартал 2023 года. ЭМ</t>
        </is>
      </c>
      <c r="C11" s="133" t="inlineStr">
        <is>
          <t>Письмо Минстроя России от 30.03.2023г. №17106-ИФ/09  прил.1</t>
        </is>
      </c>
      <c r="D11" s="133" t="n">
        <v>13.47</v>
      </c>
    </row>
    <row r="12" ht="31.5" customHeight="1" s="102">
      <c r="B12" s="133" t="inlineStr">
        <is>
          <t>Индекс изменения сметной стоимости на 1 квартал 2023 года. МАТ</t>
        </is>
      </c>
      <c r="C12" s="133" t="inlineStr">
        <is>
          <t>Письмо Минстроя России от 30.03.2023г. №17106-ИФ/09  прил.1</t>
        </is>
      </c>
      <c r="D12" s="133" t="n">
        <v>8.039999999999999</v>
      </c>
    </row>
    <row r="13" ht="31.5" customHeight="1" s="102">
      <c r="B13" s="133" t="inlineStr">
        <is>
          <t>Индекс изменения сметной стоимости на 1 квартал 2023 года. ОБ</t>
        </is>
      </c>
      <c r="C13" s="60" t="inlineStr">
        <is>
          <t>Письмо Минстроя России от 23.02.2023г. №9791-ИФ/09 прил.6</t>
        </is>
      </c>
      <c r="D13" s="133" t="n">
        <v>6.26</v>
      </c>
    </row>
    <row r="14" ht="78.75" customHeight="1" s="102">
      <c r="B14" s="133" t="inlineStr">
        <is>
          <t>Временные здания и сооружения</t>
        </is>
      </c>
      <c r="C14" s="13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3" t="n">
        <v>0.039</v>
      </c>
    </row>
    <row r="15" ht="78.75" customHeight="1" s="102">
      <c r="B15" s="133" t="inlineStr">
        <is>
          <t>Дополнительные затраты при производстве строительно-монтажных работ в зимнее время</t>
        </is>
      </c>
      <c r="C15" s="1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3" t="n">
        <v>0.021</v>
      </c>
    </row>
    <row r="16" ht="15.75" customHeight="1" s="102">
      <c r="B16" s="133" t="inlineStr">
        <is>
          <t>Пусконаладочные работы*</t>
        </is>
      </c>
      <c r="C16" s="133" t="n"/>
      <c r="D16" s="133" t="inlineStr">
        <is>
          <t>Расчет</t>
        </is>
      </c>
    </row>
    <row r="17" ht="31.5" customHeight="1" s="102">
      <c r="B17" s="133" t="inlineStr">
        <is>
          <t>Строительный контроль</t>
        </is>
      </c>
      <c r="C17" s="133" t="inlineStr">
        <is>
          <t>Постановление Правительства РФ от 21.06.10 г. № 468</t>
        </is>
      </c>
      <c r="D17" s="23" t="n">
        <v>0.0214</v>
      </c>
    </row>
    <row r="18" ht="31.5" customHeight="1" s="102">
      <c r="B18" s="133" t="inlineStr">
        <is>
          <t>Авторский надзор - 0,2%</t>
        </is>
      </c>
      <c r="C18" s="133" t="inlineStr">
        <is>
          <t>Приказ от 4.08.2020 № 421/пр п.173</t>
        </is>
      </c>
      <c r="D18" s="23" t="n">
        <v>0.002</v>
      </c>
    </row>
    <row r="19" ht="24" customHeight="1" s="102">
      <c r="B19" s="133" t="inlineStr">
        <is>
          <t>Непредвиденные расходы</t>
        </is>
      </c>
      <c r="C19" s="133" t="inlineStr">
        <is>
          <t>Приказ от 4.08.2020 № 421/пр п.179</t>
        </is>
      </c>
      <c r="D19" s="23" t="n">
        <v>0.03</v>
      </c>
    </row>
    <row r="20" ht="18.75" customHeight="1" s="102">
      <c r="B20" s="21" t="n"/>
    </row>
    <row r="21" ht="18.75" customHeight="1" s="102">
      <c r="B21" s="21" t="n"/>
    </row>
    <row r="22" ht="18.75" customHeight="1" s="102">
      <c r="B22" s="21" t="n"/>
    </row>
    <row r="23" ht="18.75" customHeight="1" s="102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8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8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6"/>
  <colBreaks count="1" manualBreakCount="1">
    <brk id="4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102" min="2" max="2"/>
    <col width="13" customWidth="1" style="102" min="3" max="3"/>
    <col width="22.85546875" customWidth="1" style="102" min="4" max="4"/>
    <col width="21.5703125" customWidth="1" style="102" min="5" max="5"/>
    <col width="43.85546875" customWidth="1" style="102" min="6" max="6"/>
  </cols>
  <sheetData>
    <row r="1" s="102"/>
    <row r="2" ht="17.25" customHeight="1" s="102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2"/>
    <row r="4" ht="18" customHeight="1" s="102">
      <c r="A4" s="103" t="inlineStr">
        <is>
          <t>Составлен в уровне цен на 01.01.2023 г.</t>
        </is>
      </c>
      <c r="B4" s="104" t="n"/>
      <c r="C4" s="104" t="n"/>
      <c r="D4" s="104" t="n"/>
      <c r="E4" s="104" t="n"/>
      <c r="F4" s="104" t="n"/>
      <c r="G4" s="104" t="n"/>
    </row>
    <row r="5" ht="15.75" customHeight="1" s="102">
      <c r="A5" s="171" t="inlineStr">
        <is>
          <t>№ пп.</t>
        </is>
      </c>
      <c r="B5" s="171" t="inlineStr">
        <is>
          <t>Наименование элемента</t>
        </is>
      </c>
      <c r="C5" s="171" t="inlineStr">
        <is>
          <t>Обозначение</t>
        </is>
      </c>
      <c r="D5" s="171" t="inlineStr">
        <is>
          <t>Формула</t>
        </is>
      </c>
      <c r="E5" s="171" t="inlineStr">
        <is>
          <t>Величина элемента</t>
        </is>
      </c>
      <c r="F5" s="171" t="inlineStr">
        <is>
          <t>Наименования обосновывающих документов</t>
        </is>
      </c>
      <c r="G5" s="104" t="n"/>
    </row>
    <row r="6" ht="15.75" customHeight="1" s="102">
      <c r="A6" s="171" t="n">
        <v>1</v>
      </c>
      <c r="B6" s="171" t="n">
        <v>2</v>
      </c>
      <c r="C6" s="171" t="n">
        <v>3</v>
      </c>
      <c r="D6" s="171" t="n">
        <v>4</v>
      </c>
      <c r="E6" s="171" t="n">
        <v>5</v>
      </c>
      <c r="F6" s="171" t="n">
        <v>6</v>
      </c>
      <c r="G6" s="104" t="n"/>
    </row>
    <row r="7" ht="110.25" customHeight="1" s="102">
      <c r="A7" s="172" t="inlineStr">
        <is>
          <t>1.1</t>
        </is>
      </c>
      <c r="B7" s="17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4" t="inlineStr">
        <is>
          <t>С1ср</t>
        </is>
      </c>
      <c r="D7" s="174" t="inlineStr">
        <is>
          <t>-</t>
        </is>
      </c>
      <c r="E7" s="175" t="n">
        <v>47872.94</v>
      </c>
      <c r="F7" s="17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4" t="n"/>
    </row>
    <row r="8" ht="31.5" customHeight="1" s="102">
      <c r="A8" s="172" t="inlineStr">
        <is>
          <t>1.2</t>
        </is>
      </c>
      <c r="B8" s="173" t="inlineStr">
        <is>
          <t>Среднегодовое нормативное число часов работы одного рабочего в месяц, часы (ч.)</t>
        </is>
      </c>
      <c r="C8" s="174" t="inlineStr">
        <is>
          <t>tср</t>
        </is>
      </c>
      <c r="D8" s="174" t="inlineStr">
        <is>
          <t>1973ч/12мес.</t>
        </is>
      </c>
      <c r="E8" s="176">
        <f>1973/12</f>
        <v/>
      </c>
      <c r="F8" s="173" t="inlineStr">
        <is>
          <t>Производственный календарь 2023 год
(40-часов.неделя)</t>
        </is>
      </c>
      <c r="G8" s="112" t="n"/>
    </row>
    <row r="9" ht="15.75" customHeight="1" s="102">
      <c r="A9" s="172" t="inlineStr">
        <is>
          <t>1.3</t>
        </is>
      </c>
      <c r="B9" s="173" t="inlineStr">
        <is>
          <t>Коэффициент увеличения</t>
        </is>
      </c>
      <c r="C9" s="174" t="inlineStr">
        <is>
          <t>Кув</t>
        </is>
      </c>
      <c r="D9" s="174" t="inlineStr">
        <is>
          <t>-</t>
        </is>
      </c>
      <c r="E9" s="176" t="n">
        <v>1</v>
      </c>
      <c r="F9" s="173" t="n"/>
      <c r="G9" s="112" t="n"/>
    </row>
    <row r="10" ht="15.75" customHeight="1" s="102">
      <c r="A10" s="172" t="inlineStr">
        <is>
          <t>1.4</t>
        </is>
      </c>
      <c r="B10" s="173" t="inlineStr">
        <is>
          <t>Средний разряд работ</t>
        </is>
      </c>
      <c r="C10" s="174" t="n"/>
      <c r="D10" s="174" t="n"/>
      <c r="E10" s="203" t="n">
        <v>3.6</v>
      </c>
      <c r="F10" s="173" t="inlineStr">
        <is>
          <t>РТМ</t>
        </is>
      </c>
      <c r="G10" s="112" t="n"/>
    </row>
    <row r="11" ht="78.75" customHeight="1" s="102">
      <c r="A11" s="172" t="inlineStr">
        <is>
          <t>1.5</t>
        </is>
      </c>
      <c r="B11" s="173" t="inlineStr">
        <is>
          <t>Тарифный коэффициент среднего разряда работ</t>
        </is>
      </c>
      <c r="C11" s="174" t="inlineStr">
        <is>
          <t>КТ</t>
        </is>
      </c>
      <c r="D11" s="174" t="inlineStr">
        <is>
          <t>-</t>
        </is>
      </c>
      <c r="E11" s="204" t="n">
        <v>1.278</v>
      </c>
      <c r="F11" s="17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4" t="n"/>
    </row>
    <row r="12" ht="78.75" customHeight="1" s="102">
      <c r="A12" s="172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74" t="inlineStr">
        <is>
          <t>Кинф</t>
        </is>
      </c>
      <c r="D12" s="174" t="inlineStr">
        <is>
          <t>-</t>
        </is>
      </c>
      <c r="E12" s="205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2" t="n"/>
    </row>
    <row r="13" ht="63" customHeight="1" s="102">
      <c r="A13" s="172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174" t="inlineStr">
        <is>
          <t>ФОТр.тек.</t>
        </is>
      </c>
      <c r="D13" s="174" t="inlineStr">
        <is>
          <t>(С1ср/tср*КТ*Т*Кув)*Кинф</t>
        </is>
      </c>
      <c r="E13" s="183">
        <f>((E7*E9/E8)*E11)*E12</f>
        <v/>
      </c>
      <c r="F13" s="1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4" t="n"/>
    </row>
    <row r="14" ht="15.75" customHeight="1" s="102">
      <c r="A14" s="168" t="n"/>
      <c r="B14" s="169" t="inlineStr">
        <is>
          <t>Инженер I категории</t>
        </is>
      </c>
      <c r="C14" s="169" t="n"/>
      <c r="D14" s="169" t="n"/>
      <c r="E14" s="169" t="n"/>
      <c r="F14" s="170" t="n"/>
    </row>
    <row r="15" ht="110.25" customHeight="1" s="102">
      <c r="A15" s="105" t="inlineStr">
        <is>
          <t>1.1</t>
        </is>
      </c>
      <c r="B15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33" t="inlineStr">
        <is>
          <t>С1ср</t>
        </is>
      </c>
      <c r="D15" s="133" t="inlineStr">
        <is>
          <t>-</t>
        </is>
      </c>
      <c r="E15" s="108" t="n">
        <v>47872.94</v>
      </c>
      <c r="F15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04" t="n"/>
    </row>
    <row r="16" ht="31.5" customHeight="1" s="102">
      <c r="A16" s="105" t="inlineStr">
        <is>
          <t>1.2</t>
        </is>
      </c>
      <c r="B16" s="110" t="inlineStr">
        <is>
          <t>Среднегодовое нормативное число часов работы одного рабочего в месяц, часы (ч.)</t>
        </is>
      </c>
      <c r="C16" s="133" t="inlineStr">
        <is>
          <t>tср</t>
        </is>
      </c>
      <c r="D16" s="133" t="inlineStr">
        <is>
          <t>1973ч/12мес.</t>
        </is>
      </c>
      <c r="E16" s="109">
        <f>1973/12</f>
        <v/>
      </c>
      <c r="F16" s="110" t="inlineStr">
        <is>
          <t>Производственный календарь 2023 год
(40-часов.неделя)</t>
        </is>
      </c>
      <c r="G16" s="112" t="n"/>
    </row>
    <row r="17" ht="15.75" customHeight="1" s="102">
      <c r="A17" s="105" t="inlineStr">
        <is>
          <t>1.3</t>
        </is>
      </c>
      <c r="B17" s="110" t="inlineStr">
        <is>
          <t>Коэффициент увеличения</t>
        </is>
      </c>
      <c r="C17" s="133" t="inlineStr">
        <is>
          <t>Кув</t>
        </is>
      </c>
      <c r="D17" s="133" t="inlineStr">
        <is>
          <t>-</t>
        </is>
      </c>
      <c r="E17" s="109" t="n">
        <v>1</v>
      </c>
      <c r="F17" s="110" t="n"/>
      <c r="G17" s="112" t="n"/>
    </row>
    <row r="18" ht="15.75" customHeight="1" s="102">
      <c r="A18" s="105" t="inlineStr">
        <is>
          <t>1.4</t>
        </is>
      </c>
      <c r="B18" s="110" t="inlineStr">
        <is>
          <t>Средний разряд работ</t>
        </is>
      </c>
      <c r="C18" s="133" t="n"/>
      <c r="D18" s="133" t="n"/>
      <c r="E18" s="206" t="inlineStr">
        <is>
          <t>Инженер I категории</t>
        </is>
      </c>
      <c r="F18" s="110" t="inlineStr">
        <is>
          <t>РТМ</t>
        </is>
      </c>
      <c r="G18" s="112" t="n"/>
    </row>
    <row r="19" ht="78.75" customHeight="1" s="102">
      <c r="A19" s="117" t="inlineStr">
        <is>
          <t>1.5</t>
        </is>
      </c>
      <c r="B19" s="119" t="inlineStr">
        <is>
          <t>Тарифный коэффициент среднего разряда работ</t>
        </is>
      </c>
      <c r="C19" s="118" t="inlineStr">
        <is>
          <t>КТ</t>
        </is>
      </c>
      <c r="D19" s="118" t="inlineStr">
        <is>
          <t>-</t>
        </is>
      </c>
      <c r="E19" s="207" t="n">
        <v>2.15</v>
      </c>
      <c r="F19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04" t="n"/>
    </row>
    <row r="20" ht="78.75" customHeight="1" s="102">
      <c r="A20" s="105" t="inlineStr">
        <is>
          <t>1.6</t>
        </is>
      </c>
      <c r="B20" s="114" t="inlineStr">
        <is>
          <t>Коэффициент инфляции, определяемый поквартально</t>
        </is>
      </c>
      <c r="C20" s="133" t="inlineStr">
        <is>
          <t>Кинф</t>
        </is>
      </c>
      <c r="D20" s="133" t="inlineStr">
        <is>
          <t>-</t>
        </is>
      </c>
      <c r="E20" s="208" t="n">
        <v>1.139</v>
      </c>
      <c r="F20" s="1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12" t="n"/>
    </row>
    <row r="21" ht="63" customHeight="1" s="102">
      <c r="A21" s="105" t="inlineStr">
        <is>
          <t>1.7</t>
        </is>
      </c>
      <c r="B21" s="124" t="inlineStr">
        <is>
          <t>Размер средств на оплату труда рабочих-строителей в текущем уровне цен (ФОТр.тек.), руб/чел.-ч</t>
        </is>
      </c>
      <c r="C21" s="133" t="inlineStr">
        <is>
          <t>ФОТр.тек.</t>
        </is>
      </c>
      <c r="D21" s="133" t="inlineStr">
        <is>
          <t>(С1ср/tср*КТ*Т*Кув)*Кинф</t>
        </is>
      </c>
      <c r="E21" s="125">
        <f>((E15*E17/E16)*E19)*E20</f>
        <v/>
      </c>
      <c r="F21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04" t="n"/>
    </row>
    <row r="22" ht="15.75" customHeight="1" s="102">
      <c r="A22" s="120" t="n"/>
      <c r="B22" s="121" t="inlineStr">
        <is>
          <t>Инженер II категории</t>
        </is>
      </c>
      <c r="C22" s="121" t="n"/>
      <c r="D22" s="121" t="n"/>
      <c r="E22" s="121" t="n"/>
      <c r="F22" s="122" t="n"/>
    </row>
    <row r="23" ht="110.25" customHeight="1" s="102">
      <c r="A23" s="105" t="inlineStr">
        <is>
          <t>1.1</t>
        </is>
      </c>
      <c r="B23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33" t="inlineStr">
        <is>
          <t>С1ср</t>
        </is>
      </c>
      <c r="D23" s="133" t="inlineStr">
        <is>
          <t>-</t>
        </is>
      </c>
      <c r="E23" s="108" t="n">
        <v>47872.94</v>
      </c>
      <c r="F23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04" t="n"/>
    </row>
    <row r="24" ht="31.5" customHeight="1" s="102">
      <c r="A24" s="105" t="inlineStr">
        <is>
          <t>1.2</t>
        </is>
      </c>
      <c r="B24" s="110" t="inlineStr">
        <is>
          <t>Среднегодовое нормативное число часов работы одного рабочего в месяц, часы (ч.)</t>
        </is>
      </c>
      <c r="C24" s="133" t="inlineStr">
        <is>
          <t>tср</t>
        </is>
      </c>
      <c r="D24" s="133" t="inlineStr">
        <is>
          <t>1973ч/12мес.</t>
        </is>
      </c>
      <c r="E24" s="109">
        <f>1973/12</f>
        <v/>
      </c>
      <c r="F24" s="110" t="inlineStr">
        <is>
          <t>Производственный календарь 2023 год
(40-часов.неделя)</t>
        </is>
      </c>
      <c r="G24" s="112" t="n"/>
    </row>
    <row r="25" ht="15.75" customHeight="1" s="102">
      <c r="A25" s="105" t="inlineStr">
        <is>
          <t>1.3</t>
        </is>
      </c>
      <c r="B25" s="110" t="inlineStr">
        <is>
          <t>Коэффициент увеличения</t>
        </is>
      </c>
      <c r="C25" s="133" t="inlineStr">
        <is>
          <t>Кув</t>
        </is>
      </c>
      <c r="D25" s="133" t="inlineStr">
        <is>
          <t>-</t>
        </is>
      </c>
      <c r="E25" s="109" t="n">
        <v>1</v>
      </c>
      <c r="F25" s="110" t="n"/>
      <c r="G25" s="112" t="n"/>
    </row>
    <row r="26" ht="15.75" customHeight="1" s="102">
      <c r="A26" s="105" t="inlineStr">
        <is>
          <t>1.4</t>
        </is>
      </c>
      <c r="B26" s="110" t="inlineStr">
        <is>
          <t>Средний разряд работ</t>
        </is>
      </c>
      <c r="C26" s="133" t="n"/>
      <c r="D26" s="133" t="n"/>
      <c r="E26" s="206" t="inlineStr">
        <is>
          <t>Инженер II категории</t>
        </is>
      </c>
      <c r="F26" s="110" t="inlineStr">
        <is>
          <t>РТМ</t>
        </is>
      </c>
      <c r="G26" s="112" t="n"/>
    </row>
    <row r="27" ht="78.75" customHeight="1" s="102">
      <c r="A27" s="117" t="inlineStr">
        <is>
          <t>1.5</t>
        </is>
      </c>
      <c r="B27" s="119" t="inlineStr">
        <is>
          <t>Тарифный коэффициент среднего разряда работ</t>
        </is>
      </c>
      <c r="C27" s="118" t="inlineStr">
        <is>
          <t>КТ</t>
        </is>
      </c>
      <c r="D27" s="118" t="inlineStr">
        <is>
          <t>-</t>
        </is>
      </c>
      <c r="E27" s="207" t="n">
        <v>1.96</v>
      </c>
      <c r="F27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04" t="n"/>
    </row>
    <row r="28" ht="78.75" customHeight="1" s="102">
      <c r="A28" s="105" t="inlineStr">
        <is>
          <t>1.6</t>
        </is>
      </c>
      <c r="B28" s="114" t="inlineStr">
        <is>
          <t>Коэффициент инфляции, определяемый поквартально</t>
        </is>
      </c>
      <c r="C28" s="133" t="inlineStr">
        <is>
          <t>Кинф</t>
        </is>
      </c>
      <c r="D28" s="133" t="inlineStr">
        <is>
          <t>-</t>
        </is>
      </c>
      <c r="E28" s="208" t="n">
        <v>1.139</v>
      </c>
      <c r="F28" s="1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12" t="n"/>
    </row>
    <row r="29" ht="63" customHeight="1" s="102">
      <c r="A29" s="105" t="inlineStr">
        <is>
          <t>1.7</t>
        </is>
      </c>
      <c r="B29" s="124" t="inlineStr">
        <is>
          <t>Размер средств на оплату труда рабочих-строителей в текущем уровне цен (ФОТр.тек.), руб/чел.-ч</t>
        </is>
      </c>
      <c r="C29" s="133" t="inlineStr">
        <is>
          <t>ФОТр.тек.</t>
        </is>
      </c>
      <c r="D29" s="133" t="inlineStr">
        <is>
          <t>(С1ср/tср*КТ*Т*Кув)*Кинф</t>
        </is>
      </c>
      <c r="E29" s="125">
        <f>((E23*E25/E24)*E27)*E28</f>
        <v/>
      </c>
      <c r="F29" s="1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0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2025-01-24T12:01:56Z</dcterms:modified>
  <cp:lastModifiedBy>Nikolay Ivanov</cp:lastModifiedBy>
  <cp:lastPrinted>2023-11-30T13:48:03Z</cp:lastPrinted>
</cp:coreProperties>
</file>