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ОБ'!$A$1:$J$91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0.00000"/>
    <numFmt numFmtId="167" formatCode="#,##0.0000"/>
    <numFmt numFmtId="168" formatCode="0.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0" fontId="2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9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60" zoomScaleNormal="70" workbookViewId="0">
      <selection activeCell="A24" sqref="A24:XFD24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51.42578125" customWidth="1" style="304" min="4" max="4"/>
    <col width="37.42578125" customWidth="1" style="304" min="5" max="5"/>
    <col width="9.140625" customWidth="1" style="304" min="6" max="6"/>
  </cols>
  <sheetData>
    <row r="3">
      <c r="B3" s="332" t="inlineStr">
        <is>
          <t>Приложение № 1</t>
        </is>
      </c>
    </row>
    <row r="4">
      <c r="B4" s="333" t="inlineStr">
        <is>
          <t>Сравнительная таблица отбора объекта-представителя</t>
        </is>
      </c>
    </row>
    <row r="5" ht="84" customHeight="1" s="302">
      <c r="B5" s="3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06" t="n"/>
      <c r="C6" s="206" t="n"/>
      <c r="D6" s="206" t="n"/>
    </row>
    <row r="7" ht="64.5" customHeight="1" s="302">
      <c r="B7" s="334" t="inlineStr">
        <is>
          <t>Наименование разрабатываемого показателя УНЦ — ПАК информационной безопасности для защиты более 250 интеллектуальных устройств</t>
        </is>
      </c>
    </row>
    <row r="8" ht="31.5" customHeight="1" s="302">
      <c r="B8" s="334" t="inlineStr">
        <is>
          <t>Сопоставимый уровень цен: 4 кв 2022 г</t>
        </is>
      </c>
    </row>
    <row r="9" ht="15.75" customHeight="1" s="302">
      <c r="B9" s="334" t="inlineStr">
        <is>
          <t>Единица измерения  — 1 система</t>
        </is>
      </c>
    </row>
    <row r="10">
      <c r="B10" s="334" t="n"/>
    </row>
    <row r="11">
      <c r="B11" s="337" t="inlineStr">
        <is>
          <t>№ п/п</t>
        </is>
      </c>
      <c r="C11" s="337" t="inlineStr">
        <is>
          <t>Параметр</t>
        </is>
      </c>
      <c r="D11" s="337" t="inlineStr">
        <is>
          <t>Объект-представитель</t>
        </is>
      </c>
      <c r="E11" s="182" t="n"/>
    </row>
    <row r="12" ht="96.75" customHeight="1" s="302">
      <c r="B12" s="337" t="n">
        <v>1</v>
      </c>
      <c r="C12" s="316" t="inlineStr">
        <is>
          <t>Наименование объекта-представителя</t>
        </is>
      </c>
      <c r="D12" s="288" t="inlineStr">
        <is>
          <t>Строительство ПС 500 кВ Нижнеангарская</t>
        </is>
      </c>
    </row>
    <row r="13">
      <c r="B13" s="337" t="n">
        <v>2</v>
      </c>
      <c r="C13" s="316" t="inlineStr">
        <is>
          <t>Наименование субъекта Российской Федерации</t>
        </is>
      </c>
      <c r="D13" s="288" t="inlineStr">
        <is>
          <t>Республика Бурятия</t>
        </is>
      </c>
    </row>
    <row r="14">
      <c r="B14" s="337" t="n">
        <v>3</v>
      </c>
      <c r="C14" s="316" t="inlineStr">
        <is>
          <t>Климатический район и подрайон</t>
        </is>
      </c>
      <c r="D14" s="288" t="inlineStr">
        <is>
          <t>IД</t>
        </is>
      </c>
    </row>
    <row r="15">
      <c r="B15" s="337" t="n">
        <v>4</v>
      </c>
      <c r="C15" s="316" t="inlineStr">
        <is>
          <t>Мощность объекта</t>
        </is>
      </c>
      <c r="D15" s="288" t="n">
        <v>1</v>
      </c>
    </row>
    <row r="16" ht="116.25" customHeight="1" s="302">
      <c r="B16" s="33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8" t="inlineStr">
        <is>
          <t>Комплекс межсетевого экранирования и обнаружения вторжений
Комплекс антивирусной защиты 
Комплекс контроля целостности конфигураций данных и защиты от НСД
Комплекс резервного копирования и восстановления информации
Комплекс управления информационной безопасностью
Оборудование, материалы</t>
        </is>
      </c>
    </row>
    <row r="17" ht="79.5" customHeight="1" s="302">
      <c r="B17" s="33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1">
        <f>SUM(D18:D21)</f>
        <v/>
      </c>
      <c r="E17" s="204" t="n"/>
    </row>
    <row r="18">
      <c r="B18" s="181" t="inlineStr">
        <is>
          <t>6.1</t>
        </is>
      </c>
      <c r="C18" s="316" t="inlineStr">
        <is>
          <t>строительно-монтажные работы</t>
        </is>
      </c>
      <c r="D18" s="191" t="n">
        <v>608.68774</v>
      </c>
    </row>
    <row r="19" ht="15.75" customHeight="1" s="302">
      <c r="B19" s="181" t="inlineStr">
        <is>
          <t>6.2</t>
        </is>
      </c>
      <c r="C19" s="316" t="inlineStr">
        <is>
          <t>оборудование и инвентарь</t>
        </is>
      </c>
      <c r="D19" s="191" t="n">
        <v>58462.69851</v>
      </c>
    </row>
    <row r="20" ht="16.5" customHeight="1" s="302">
      <c r="B20" s="181" t="inlineStr">
        <is>
          <t>6.3</t>
        </is>
      </c>
      <c r="C20" s="316" t="inlineStr">
        <is>
          <t>пусконаладочные работы</t>
        </is>
      </c>
      <c r="D20" s="191" t="n">
        <v>0</v>
      </c>
    </row>
    <row r="21" ht="35.25" customHeight="1" s="302">
      <c r="B21" s="181" t="inlineStr">
        <is>
          <t>6.4</t>
        </is>
      </c>
      <c r="C21" s="180" t="inlineStr">
        <is>
          <t>прочие и лимитированные затраты</t>
        </is>
      </c>
      <c r="D21" s="191">
        <f>D18*3.9%*0.8+(D18+D18*3.9%*0.8)*3.2%</f>
        <v/>
      </c>
    </row>
    <row r="22">
      <c r="B22" s="337" t="n">
        <v>7</v>
      </c>
      <c r="C22" s="180" t="inlineStr">
        <is>
          <t>Сопоставимый уровень цен</t>
        </is>
      </c>
      <c r="D22" s="224" t="inlineStr">
        <is>
          <t>4 кв 2022 г</t>
        </is>
      </c>
      <c r="E22" s="178" t="n"/>
    </row>
    <row r="23" ht="123" customHeight="1" s="302">
      <c r="B23" s="337" t="n">
        <v>8</v>
      </c>
      <c r="C23" s="1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  <c r="E23" s="204" t="n"/>
    </row>
    <row r="24" ht="31.5" customHeight="1" s="302">
      <c r="B24" s="33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191">
        <f>D23/D15</f>
        <v/>
      </c>
      <c r="E24" s="178" t="n"/>
    </row>
    <row r="25">
      <c r="B25" s="337" t="n">
        <v>10</v>
      </c>
      <c r="C25" s="316" t="inlineStr">
        <is>
          <t>Примечание</t>
        </is>
      </c>
      <c r="D25" s="337" t="n"/>
    </row>
    <row r="26">
      <c r="B26" s="176" t="n"/>
      <c r="C26" s="175" t="n"/>
      <c r="D26" s="175" t="n"/>
    </row>
    <row r="27">
      <c r="B27" s="226" t="n"/>
    </row>
    <row r="28">
      <c r="B28" s="304" t="inlineStr">
        <is>
          <t>Составил ______________________    Е. М. Добровольская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18" customWidth="1" style="304" min="11" max="11"/>
    <col width="9.140625" customWidth="1" style="304" min="12" max="12"/>
  </cols>
  <sheetData>
    <row r="3">
      <c r="B3" s="332" t="inlineStr">
        <is>
          <t>Приложение № 2</t>
        </is>
      </c>
      <c r="K3" s="226" t="n"/>
    </row>
    <row r="4">
      <c r="B4" s="333" t="inlineStr">
        <is>
          <t>Расчет стоимости основных видов работ для выбора объекта-представителя</t>
        </is>
      </c>
    </row>
    <row r="5">
      <c r="B5" s="183" t="n"/>
      <c r="C5" s="183" t="n"/>
      <c r="D5" s="183" t="n"/>
      <c r="E5" s="183" t="n"/>
      <c r="F5" s="183" t="n"/>
      <c r="G5" s="183" t="n"/>
      <c r="H5" s="183" t="n"/>
      <c r="I5" s="183" t="n"/>
      <c r="J5" s="183" t="n"/>
      <c r="K5" s="183" t="n"/>
    </row>
    <row r="6" ht="42" customHeight="1" s="302">
      <c r="B6" s="338" t="inlineStr">
        <is>
          <t>Наименование разрабатываемого показателя УНЦ — ПАК информационной безопасности для защиты более 250 интеллектуальных устройств</t>
        </is>
      </c>
      <c r="K6" s="226" t="n"/>
    </row>
    <row r="7" ht="15.75" customHeight="1" s="302">
      <c r="B7" s="339" t="inlineStr">
        <is>
          <t>Единица измерения  — 1 система</t>
        </is>
      </c>
      <c r="K7" s="226" t="n"/>
    </row>
    <row r="8" ht="18.75" customHeight="1" s="302">
      <c r="B8" s="207" t="n"/>
    </row>
    <row r="9" ht="15.75" customHeight="1" s="302">
      <c r="B9" s="337" t="inlineStr">
        <is>
          <t>№ п/п</t>
        </is>
      </c>
      <c r="C9" s="3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7" t="inlineStr">
        <is>
          <t>Объект-представитель 1</t>
        </is>
      </c>
      <c r="E9" s="423" t="n"/>
      <c r="F9" s="423" t="n"/>
      <c r="G9" s="423" t="n"/>
      <c r="H9" s="423" t="n"/>
      <c r="I9" s="423" t="n"/>
      <c r="J9" s="424" t="n"/>
    </row>
    <row r="10" ht="15.75" customHeight="1" s="302">
      <c r="B10" s="425" t="n"/>
      <c r="C10" s="425" t="n"/>
      <c r="D10" s="337" t="inlineStr">
        <is>
          <t>Номер сметы</t>
        </is>
      </c>
      <c r="E10" s="337" t="inlineStr">
        <is>
          <t>Наименование сметы</t>
        </is>
      </c>
      <c r="F10" s="337" t="inlineStr">
        <is>
          <t>Сметная стоимость в уровне цен 4 кв. 2022г., тыс. руб.</t>
        </is>
      </c>
      <c r="G10" s="423" t="n"/>
      <c r="H10" s="423" t="n"/>
      <c r="I10" s="423" t="n"/>
      <c r="J10" s="424" t="n"/>
    </row>
    <row r="11" ht="92.25" customHeight="1" s="302">
      <c r="B11" s="426" t="n"/>
      <c r="C11" s="426" t="n"/>
      <c r="D11" s="426" t="n"/>
      <c r="E11" s="426" t="n"/>
      <c r="F11" s="337" t="inlineStr">
        <is>
          <t>Строительные работы</t>
        </is>
      </c>
      <c r="G11" s="337" t="inlineStr">
        <is>
          <t>Монтажные работы</t>
        </is>
      </c>
      <c r="H11" s="337" t="inlineStr">
        <is>
          <t>Оборудование</t>
        </is>
      </c>
      <c r="I11" s="337" t="inlineStr">
        <is>
          <t>Прочее</t>
        </is>
      </c>
      <c r="J11" s="337" t="inlineStr">
        <is>
          <t>Всего</t>
        </is>
      </c>
    </row>
    <row r="12" ht="214.5" customHeight="1" s="302">
      <c r="B12" s="284" t="n">
        <v>1</v>
      </c>
      <c r="C12" s="337" t="inlineStr">
        <is>
          <t>Комплекс межсетевого экранирования и обнаружения вторжений
Комплекс антивирусной защиты 
Комплекс контроля целостности конфигураций данных и защиты от НСД
Комплекс резервного копирования и восстановления информации
Комплекс управления информационной безопасностью
Оборудование, материалы</t>
        </is>
      </c>
      <c r="D12" s="181" t="inlineStr">
        <is>
          <t>3.05-01-11</t>
        </is>
      </c>
      <c r="E12" s="337" t="inlineStr">
        <is>
          <t>Технологические решения. Обеспечение информационной безопасности</t>
        </is>
      </c>
      <c r="F12" s="285" t="n"/>
      <c r="G12" s="285" t="n">
        <v>608.68774</v>
      </c>
      <c r="H12" s="285" t="n">
        <v>58462.69851</v>
      </c>
      <c r="I12" s="286" t="n"/>
      <c r="J12" s="287">
        <f>SUM(F12:I12)</f>
        <v/>
      </c>
    </row>
    <row r="13" ht="15.75" customHeight="1" s="302">
      <c r="B13" s="336" t="inlineStr">
        <is>
          <t>Всего по объекту:</t>
        </is>
      </c>
      <c r="C13" s="423" t="n"/>
      <c r="D13" s="423" t="n"/>
      <c r="E13" s="424" t="n"/>
      <c r="F13" s="209" t="n"/>
      <c r="G13" s="323">
        <f>G12</f>
        <v/>
      </c>
      <c r="H13" s="323">
        <f>H12</f>
        <v/>
      </c>
      <c r="I13" s="324" t="n"/>
      <c r="J13" s="287">
        <f>SUM(F13:I13)</f>
        <v/>
      </c>
    </row>
    <row r="14">
      <c r="B14" s="336" t="inlineStr">
        <is>
          <t>Всего по объекту в сопоставимом уровне цен 4 кв. 2022г:</t>
        </is>
      </c>
      <c r="C14" s="423" t="n"/>
      <c r="D14" s="423" t="n"/>
      <c r="E14" s="424" t="n"/>
      <c r="F14" s="209" t="n"/>
      <c r="G14" s="323">
        <f>G13</f>
        <v/>
      </c>
      <c r="H14" s="323">
        <f>H13</f>
        <v/>
      </c>
      <c r="I14" s="324" t="n"/>
      <c r="J14" s="287">
        <f>SUM(F14:I14)</f>
        <v/>
      </c>
    </row>
    <row r="15" ht="15" customHeight="1" s="302"/>
    <row r="16" ht="15" customHeight="1" s="302"/>
    <row r="17" ht="15" customHeight="1" s="302"/>
    <row r="18" ht="15" customHeight="1" s="302">
      <c r="C18" s="294" t="inlineStr">
        <is>
          <t>Составил ______________________     Е. М. Добровольская</t>
        </is>
      </c>
      <c r="D18" s="292" t="n"/>
      <c r="E18" s="292" t="n"/>
    </row>
    <row r="19" ht="15" customHeight="1" s="302">
      <c r="C19" s="293" t="inlineStr">
        <is>
          <t xml:space="preserve">                         (подпись, инициалы, фамилия)</t>
        </is>
      </c>
      <c r="D19" s="292" t="n"/>
      <c r="E19" s="292" t="n"/>
    </row>
    <row r="20" ht="15" customHeight="1" s="302">
      <c r="C20" s="294" t="n"/>
      <c r="D20" s="292" t="n"/>
      <c r="E20" s="292" t="n"/>
    </row>
    <row r="21" ht="15" customHeight="1" s="302">
      <c r="C21" s="294" t="inlineStr">
        <is>
          <t>Проверил ______________________        А.В. Костянецкая</t>
        </is>
      </c>
      <c r="D21" s="292" t="n"/>
      <c r="E21" s="292" t="n"/>
    </row>
    <row r="22" ht="15" customHeight="1" s="302">
      <c r="C22" s="293" t="inlineStr">
        <is>
          <t xml:space="preserve">                        (подпись, инициалы, фамилия)</t>
        </is>
      </c>
      <c r="D22" s="292" t="n"/>
      <c r="E22" s="292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78"/>
  <sheetViews>
    <sheetView view="pageBreakPreview" topLeftCell="A55" zoomScale="55" workbookViewId="0">
      <selection activeCell="C72" sqref="C72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71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9.140625" customWidth="1" style="304" min="9" max="9"/>
  </cols>
  <sheetData>
    <row r="2">
      <c r="A2" s="332" t="inlineStr">
        <is>
          <t xml:space="preserve">Приложение № 3 </t>
        </is>
      </c>
    </row>
    <row r="3">
      <c r="A3" s="333" t="inlineStr">
        <is>
          <t>Объектная ресурсная ведомость</t>
        </is>
      </c>
    </row>
    <row r="4" ht="18.75" customHeight="1" s="302">
      <c r="A4" s="223" t="n"/>
      <c r="B4" s="223" t="n"/>
      <c r="C4" s="3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4" t="n"/>
    </row>
    <row r="6">
      <c r="A6" s="338" t="inlineStr">
        <is>
          <t>Наименование разрабатываемого показателя УНЦ — ПАК информационной безопасности для защиты более 250 интеллектуальных устройств</t>
        </is>
      </c>
    </row>
    <row r="7">
      <c r="A7" s="339" t="n"/>
      <c r="B7" s="339" t="n"/>
      <c r="C7" s="339" t="n"/>
      <c r="D7" s="339" t="n"/>
      <c r="E7" s="339" t="n"/>
      <c r="F7" s="339" t="n"/>
      <c r="G7" s="339" t="n"/>
      <c r="H7" s="339" t="n"/>
    </row>
    <row r="8">
      <c r="A8" s="337" t="inlineStr">
        <is>
          <t>п/п</t>
        </is>
      </c>
      <c r="B8" s="337" t="inlineStr">
        <is>
          <t>№ЛСР</t>
        </is>
      </c>
      <c r="C8" s="337" t="inlineStr">
        <is>
          <t>Код ресурса</t>
        </is>
      </c>
      <c r="D8" s="337" t="inlineStr">
        <is>
          <t>Наименование ресурса</t>
        </is>
      </c>
      <c r="E8" s="337" t="inlineStr">
        <is>
          <t>Ед. изм.</t>
        </is>
      </c>
      <c r="F8" s="337" t="inlineStr">
        <is>
          <t>Кол-во единиц по данным объекта-представителя</t>
        </is>
      </c>
      <c r="G8" s="337" t="inlineStr">
        <is>
          <t>Сметная стоимость в ценах на 01.01.2000 (руб.)</t>
        </is>
      </c>
      <c r="H8" s="424" t="n"/>
    </row>
    <row r="9">
      <c r="A9" s="426" t="n"/>
      <c r="B9" s="426" t="n"/>
      <c r="C9" s="426" t="n"/>
      <c r="D9" s="426" t="n"/>
      <c r="E9" s="426" t="n"/>
      <c r="F9" s="426" t="n"/>
      <c r="G9" s="337" t="inlineStr">
        <is>
          <t>на ед.изм.</t>
        </is>
      </c>
      <c r="H9" s="337" t="inlineStr">
        <is>
          <t>общая</t>
        </is>
      </c>
    </row>
    <row r="10">
      <c r="A10" s="190" t="n">
        <v>1</v>
      </c>
      <c r="B10" s="190" t="n"/>
      <c r="C10" s="190" t="n">
        <v>2</v>
      </c>
      <c r="D10" s="190" t="inlineStr">
        <is>
          <t>З</t>
        </is>
      </c>
      <c r="E10" s="190" t="n">
        <v>4</v>
      </c>
      <c r="F10" s="190" t="n">
        <v>5</v>
      </c>
      <c r="G10" s="190" t="n">
        <v>6</v>
      </c>
      <c r="H10" s="190" t="n">
        <v>7</v>
      </c>
    </row>
    <row r="11" customFormat="1" s="301">
      <c r="A11" s="341" t="inlineStr">
        <is>
          <t>Затраты труда рабочих</t>
        </is>
      </c>
      <c r="B11" s="423" t="n"/>
      <c r="C11" s="423" t="n"/>
      <c r="D11" s="423" t="n"/>
      <c r="E11" s="424" t="n"/>
      <c r="F11" s="427" t="n">
        <v>517.36</v>
      </c>
      <c r="G11" s="217" t="n"/>
      <c r="H11" s="427">
        <f>SUM(H12:H19)</f>
        <v/>
      </c>
    </row>
    <row r="12">
      <c r="A12" s="230" t="n">
        <v>1</v>
      </c>
      <c r="B12" s="189" t="n"/>
      <c r="C12" s="230" t="inlineStr">
        <is>
          <t>1-4-0</t>
        </is>
      </c>
      <c r="D12" s="227" t="inlineStr">
        <is>
          <t>Затраты труда рабочих (ср 4)</t>
        </is>
      </c>
      <c r="E12" s="376" t="inlineStr">
        <is>
          <t>чел.-ч</t>
        </is>
      </c>
      <c r="F12" s="428" t="n">
        <v>334.56</v>
      </c>
      <c r="G12" s="215" t="n">
        <v>9.619999999999999</v>
      </c>
      <c r="H12" s="215">
        <f>ROUND(F12*G12,2)</f>
        <v/>
      </c>
    </row>
    <row r="13">
      <c r="A13" s="376" t="n">
        <v>2</v>
      </c>
      <c r="B13" s="189" t="n"/>
      <c r="C13" s="230" t="inlineStr">
        <is>
          <t>1-5-0</t>
        </is>
      </c>
      <c r="D13" s="227" t="inlineStr">
        <is>
          <t>Затраты труда рабочих (ср 5)</t>
        </is>
      </c>
      <c r="E13" s="376" t="inlineStr">
        <is>
          <t>чел.-ч</t>
        </is>
      </c>
      <c r="F13" s="428" t="n">
        <v>122</v>
      </c>
      <c r="G13" s="215" t="n">
        <v>11.09</v>
      </c>
      <c r="H13" s="215">
        <f>ROUND(F13*G13,2)</f>
        <v/>
      </c>
    </row>
    <row r="14">
      <c r="A14" s="230" t="n">
        <v>3</v>
      </c>
      <c r="B14" s="189" t="n"/>
      <c r="C14" s="230" t="inlineStr">
        <is>
          <t>1-3-8</t>
        </is>
      </c>
      <c r="D14" s="227" t="inlineStr">
        <is>
          <t>Затраты труда рабочих (ср 3,8)</t>
        </is>
      </c>
      <c r="E14" s="376" t="inlineStr">
        <is>
          <t>чел.-ч</t>
        </is>
      </c>
      <c r="F14" s="428" t="n">
        <v>45.32</v>
      </c>
      <c r="G14" s="215" t="n">
        <v>9.4</v>
      </c>
      <c r="H14" s="215">
        <f>ROUND(F14*G14,2)</f>
        <v/>
      </c>
    </row>
    <row r="15">
      <c r="A15" s="376" t="n">
        <v>4</v>
      </c>
      <c r="B15" s="189" t="n"/>
      <c r="C15" s="230" t="inlineStr">
        <is>
          <t>1-3-6</t>
        </is>
      </c>
      <c r="D15" s="227" t="inlineStr">
        <is>
          <t>Затраты труда рабочих (ср 3,6)</t>
        </is>
      </c>
      <c r="E15" s="376" t="inlineStr">
        <is>
          <t>чел.-ч</t>
        </is>
      </c>
      <c r="F15" s="428" t="n">
        <v>7.6</v>
      </c>
      <c r="G15" s="215" t="n">
        <v>9.18</v>
      </c>
      <c r="H15" s="215">
        <f>ROUND(F15*G15,2)</f>
        <v/>
      </c>
    </row>
    <row r="16">
      <c r="A16" s="230" t="n">
        <v>5</v>
      </c>
      <c r="B16" s="189" t="n"/>
      <c r="C16" s="230" t="inlineStr">
        <is>
          <t>1-4-2</t>
        </is>
      </c>
      <c r="D16" s="227" t="inlineStr">
        <is>
          <t>Затраты труда рабочих (ср 4,2)</t>
        </is>
      </c>
      <c r="E16" s="376" t="inlineStr">
        <is>
          <t>чел.-ч</t>
        </is>
      </c>
      <c r="F16" s="428" t="n">
        <v>3.78</v>
      </c>
      <c r="G16" s="215" t="n">
        <v>9.92</v>
      </c>
      <c r="H16" s="215">
        <f>ROUND(F16*G16,2)</f>
        <v/>
      </c>
    </row>
    <row r="17">
      <c r="A17" s="376" t="n">
        <v>6</v>
      </c>
      <c r="B17" s="189" t="n"/>
      <c r="C17" s="230" t="inlineStr">
        <is>
          <t>1-4-4</t>
        </is>
      </c>
      <c r="D17" s="227" t="inlineStr">
        <is>
          <t>Затраты труда рабочих (ср 4,4)</t>
        </is>
      </c>
      <c r="E17" s="376" t="inlineStr">
        <is>
          <t>чел.-ч</t>
        </is>
      </c>
      <c r="F17" s="428" t="n">
        <v>3.6</v>
      </c>
      <c r="G17" s="215" t="n">
        <v>10.21</v>
      </c>
      <c r="H17" s="215">
        <f>ROUND(F17*G17,2)</f>
        <v/>
      </c>
    </row>
    <row r="18">
      <c r="A18" s="230" t="n">
        <v>7</v>
      </c>
      <c r="B18" s="189" t="n"/>
      <c r="C18" s="230" t="inlineStr">
        <is>
          <t>1-4-1</t>
        </is>
      </c>
      <c r="D18" s="227" t="inlineStr">
        <is>
          <t>Затраты труда рабочих (ср 4,1)</t>
        </is>
      </c>
      <c r="E18" s="376" t="inlineStr">
        <is>
          <t>чел.-ч</t>
        </is>
      </c>
      <c r="F18" s="428" t="n">
        <v>0.44</v>
      </c>
      <c r="G18" s="215" t="n">
        <v>9.76</v>
      </c>
      <c r="H18" s="215">
        <f>ROUND(F18*G18,2)</f>
        <v/>
      </c>
    </row>
    <row r="19">
      <c r="A19" s="376" t="n">
        <v>8</v>
      </c>
      <c r="B19" s="189" t="n"/>
      <c r="C19" s="230" t="inlineStr">
        <is>
          <t>1-3-5</t>
        </is>
      </c>
      <c r="D19" s="227" t="inlineStr">
        <is>
          <t>Затраты труда рабочих (ср 3,5)</t>
        </is>
      </c>
      <c r="E19" s="376" t="inlineStr">
        <is>
          <t>чел.-ч</t>
        </is>
      </c>
      <c r="F19" s="428" t="n">
        <v>0.06</v>
      </c>
      <c r="G19" s="215" t="n">
        <v>9.07</v>
      </c>
      <c r="H19" s="215">
        <f>ROUND(F19*G19,2)</f>
        <v/>
      </c>
    </row>
    <row r="20">
      <c r="A20" s="340" t="inlineStr">
        <is>
          <t>Затраты труда машинистов</t>
        </is>
      </c>
      <c r="B20" s="423" t="n"/>
      <c r="C20" s="423" t="n"/>
      <c r="D20" s="423" t="n"/>
      <c r="E20" s="424" t="n"/>
      <c r="F20" s="341" t="n"/>
      <c r="G20" s="187" t="n"/>
      <c r="H20" s="427">
        <f>H21</f>
        <v/>
      </c>
    </row>
    <row r="21">
      <c r="A21" s="376" t="n">
        <v>9</v>
      </c>
      <c r="B21" s="342" t="n"/>
      <c r="C21" s="230" t="n">
        <v>2</v>
      </c>
      <c r="D21" s="227" t="inlineStr">
        <is>
          <t>Затраты труда машинистов</t>
        </is>
      </c>
      <c r="E21" s="376" t="inlineStr">
        <is>
          <t>чел.-ч</t>
        </is>
      </c>
      <c r="F21" s="429" t="n">
        <v>13.7</v>
      </c>
      <c r="G21" s="215" t="n">
        <v>0</v>
      </c>
      <c r="H21" s="430" t="n">
        <v>140.21</v>
      </c>
    </row>
    <row r="22" customFormat="1" s="301">
      <c r="A22" s="341" t="inlineStr">
        <is>
          <t>Машины и механизмы</t>
        </is>
      </c>
      <c r="B22" s="423" t="n"/>
      <c r="C22" s="423" t="n"/>
      <c r="D22" s="423" t="n"/>
      <c r="E22" s="424" t="n"/>
      <c r="F22" s="341" t="n"/>
      <c r="G22" s="187" t="n"/>
      <c r="H22" s="427">
        <f>SUM(H23:H31)</f>
        <v/>
      </c>
    </row>
    <row r="23">
      <c r="A23" s="376" t="n">
        <v>10</v>
      </c>
      <c r="B23" s="342" t="n"/>
      <c r="C23" s="230" t="inlineStr">
        <is>
          <t>91.06.05-011</t>
        </is>
      </c>
      <c r="D23" s="227" t="inlineStr">
        <is>
          <t>Погрузчики, грузоподъемность 5 т</t>
        </is>
      </c>
      <c r="E23" s="376" t="inlineStr">
        <is>
          <t>маш.час</t>
        </is>
      </c>
      <c r="F23" s="230" t="n">
        <v>12.2</v>
      </c>
      <c r="G23" s="233" t="n">
        <v>89.98999999999999</v>
      </c>
      <c r="H23" s="215">
        <f>ROUND(F23*G23,2)</f>
        <v/>
      </c>
    </row>
    <row r="24">
      <c r="A24" s="376" t="n">
        <v>11</v>
      </c>
      <c r="B24" s="342" t="n"/>
      <c r="C24" s="230" t="inlineStr">
        <is>
          <t>91.05.05-015</t>
        </is>
      </c>
      <c r="D24" s="227" t="inlineStr">
        <is>
          <t>Краны на автомобильном ходу, грузоподъемность 16 т</t>
        </is>
      </c>
      <c r="E24" s="376" t="inlineStr">
        <is>
          <t>маш.час</t>
        </is>
      </c>
      <c r="F24" s="230" t="n">
        <v>0.5</v>
      </c>
      <c r="G24" s="233" t="n">
        <v>115.4</v>
      </c>
      <c r="H24" s="215">
        <f>ROUND(F24*G24,2)</f>
        <v/>
      </c>
    </row>
    <row r="25" ht="25.5" customHeight="1" s="302">
      <c r="A25" s="376" t="n">
        <v>12</v>
      </c>
      <c r="B25" s="342" t="n"/>
      <c r="C25" s="230" t="inlineStr">
        <is>
          <t>91.18.01-007</t>
        </is>
      </c>
      <c r="D25" s="2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376" t="inlineStr">
        <is>
          <t>маш.час</t>
        </is>
      </c>
      <c r="F25" s="230" t="n">
        <v>0.46</v>
      </c>
      <c r="G25" s="233" t="n">
        <v>90</v>
      </c>
      <c r="H25" s="215">
        <f>ROUND(F25*G25,2)</f>
        <v/>
      </c>
    </row>
    <row r="26">
      <c r="A26" s="376" t="n">
        <v>13</v>
      </c>
      <c r="B26" s="342" t="n"/>
      <c r="C26" s="230" t="inlineStr">
        <is>
          <t>91.14.02-001</t>
        </is>
      </c>
      <c r="D26" s="227" t="inlineStr">
        <is>
          <t>Автомобили бортовые, грузоподъемность до 5 т</t>
        </is>
      </c>
      <c r="E26" s="376" t="inlineStr">
        <is>
          <t>маш.час</t>
        </is>
      </c>
      <c r="F26" s="230" t="n">
        <v>0.5</v>
      </c>
      <c r="G26" s="233" t="n">
        <v>65.70999999999999</v>
      </c>
      <c r="H26" s="215">
        <f>ROUND(F26*G26,2)</f>
        <v/>
      </c>
    </row>
    <row r="27">
      <c r="A27" s="376" t="n">
        <v>14</v>
      </c>
      <c r="B27" s="342" t="n"/>
      <c r="C27" s="230" t="inlineStr">
        <is>
          <t>91.17.04-233</t>
        </is>
      </c>
      <c r="D27" s="227" t="inlineStr">
        <is>
          <t>Установки для сварки ручной дуговой (постоянного тока)</t>
        </is>
      </c>
      <c r="E27" s="376" t="inlineStr">
        <is>
          <t>маш.час</t>
        </is>
      </c>
      <c r="F27" s="230" t="n">
        <v>1.52</v>
      </c>
      <c r="G27" s="233" t="n">
        <v>8.1</v>
      </c>
      <c r="H27" s="215">
        <f>ROUND(F27*G27,2)</f>
        <v/>
      </c>
    </row>
    <row r="28">
      <c r="A28" s="376" t="n">
        <v>15</v>
      </c>
      <c r="B28" s="342" t="n"/>
      <c r="C28" s="230" t="inlineStr">
        <is>
          <t>91.06.03-061</t>
        </is>
      </c>
      <c r="D28" s="227" t="inlineStr">
        <is>
          <t>Лебедки электрические тяговым усилием до 12,26 кН (1,25 т)</t>
        </is>
      </c>
      <c r="E28" s="376" t="inlineStr">
        <is>
          <t>маш.час</t>
        </is>
      </c>
      <c r="F28" s="230" t="n">
        <v>1.67</v>
      </c>
      <c r="G28" s="233" t="n">
        <v>3.28</v>
      </c>
      <c r="H28" s="215">
        <f>ROUND(F28*G28,2)</f>
        <v/>
      </c>
    </row>
    <row r="29">
      <c r="A29" s="376" t="n">
        <v>16</v>
      </c>
      <c r="B29" s="342" t="n"/>
      <c r="C29" s="230" t="inlineStr">
        <is>
          <t>91.06.01-003</t>
        </is>
      </c>
      <c r="D29" s="227" t="inlineStr">
        <is>
          <t>Домкраты гидравлические, грузоподъемность 63-100 т</t>
        </is>
      </c>
      <c r="E29" s="376" t="inlineStr">
        <is>
          <t>маш.час</t>
        </is>
      </c>
      <c r="F29" s="230" t="n">
        <v>1.67</v>
      </c>
      <c r="G29" s="233" t="n">
        <v>0.9</v>
      </c>
      <c r="H29" s="215">
        <f>ROUND(F29*G29,2)</f>
        <v/>
      </c>
    </row>
    <row r="30" ht="25.5" customHeight="1" s="302">
      <c r="A30" s="376" t="n">
        <v>17</v>
      </c>
      <c r="B30" s="342" t="n"/>
      <c r="C30" s="230" t="inlineStr">
        <is>
          <t>91.04.01-041</t>
        </is>
      </c>
      <c r="D30" s="227" t="inlineStr">
        <is>
          <t>Молотки бурильные легкие при работе от передвижных компрессорных станций</t>
        </is>
      </c>
      <c r="E30" s="376" t="inlineStr">
        <is>
          <t>маш.час</t>
        </is>
      </c>
      <c r="F30" s="230" t="n">
        <v>0.46</v>
      </c>
      <c r="G30" s="233" t="n">
        <v>2.99</v>
      </c>
      <c r="H30" s="215">
        <f>ROUND(F30*G30,2)</f>
        <v/>
      </c>
    </row>
    <row r="31">
      <c r="A31" s="376" t="n">
        <v>18</v>
      </c>
      <c r="B31" s="342" t="n"/>
      <c r="C31" s="230" t="inlineStr">
        <is>
          <t>91.06.06-042</t>
        </is>
      </c>
      <c r="D31" s="227" t="inlineStr">
        <is>
          <t>Подъемники гидравлические, высота подъема 10 м</t>
        </is>
      </c>
      <c r="E31" s="376" t="inlineStr">
        <is>
          <t>маш.час</t>
        </is>
      </c>
      <c r="F31" s="230" t="n">
        <v>0.03</v>
      </c>
      <c r="G31" s="233" t="n">
        <v>29.6</v>
      </c>
      <c r="H31" s="215">
        <f>ROUND(F31*G31,2)</f>
        <v/>
      </c>
    </row>
    <row r="32">
      <c r="A32" s="341" t="inlineStr">
        <is>
          <t>Оборудование</t>
        </is>
      </c>
      <c r="B32" s="423" t="n"/>
      <c r="C32" s="423" t="n"/>
      <c r="D32" s="423" t="n"/>
      <c r="E32" s="424" t="n"/>
      <c r="F32" s="341" t="n"/>
      <c r="G32" s="187" t="n"/>
      <c r="H32" s="427">
        <f>SUM(H33:H33)</f>
        <v/>
      </c>
    </row>
    <row r="33" ht="409.5" customHeight="1" s="302">
      <c r="A33" s="376" t="n">
        <v>19</v>
      </c>
      <c r="B33" s="342" t="n"/>
      <c r="C33" s="230" t="inlineStr">
        <is>
          <t>Прайс из СД ОП</t>
        </is>
      </c>
      <c r="D33" s="227" t="inlineStr">
        <is>
          <t>Шкаф ИБ в составе: Комплект проводов для заземления универсальный
 = 1компл; Шина нулевая на EIK Din-изоляции ШНИ 6х9-8 = 1шт; CPAP-SG3104-SSD-SOC-RUS-LP SSD-based 3100 FW, VPN, ADNC, IA, IPS, local mgmt
с=2шт; CPCES-CO- COPREMIUM-ADD Premium Collaborative Enterprise Support 1 Year=2шт; CPMP-SG(3100)-R77.30-CERT4209-BASE    CPMP-SG(3100)-R77.30-CERT4209-BASE Базовый пакет сертификации Программно-аппаратный комплекс Шлюз безопасности -Check Point Security Gateway версии R77.30.Типы А и Д. Класс устройств XS Исполнение 3100
=2шт; C9200-24T-RE.    C9200 24-port data only, Network Essentials Russia ONLY=2шт; C9200-DNA-E-24-3Y.  C9200 Cisco DNA Essentials, 24-Port, 3 Year Term License=2шт; C9200-STACK KIT Cisco Catalyst 9200 Stack Module
=2шт; KL4941RAEFS Kaspersky Industrial CyberSecurity for Nodes,Workstation, Enterprise Russian Edition. 5-9 Node 1 year Base License=8шт; KL4943 RAEFS Kaspersky Industrial CyberSecurity for Nodes, Server, Enterprise Russian Edition. 5-9 Node 1  Base License
=6шт; SNS-8.x-NSD-NS SP1Y Право на использование модуля защиты от НСД и контроля устройств Средства защиты информации Secret Net Studio 8=10шт; SNS-DISC.  Установочный комплект. Secret Net Studio 8=1шт; V-VBRVUL-0I PP000-00 Veeam Backup &amp; Replication Universal Perpetual License. Includes Enterprise Plus Edition features. 1 year of Production (24/7) Support is included.=1шт; P28948-B21 HPE ProLiant DL360 Gen10 Plus 8SFF NC Configure to-order Server
=1шт; P36925-B21 Intel Xeon-Gold 5320 2.2GHz 26-core 185W Processor for HPE=1шт; P06033-B21 HPE 32GB (1x32GB) Dual Rank x4 DDR4-3200 CAS-22-22-22 Registered Smart Memory Kit
с=2шт; P26427-B21 HPE ProLiant DL360 Gen10 Plus 8SFF SAS/SATA 12G BC Backplane Kit
с = 1шт; P40503-B21 HPE 960GB SATA 6G Mixed Use SFF BC Multi Vendor SSD = 2шт; P28352-B21 HPE 2.4TB SAS 12G Mission Critical 10K SFF BC 3-year Warranty 512e Multi Vendor HDD = 2шт; P01366-B21 HPE 96W Smart Storage Lithium-ion Battery with 145mm Cable Kit
с=1шт;</t>
        </is>
      </c>
      <c r="E33" s="376" t="inlineStr">
        <is>
          <t>комплект</t>
        </is>
      </c>
      <c r="F33" s="376" t="n">
        <v>1</v>
      </c>
      <c r="G33" s="215" t="n">
        <v>9444700.890000001</v>
      </c>
      <c r="H33" s="215">
        <f>ROUND(F33*G33,2)</f>
        <v/>
      </c>
    </row>
    <row r="34" ht="393" customHeight="1" s="302">
      <c r="A34" s="376" t="n"/>
      <c r="B34" s="342" t="n"/>
      <c r="C34" s="230" t="n"/>
      <c r="D34" s="227" t="inlineStr">
        <is>
          <t xml:space="preserve"> 804331-B21 HPE Smart Array P408i-a SR Gen10 (8 Internal Lanes/2GB Cache) 12G SAS Modular Controller
=1шт; P08449-B21 Intel I350-T4 Ethernet 1Gb 4-port BASE-T OCP3 Adapter for HPE=1шт; P26477-B21 HPE ProLiant DL36X Gen10 Plus High Performance Fan Kit
с=1шт; 865408-B21 HPE 500W Flex Slot Platinum Hot Plug Low Halogen Power Supply Kit
с=2шт; BD505A HPE iLO Advanced 1-server License with 3yr Support on iLO Licensed Features
с=1шт; P26479-B21 HPE ProLiant DL360 Gen10 Plus High Performance Heat Sink Kit
с=1шт; P26485-B21 HPE ProLiant DL300 Gen10 Plus 1U SFF Easy Install Rail Kit
с=1шт; HU4B2A3 ZSA HPE Proliant DL360 Gen10+ Support
с=1шт; P11060-B21 Microsoft Windows Server 2019 (16-Core) Standard FIO Not Pre-installed English SW = 4шт; арт. 1022816 SMC3000R2I-RS     APC Smart-UPS C 3000VA LCD RM 2U 230V Russia
с=2шт; ШТК-С-42.6.10-44 АА0. Шкаф серверный напольный 42U (600 х 1000) дверь перфорированная 2 шт
с=1шт; КП-АВ. 19" панель с DIN-рейкой PS-3U  КП-АВ = 1шт; ПЗ-19-500.200А. Панель заземления горизонтальная/вертикальная 19" 500мм/200А=1шт; КМ-2-50. Комплект монтажный №2 (винт, шайба, гайка с защелкой), упаковка 50шт=1шт; R-16-8S-V-440-1.8. Блок розеток Rem-16 с выкл.,., 8 Schuko, 16A, алюм. 19", шнур 1.8м=2шт; ГКО-4.62. Горизонтальный кабельный органайзер 19"1U, 4 кольца=1шт; СВ-75. Полка перфорированная , глубина 750мм
=2шт; mdse-47-pro. Розетка для евровилки с заземлением PDE-47 230В EKF PROxima
=2шт; Автоматический выключатель ABB SH202L 2P (С) 4,5kA 40 А 2CDS242001R0404
=2шт; Автоматический выключатель ABB SH202L (2CDS242001R0324) 2P 32А тип C 4,5 кА 400 В на DIN-рейку., карандандиум   2CDS242001R0324=2шт; NM-UTP5E4PR-CU     Кабель NewMax UTP CCA, 4 пары, Кат.5e, PVC, серый, 305 метров=305м; Коннекторы 8P8C UTP Cat.5e (RJ-45) (100шт)=1шт</t>
        </is>
      </c>
      <c r="E34" s="376" t="n"/>
      <c r="F34" s="376" t="n"/>
      <c r="G34" s="215" t="n"/>
      <c r="H34" s="215" t="n"/>
    </row>
    <row r="35">
      <c r="A35" s="341" t="inlineStr">
        <is>
          <t>Материалы</t>
        </is>
      </c>
      <c r="B35" s="423" t="n"/>
      <c r="C35" s="423" t="n"/>
      <c r="D35" s="423" t="n"/>
      <c r="E35" s="424" t="n"/>
      <c r="F35" s="341" t="n"/>
      <c r="G35" s="187" t="n"/>
      <c r="H35" s="427">
        <f>SUM(H36:H71)</f>
        <v/>
      </c>
    </row>
    <row r="36" ht="25.5" customHeight="1" s="302">
      <c r="A36" s="222" t="n">
        <v>20</v>
      </c>
      <c r="B36" s="342" t="n"/>
      <c r="C36" s="230" t="inlineStr">
        <is>
          <t>Прайс из СД ОП</t>
        </is>
      </c>
      <c r="D36" s="227" t="inlineStr">
        <is>
          <t>10m (33ft) LC UPC - LC UPC оптический патч-корд Duplex OM4 MM PVC (OFNR) 2.0mm</t>
        </is>
      </c>
      <c r="E36" s="376" t="inlineStr">
        <is>
          <t>шт</t>
        </is>
      </c>
      <c r="F36" s="230" t="n">
        <v>32</v>
      </c>
      <c r="G36" s="215" t="n">
        <v>4820.25</v>
      </c>
      <c r="H36" s="215">
        <f>ROUND(F36*G36,2)</f>
        <v/>
      </c>
    </row>
    <row r="37" ht="25.5" customHeight="1" s="302">
      <c r="A37" s="222" t="n">
        <v>21</v>
      </c>
      <c r="B37" s="342" t="n"/>
      <c r="C37" s="230" t="inlineStr">
        <is>
          <t>20.1.02.07-0001</t>
        </is>
      </c>
      <c r="D37" s="227" t="inlineStr">
        <is>
          <t>Наконечник изолированный алюминиевый с медной клеммой (СИП): CPTAU 16</t>
        </is>
      </c>
      <c r="E37" s="376" t="inlineStr">
        <is>
          <t>шт</t>
        </is>
      </c>
      <c r="F37" s="376" t="n">
        <v>0.78</v>
      </c>
      <c r="G37" s="215" t="n">
        <v>6836</v>
      </c>
      <c r="H37" s="215">
        <f>ROUND(F37*G37,2)</f>
        <v/>
      </c>
    </row>
    <row r="38">
      <c r="A38" s="222" t="n">
        <v>22</v>
      </c>
      <c r="B38" s="342" t="n"/>
      <c r="C38" s="230" t="inlineStr">
        <is>
          <t>21.1.06.03-0023</t>
        </is>
      </c>
      <c r="D38" s="227" t="inlineStr">
        <is>
          <t>Кабель малогабаритный КМПВЭВнг(А)-LS 2x2,5-1000</t>
        </is>
      </c>
      <c r="E38" s="376" t="inlineStr">
        <is>
          <t>1000 м</t>
        </is>
      </c>
      <c r="F38" s="376" t="n">
        <v>0.051</v>
      </c>
      <c r="G38" s="215" t="n">
        <v>50117.45</v>
      </c>
      <c r="H38" s="215">
        <f>ROUND(F38*G38,2)</f>
        <v/>
      </c>
    </row>
    <row r="39">
      <c r="A39" s="222" t="n">
        <v>23</v>
      </c>
      <c r="B39" s="342" t="n"/>
      <c r="C39" s="230" t="inlineStr">
        <is>
          <t>21.2.03.05-0068</t>
        </is>
      </c>
      <c r="D39" s="227" t="inlineStr">
        <is>
          <t>Провод силовой установочный с медными жилами ПуГВ 1х4-450</t>
        </is>
      </c>
      <c r="E39" s="376" t="inlineStr">
        <is>
          <t>1000 м</t>
        </is>
      </c>
      <c r="F39" s="230" t="n">
        <v>0.08160000000000001</v>
      </c>
      <c r="G39" s="215" t="n">
        <v>3368.45</v>
      </c>
      <c r="H39" s="215">
        <f>ROUND(F39*G39,2)</f>
        <v/>
      </c>
    </row>
    <row r="40" ht="25.5" customHeight="1" s="302">
      <c r="A40" s="222" t="n">
        <v>24</v>
      </c>
      <c r="B40" s="342" t="n"/>
      <c r="C40" s="230" t="inlineStr">
        <is>
          <t>24.3.01.02-0014</t>
        </is>
      </c>
      <c r="D40" s="227" t="inlineStr">
        <is>
          <t>Трубы гибкие гофрированные легкие из самозатухающего ПВХ (IP55) серии FL, диаметром: 32 мм</t>
        </is>
      </c>
      <c r="E40" s="376" t="inlineStr">
        <is>
          <t>10 м</t>
        </is>
      </c>
      <c r="F40" s="230" t="n">
        <v>5</v>
      </c>
      <c r="G40" s="215" t="n">
        <v>53.03</v>
      </c>
      <c r="H40" s="215">
        <f>ROUND(F40*G40,2)</f>
        <v/>
      </c>
    </row>
    <row r="41">
      <c r="A41" s="222" t="n">
        <v>25</v>
      </c>
      <c r="B41" s="342" t="n"/>
      <c r="C41" s="230" t="inlineStr">
        <is>
          <t>01.7.15.07-0014</t>
        </is>
      </c>
      <c r="D41" s="227" t="inlineStr">
        <is>
          <t>Дюбели распорные полипропиленовые</t>
        </is>
      </c>
      <c r="E41" s="376" t="inlineStr">
        <is>
          <t>100 шт</t>
        </is>
      </c>
      <c r="F41" s="230" t="n">
        <v>1.6925</v>
      </c>
      <c r="G41" s="215" t="n">
        <v>86</v>
      </c>
      <c r="H41" s="215">
        <f>ROUND(F41*G41,2)</f>
        <v/>
      </c>
    </row>
    <row r="42">
      <c r="A42" s="222" t="n">
        <v>26</v>
      </c>
      <c r="B42" s="342" t="n"/>
      <c r="C42" s="230" t="inlineStr">
        <is>
          <t>07.2.07.04-0007</t>
        </is>
      </c>
      <c r="D42" s="227" t="inlineStr">
        <is>
          <t>Конструкции стальные индивидуальные решетчатые сварные, масса до 0,1 т</t>
        </is>
      </c>
      <c r="E42" s="376" t="inlineStr">
        <is>
          <t>т</t>
        </is>
      </c>
      <c r="F42" s="230" t="n">
        <v>0.012</v>
      </c>
      <c r="G42" s="215" t="n">
        <v>11500</v>
      </c>
      <c r="H42" s="215">
        <f>ROUND(F42*G42,2)</f>
        <v/>
      </c>
    </row>
    <row r="43" ht="25.5" customHeight="1" s="302">
      <c r="A43" s="222" t="n">
        <v>27</v>
      </c>
      <c r="B43" s="342" t="n"/>
      <c r="C43" s="230" t="inlineStr">
        <is>
          <t>14.4.02.04-0221</t>
        </is>
      </c>
      <c r="D43" s="227" t="inlineStr">
        <is>
          <t>Краска масляная готовая к применению для наружных и внутренних работ МА-15, белила цинковые</t>
        </is>
      </c>
      <c r="E43" s="376" t="inlineStr">
        <is>
          <t>т</t>
        </is>
      </c>
      <c r="F43" s="230" t="n">
        <v>0.00427</v>
      </c>
      <c r="G43" s="215" t="n">
        <v>26932.42</v>
      </c>
      <c r="H43" s="215">
        <f>ROUND(F43*G43,2)</f>
        <v/>
      </c>
    </row>
    <row r="44">
      <c r="A44" s="222" t="n">
        <v>28</v>
      </c>
      <c r="B44" s="342" t="n"/>
      <c r="C44" s="230" t="inlineStr">
        <is>
          <t>999-9950</t>
        </is>
      </c>
      <c r="D44" s="227" t="inlineStr">
        <is>
          <t>Вспомогательные ненормируемые ресурсы (2% от Оплаты труда рабочих)</t>
        </is>
      </c>
      <c r="E44" s="376" t="inlineStr">
        <is>
          <t>руб</t>
        </is>
      </c>
      <c r="F44" s="230" t="n">
        <v>102.70135</v>
      </c>
      <c r="G44" s="215" t="n">
        <v>1</v>
      </c>
      <c r="H44" s="215">
        <f>ROUND(F44*G44,2)</f>
        <v/>
      </c>
    </row>
    <row r="45">
      <c r="A45" s="222" t="n">
        <v>29</v>
      </c>
      <c r="B45" s="342" t="n"/>
      <c r="C45" s="230" t="inlineStr">
        <is>
          <t>01.7.15.14-0168</t>
        </is>
      </c>
      <c r="D45" s="227" t="inlineStr">
        <is>
          <t>Шурупы с полукруглой головкой 5х70 мм</t>
        </is>
      </c>
      <c r="E45" s="376" t="inlineStr">
        <is>
          <t>т</t>
        </is>
      </c>
      <c r="F45" s="230" t="n">
        <v>0.0061</v>
      </c>
      <c r="G45" s="215" t="n">
        <v>12430</v>
      </c>
      <c r="H45" s="215">
        <f>ROUND(F45*G45,2)</f>
        <v/>
      </c>
    </row>
    <row r="46">
      <c r="A46" s="222" t="n">
        <v>30</v>
      </c>
      <c r="B46" s="342" t="n"/>
      <c r="C46" s="230" t="inlineStr">
        <is>
          <t>20.1.02.18-0002</t>
        </is>
      </c>
      <c r="D46" s="227" t="inlineStr">
        <is>
          <t>Стяжка нейлоновая PER15 длиной 300 мм под винт</t>
        </is>
      </c>
      <c r="E46" s="376" t="inlineStr">
        <is>
          <t>100 шт</t>
        </is>
      </c>
      <c r="F46" s="230" t="n">
        <v>1</v>
      </c>
      <c r="G46" s="215" t="n">
        <v>61.6</v>
      </c>
      <c r="H46" s="215">
        <f>ROUND(F46*G46,2)</f>
        <v/>
      </c>
    </row>
    <row r="47">
      <c r="A47" s="222" t="n">
        <v>31</v>
      </c>
      <c r="B47" s="342" t="n"/>
      <c r="C47" s="230" t="inlineStr">
        <is>
          <t>03.1.01.01-0002</t>
        </is>
      </c>
      <c r="D47" s="227" t="inlineStr">
        <is>
          <t>Гипс строительный Г-3</t>
        </is>
      </c>
      <c r="E47" s="376" t="inlineStr">
        <is>
          <t>т</t>
        </is>
      </c>
      <c r="F47" s="230" t="n">
        <v>0.030646</v>
      </c>
      <c r="G47" s="215" t="n">
        <v>729.98</v>
      </c>
      <c r="H47" s="215">
        <f>ROUND(F47*G47,2)</f>
        <v/>
      </c>
    </row>
    <row r="48" ht="25.5" customHeight="1" s="302">
      <c r="A48" s="222" t="n">
        <v>32</v>
      </c>
      <c r="B48" s="342" t="n"/>
      <c r="C48" s="230" t="inlineStr">
        <is>
          <t>01.7.06.05-0041</t>
        </is>
      </c>
      <c r="D48" s="227" t="inlineStr">
        <is>
          <t>Лента изоляционная прорезиненная односторонняя, ширина 20 мм, толщина 0,25-0,35 мм</t>
        </is>
      </c>
      <c r="E48" s="376" t="inlineStr">
        <is>
          <t>кг</t>
        </is>
      </c>
      <c r="F48" s="230" t="n">
        <v>0.6488</v>
      </c>
      <c r="G48" s="215" t="n">
        <v>30.4</v>
      </c>
      <c r="H48" s="215">
        <f>ROUND(F48*G48,2)</f>
        <v/>
      </c>
    </row>
    <row r="49">
      <c r="A49" s="222" t="n">
        <v>33</v>
      </c>
      <c r="B49" s="342" t="n"/>
      <c r="C49" s="230" t="inlineStr">
        <is>
          <t>01.7.15.03-0042</t>
        </is>
      </c>
      <c r="D49" s="227" t="inlineStr">
        <is>
          <t>Болты с гайками и шайбами строительные</t>
        </is>
      </c>
      <c r="E49" s="376" t="inlineStr">
        <is>
          <t>кг</t>
        </is>
      </c>
      <c r="F49" s="230" t="n">
        <v>1.99875</v>
      </c>
      <c r="G49" s="215" t="n">
        <v>9.039999999999999</v>
      </c>
      <c r="H49" s="215">
        <f>ROUND(F49*G49,2)</f>
        <v/>
      </c>
    </row>
    <row r="50">
      <c r="A50" s="222" t="n">
        <v>34</v>
      </c>
      <c r="B50" s="342" t="n"/>
      <c r="C50" s="230" t="inlineStr">
        <is>
          <t>20.1.02.23-0082</t>
        </is>
      </c>
      <c r="D50" s="227" t="inlineStr">
        <is>
          <t>Перемычки гибкие, тип ПГС-50</t>
        </is>
      </c>
      <c r="E50" s="376" t="inlineStr">
        <is>
          <t>10 шт</t>
        </is>
      </c>
      <c r="F50" s="230" t="n">
        <v>0.4</v>
      </c>
      <c r="G50" s="215" t="n">
        <v>39</v>
      </c>
      <c r="H50" s="215">
        <f>ROUND(F50*G50,2)</f>
        <v/>
      </c>
    </row>
    <row r="51">
      <c r="A51" s="222" t="n">
        <v>35</v>
      </c>
      <c r="B51" s="342" t="n"/>
      <c r="C51" s="230" t="inlineStr">
        <is>
          <t>14.4.02.09-0001</t>
        </is>
      </c>
      <c r="D51" s="227" t="inlineStr">
        <is>
          <t>Краска</t>
        </is>
      </c>
      <c r="E51" s="376" t="inlineStr">
        <is>
          <t>кг</t>
        </is>
      </c>
      <c r="F51" s="230" t="n">
        <v>0.4065</v>
      </c>
      <c r="G51" s="215" t="n">
        <v>28.6</v>
      </c>
      <c r="H51" s="215">
        <f>ROUND(F51*G51,2)</f>
        <v/>
      </c>
    </row>
    <row r="52">
      <c r="A52" s="222" t="n">
        <v>36</v>
      </c>
      <c r="B52" s="342" t="n"/>
      <c r="C52" s="230" t="inlineStr">
        <is>
          <t>01.7.06.07-0002</t>
        </is>
      </c>
      <c r="D52" s="227" t="inlineStr">
        <is>
          <t>Лента монтажная, тип ЛМ-5</t>
        </is>
      </c>
      <c r="E52" s="376" t="inlineStr">
        <is>
          <t>10 м</t>
        </is>
      </c>
      <c r="F52" s="230" t="n">
        <v>1.6475</v>
      </c>
      <c r="G52" s="215" t="n">
        <v>6.9</v>
      </c>
      <c r="H52" s="215">
        <f>ROUND(F52*G52,2)</f>
        <v/>
      </c>
    </row>
    <row r="53">
      <c r="A53" s="222" t="n">
        <v>37</v>
      </c>
      <c r="B53" s="342" t="n"/>
      <c r="C53" s="230" t="inlineStr">
        <is>
          <t>23.8.03.02-0003</t>
        </is>
      </c>
      <c r="D53" s="227" t="inlineStr">
        <is>
          <t>Клипса для крепежа гофротрубы, номинальный диаметр 32 мм</t>
        </is>
      </c>
      <c r="E53" s="376" t="inlineStr">
        <is>
          <t>10 шт</t>
        </is>
      </c>
      <c r="F53" s="230" t="n">
        <v>2</v>
      </c>
      <c r="G53" s="215" t="n">
        <v>4.3</v>
      </c>
      <c r="H53" s="215">
        <f>ROUND(F53*G53,2)</f>
        <v/>
      </c>
    </row>
    <row r="54">
      <c r="A54" s="222" t="n">
        <v>38</v>
      </c>
      <c r="B54" s="342" t="n"/>
      <c r="C54" s="230" t="inlineStr">
        <is>
          <t>10.3.02.03-0011</t>
        </is>
      </c>
      <c r="D54" s="227" t="inlineStr">
        <is>
          <t>Припои оловянно-свинцовые бессурьмянистые, марка ПОС30</t>
        </is>
      </c>
      <c r="E54" s="376" t="inlineStr">
        <is>
          <t>т</t>
        </is>
      </c>
      <c r="F54" s="230" t="n">
        <v>0.000125</v>
      </c>
      <c r="G54" s="215" t="n">
        <v>68050</v>
      </c>
      <c r="H54" s="215">
        <f>ROUND(F54*G54,2)</f>
        <v/>
      </c>
    </row>
    <row r="55">
      <c r="A55" s="222" t="n">
        <v>39</v>
      </c>
      <c r="B55" s="342" t="n"/>
      <c r="C55" s="230" t="inlineStr">
        <is>
          <t>01.7.15.07-0152</t>
        </is>
      </c>
      <c r="D55" s="227" t="inlineStr">
        <is>
          <t>Дюбели с шурупом, размер 6х35 мм</t>
        </is>
      </c>
      <c r="E55" s="376" t="inlineStr">
        <is>
          <t>100 шт</t>
        </is>
      </c>
      <c r="F55" s="230" t="n">
        <v>0.875</v>
      </c>
      <c r="G55" s="215" t="n">
        <v>8</v>
      </c>
      <c r="H55" s="215">
        <f>ROUND(F55*G55,2)</f>
        <v/>
      </c>
    </row>
    <row r="56">
      <c r="A56" s="222" t="n">
        <v>40</v>
      </c>
      <c r="B56" s="342" t="n"/>
      <c r="C56" s="230" t="inlineStr">
        <is>
          <t>01.7.11.07-0034</t>
        </is>
      </c>
      <c r="D56" s="227" t="inlineStr">
        <is>
          <t>Электроды сварочные Э42А, диаметр 4 мм</t>
        </is>
      </c>
      <c r="E56" s="376" t="inlineStr">
        <is>
          <t>кг</t>
        </is>
      </c>
      <c r="F56" s="230" t="n">
        <v>0.5621</v>
      </c>
      <c r="G56" s="215" t="n">
        <v>10.57</v>
      </c>
      <c r="H56" s="215">
        <f>ROUND(F56*G56,2)</f>
        <v/>
      </c>
    </row>
    <row r="57">
      <c r="A57" s="222" t="n">
        <v>41</v>
      </c>
      <c r="B57" s="342" t="n"/>
      <c r="C57" s="230" t="inlineStr">
        <is>
          <t>20.1.02.14-0001</t>
        </is>
      </c>
      <c r="D57" s="227" t="inlineStr">
        <is>
          <t>Серьга</t>
        </is>
      </c>
      <c r="E57" s="376" t="inlineStr">
        <is>
          <t>шт</t>
        </is>
      </c>
      <c r="F57" s="230" t="n">
        <v>0.45</v>
      </c>
      <c r="G57" s="215" t="n">
        <v>10.54</v>
      </c>
      <c r="H57" s="215">
        <f>ROUND(F57*G57,2)</f>
        <v/>
      </c>
    </row>
    <row r="58">
      <c r="A58" s="222" t="n">
        <v>42</v>
      </c>
      <c r="B58" s="342" t="n"/>
      <c r="C58" s="230" t="inlineStr">
        <is>
          <t>01.7.15.14-0165</t>
        </is>
      </c>
      <c r="D58" s="227" t="inlineStr">
        <is>
          <t>Шурупы с полукруглой головкой 4х40 мм</t>
        </is>
      </c>
      <c r="E58" s="376" t="inlineStr">
        <is>
          <t>т</t>
        </is>
      </c>
      <c r="F58" s="230" t="n">
        <v>0.00031</v>
      </c>
      <c r="G58" s="215" t="n">
        <v>12430</v>
      </c>
      <c r="H58" s="215">
        <f>ROUND(F58*G58,2)</f>
        <v/>
      </c>
    </row>
    <row r="59" ht="25.5" customHeight="1" s="302">
      <c r="A59" s="222" t="n">
        <v>43</v>
      </c>
      <c r="B59" s="342" t="n"/>
      <c r="C59" s="230" t="inlineStr">
        <is>
          <t>01.7.15.14-0043</t>
        </is>
      </c>
      <c r="D59" s="227" t="inlineStr">
        <is>
          <t>Шурупы самонарезающий прокалывающий, для крепления металлических профилей или листовых деталей 3,5/11 мм</t>
        </is>
      </c>
      <c r="E59" s="376" t="inlineStr">
        <is>
          <t>100 шт</t>
        </is>
      </c>
      <c r="F59" s="230" t="n">
        <v>1.632</v>
      </c>
      <c r="G59" s="215" t="n">
        <v>2</v>
      </c>
      <c r="H59" s="215">
        <f>ROUND(F59*G59,2)</f>
        <v/>
      </c>
    </row>
    <row r="60">
      <c r="A60" s="222" t="n">
        <v>44</v>
      </c>
      <c r="B60" s="342" t="n"/>
      <c r="C60" s="230" t="inlineStr">
        <is>
          <t>14.4.03.03-0002</t>
        </is>
      </c>
      <c r="D60" s="227" t="inlineStr">
        <is>
          <t>Лак битумный БТ-123</t>
        </is>
      </c>
      <c r="E60" s="376" t="inlineStr">
        <is>
          <t>т</t>
        </is>
      </c>
      <c r="F60" s="230" t="n">
        <v>0.00036</v>
      </c>
      <c r="G60" s="215" t="n">
        <v>7826.9</v>
      </c>
      <c r="H60" s="215">
        <f>ROUND(F60*G60,2)</f>
        <v/>
      </c>
    </row>
    <row r="61">
      <c r="A61" s="222" t="n">
        <v>45</v>
      </c>
      <c r="B61" s="342" t="n"/>
      <c r="C61" s="230" t="inlineStr">
        <is>
          <t>01.7.15.07-0012</t>
        </is>
      </c>
      <c r="D61" s="227" t="inlineStr">
        <is>
          <t>Дюбели пластмассовые с шурупами, размер 12х70 мм</t>
        </is>
      </c>
      <c r="E61" s="376" t="inlineStr">
        <is>
          <t>100 шт</t>
        </is>
      </c>
      <c r="F61" s="230" t="n">
        <v>0.03</v>
      </c>
      <c r="G61" s="215" t="n">
        <v>83</v>
      </c>
      <c r="H61" s="215">
        <f>ROUND(F61*G61,2)</f>
        <v/>
      </c>
    </row>
    <row r="62">
      <c r="A62" s="222" t="n">
        <v>46</v>
      </c>
      <c r="B62" s="342" t="n"/>
      <c r="C62" s="230" t="inlineStr">
        <is>
          <t>14.4.03.17-0011</t>
        </is>
      </c>
      <c r="D62" s="227" t="inlineStr">
        <is>
          <t>Лак электроизоляционный 318</t>
        </is>
      </c>
      <c r="E62" s="376" t="inlineStr">
        <is>
          <t>кг</t>
        </is>
      </c>
      <c r="F62" s="230" t="n">
        <v>0.056</v>
      </c>
      <c r="G62" s="215" t="n">
        <v>35.63</v>
      </c>
      <c r="H62" s="215">
        <f>ROUND(F62*G62,2)</f>
        <v/>
      </c>
    </row>
    <row r="63">
      <c r="A63" s="222" t="n">
        <v>47</v>
      </c>
      <c r="B63" s="342" t="n"/>
      <c r="C63" s="230" t="inlineStr">
        <is>
          <t>01.3.01.02-0002</t>
        </is>
      </c>
      <c r="D63" s="227" t="inlineStr">
        <is>
          <t>Вазелин технический</t>
        </is>
      </c>
      <c r="E63" s="376" t="inlineStr">
        <is>
          <t>кг</t>
        </is>
      </c>
      <c r="F63" s="230" t="n">
        <v>0.036</v>
      </c>
      <c r="G63" s="215" t="n">
        <v>44.97</v>
      </c>
      <c r="H63" s="215">
        <f>ROUND(F63*G63,2)</f>
        <v/>
      </c>
    </row>
    <row r="64" ht="25.5" customHeight="1" s="302">
      <c r="A64" s="222" t="n">
        <v>48</v>
      </c>
      <c r="B64" s="342" t="n"/>
      <c r="C64" s="230" t="inlineStr">
        <is>
          <t>08.3.07.01-0076</t>
        </is>
      </c>
      <c r="D64" s="227" t="inlineStr">
        <is>
          <t>Прокат полосовой, горячекатаный, марка стали Ст3сп, ширина 50-200 мм, толщина 4-5 мм</t>
        </is>
      </c>
      <c r="E64" s="376" t="inlineStr">
        <is>
          <t>т</t>
        </is>
      </c>
      <c r="F64" s="230" t="n">
        <v>0.0003</v>
      </c>
      <c r="G64" s="215" t="n">
        <v>5000</v>
      </c>
      <c r="H64" s="215">
        <f>ROUND(F64*G64,2)</f>
        <v/>
      </c>
    </row>
    <row r="65">
      <c r="A65" s="222" t="n">
        <v>49</v>
      </c>
      <c r="B65" s="342" t="n"/>
      <c r="C65" s="230" t="inlineStr">
        <is>
          <t>10.3.02.03-0012</t>
        </is>
      </c>
      <c r="D65" s="227" t="inlineStr">
        <is>
          <t>Припои оловянно-свинцовые бессурьмянистые, марка ПОС40</t>
        </is>
      </c>
      <c r="E65" s="376" t="inlineStr">
        <is>
          <t>т</t>
        </is>
      </c>
      <c r="F65" s="230" t="n">
        <v>2e-05</v>
      </c>
      <c r="G65" s="215" t="n">
        <v>65750</v>
      </c>
      <c r="H65" s="215">
        <f>ROUND(F65*G65,2)</f>
        <v/>
      </c>
    </row>
    <row r="66">
      <c r="A66" s="222" t="n">
        <v>50</v>
      </c>
      <c r="B66" s="342" t="n"/>
      <c r="C66" s="230" t="inlineStr">
        <is>
          <t>20.2.02.01-0019</t>
        </is>
      </c>
      <c r="D66" s="227" t="inlineStr">
        <is>
          <t>Втулки изолирующие</t>
        </is>
      </c>
      <c r="E66" s="376" t="inlineStr">
        <is>
          <t>1000 шт</t>
        </is>
      </c>
      <c r="F66" s="230" t="n">
        <v>0.00408</v>
      </c>
      <c r="G66" s="215" t="n">
        <v>270</v>
      </c>
      <c r="H66" s="215">
        <f>ROUND(F66*G66,2)</f>
        <v/>
      </c>
    </row>
    <row r="67">
      <c r="A67" s="222" t="n">
        <v>51</v>
      </c>
      <c r="B67" s="342" t="n"/>
      <c r="C67" s="230" t="inlineStr">
        <is>
          <t>01.7.20.04-0005</t>
        </is>
      </c>
      <c r="D67" s="227" t="inlineStr">
        <is>
          <t>Нитки швейные</t>
        </is>
      </c>
      <c r="E67" s="376" t="inlineStr">
        <is>
          <t>кг</t>
        </is>
      </c>
      <c r="F67" s="230" t="n">
        <v>0.008</v>
      </c>
      <c r="G67" s="215" t="n">
        <v>133.05</v>
      </c>
      <c r="H67" s="215">
        <f>ROUND(F67*G67,2)</f>
        <v/>
      </c>
    </row>
    <row r="68">
      <c r="A68" s="222" t="n">
        <v>52</v>
      </c>
      <c r="B68" s="342" t="n"/>
      <c r="C68" s="230" t="inlineStr">
        <is>
          <t>20.2.09.13-0011</t>
        </is>
      </c>
      <c r="D68" s="227" t="inlineStr">
        <is>
          <t>Муфты</t>
        </is>
      </c>
      <c r="E68" s="376" t="inlineStr">
        <is>
          <t>шт</t>
        </is>
      </c>
      <c r="F68" s="230" t="n">
        <v>0.09</v>
      </c>
      <c r="G68" s="215" t="n">
        <v>5</v>
      </c>
      <c r="H68" s="215">
        <f>ROUND(F68*G68,2)</f>
        <v/>
      </c>
    </row>
    <row r="69">
      <c r="A69" s="222" t="n">
        <v>53</v>
      </c>
      <c r="B69" s="342" t="n"/>
      <c r="C69" s="230" t="inlineStr">
        <is>
          <t>01.7.02.09-0002</t>
        </is>
      </c>
      <c r="D69" s="227" t="inlineStr">
        <is>
          <t>Шпагат бумажный</t>
        </is>
      </c>
      <c r="E69" s="376" t="inlineStr">
        <is>
          <t>кг</t>
        </is>
      </c>
      <c r="F69" s="230" t="n">
        <v>0.016</v>
      </c>
      <c r="G69" s="215" t="n">
        <v>11.5</v>
      </c>
      <c r="H69" s="215">
        <f>ROUND(F69*G69,2)</f>
        <v/>
      </c>
    </row>
    <row r="70">
      <c r="A70" s="222" t="n">
        <v>54</v>
      </c>
      <c r="B70" s="342" t="n"/>
      <c r="C70" s="230" t="inlineStr">
        <is>
          <t>01.3.05.17-0002</t>
        </is>
      </c>
      <c r="D70" s="227" t="inlineStr">
        <is>
          <t>Канифоль сосновая</t>
        </is>
      </c>
      <c r="E70" s="376" t="inlineStr">
        <is>
          <t>кг</t>
        </is>
      </c>
      <c r="F70" s="230" t="n">
        <v>0.0016</v>
      </c>
      <c r="G70" s="215" t="n">
        <v>27.74</v>
      </c>
      <c r="H70" s="215">
        <f>ROUND(F70*G70,2)</f>
        <v/>
      </c>
    </row>
    <row r="71">
      <c r="A71" s="222" t="n">
        <v>55</v>
      </c>
      <c r="B71" s="342" t="n"/>
      <c r="C71" s="230" t="inlineStr">
        <is>
          <t>01.7.15.04-0011</t>
        </is>
      </c>
      <c r="D71" s="227" t="inlineStr">
        <is>
          <t>Винты с полукруглой головкой, длина 50 мм</t>
        </is>
      </c>
      <c r="E71" s="376" t="inlineStr">
        <is>
          <t>т</t>
        </is>
      </c>
      <c r="F71" s="230" t="n">
        <v>2e-06</v>
      </c>
      <c r="G71" s="215" t="n">
        <v>12430</v>
      </c>
      <c r="H71" s="215">
        <f>ROUND(F71*G71,2)</f>
        <v/>
      </c>
    </row>
    <row r="74">
      <c r="B74" s="304" t="inlineStr">
        <is>
          <t>Составил ______________________     Е. М. Добровольская</t>
        </is>
      </c>
    </row>
    <row r="75">
      <c r="B75" s="226" t="inlineStr">
        <is>
          <t xml:space="preserve">                         (подпись, инициалы, фамилия)</t>
        </is>
      </c>
    </row>
    <row r="77">
      <c r="B77" s="304" t="inlineStr">
        <is>
          <t>Проверил ______________________        А.В. Костянецкая</t>
        </is>
      </c>
    </row>
    <row r="78">
      <c r="B78" s="226" t="inlineStr">
        <is>
          <t xml:space="preserve">                        (подпись, инициалы, фамилия)</t>
        </is>
      </c>
    </row>
  </sheetData>
  <mergeCells count="16">
    <mergeCell ref="A3:H3"/>
    <mergeCell ref="A35:E35"/>
    <mergeCell ref="A8:A9"/>
    <mergeCell ref="A20:E20"/>
    <mergeCell ref="C8:C9"/>
    <mergeCell ref="E8:E9"/>
    <mergeCell ref="F8:F9"/>
    <mergeCell ref="A2:H2"/>
    <mergeCell ref="A11:E11"/>
    <mergeCell ref="D8:D9"/>
    <mergeCell ref="B8:B9"/>
    <mergeCell ref="C4:H4"/>
    <mergeCell ref="A32:E32"/>
    <mergeCell ref="G8:H8"/>
    <mergeCell ref="A22:E22"/>
    <mergeCell ref="A6:H6"/>
  </mergeCells>
  <pageMargins left="0.7" right="0.7" top="0.75" bottom="0.75" header="0.3" footer="0.3"/>
  <pageSetup orientation="portrait" paperSize="9" scale="47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9.140625" customWidth="1" style="302" min="6" max="6"/>
    <col width="13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71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25" t="inlineStr">
        <is>
          <t>Ресурсная модель</t>
        </is>
      </c>
    </row>
    <row r="6">
      <c r="B6" s="202" t="n"/>
      <c r="C6" s="294" t="n"/>
      <c r="D6" s="294" t="n"/>
      <c r="E6" s="294" t="n"/>
    </row>
    <row r="7" ht="25.5" customHeight="1" s="302">
      <c r="B7" s="345" t="inlineStr">
        <is>
          <t>Наименование разрабатываемого показателя УНЦ — ПАК информационной безопасности для защиты более 250 интеллектуальных устройств</t>
        </is>
      </c>
    </row>
    <row r="8">
      <c r="B8" s="346" t="inlineStr">
        <is>
          <t>Единица измерения  — 1 система</t>
        </is>
      </c>
    </row>
    <row r="9">
      <c r="B9" s="202" t="n"/>
      <c r="C9" s="294" t="n"/>
      <c r="D9" s="294" t="n"/>
      <c r="E9" s="294" t="n"/>
    </row>
    <row r="10" ht="51" customHeight="1" s="302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194" t="inlineStr">
        <is>
          <t>Оплата труда рабочих</t>
        </is>
      </c>
      <c r="C11" s="195">
        <f>'Прил.5 Расчет СМР и ОБ'!J15</f>
        <v/>
      </c>
      <c r="D11" s="196">
        <f>C11/$C$24</f>
        <v/>
      </c>
      <c r="E11" s="196">
        <f>C11/$C$40</f>
        <v/>
      </c>
    </row>
    <row r="12">
      <c r="B12" s="194" t="inlineStr">
        <is>
          <t>Эксплуатация машин основных</t>
        </is>
      </c>
      <c r="C12" s="195">
        <f>'Прил.5 Расчет СМР и ОБ'!J21</f>
        <v/>
      </c>
      <c r="D12" s="196">
        <f>C12/$C$24</f>
        <v/>
      </c>
      <c r="E12" s="196">
        <f>C12/$C$40</f>
        <v/>
      </c>
    </row>
    <row r="13">
      <c r="B13" s="194" t="inlineStr">
        <is>
          <t>Эксплуатация машин прочих</t>
        </is>
      </c>
      <c r="C13" s="195">
        <f>'Прил.5 Расчет СМР и ОБ'!J30</f>
        <v/>
      </c>
      <c r="D13" s="196">
        <f>C13/$C$24</f>
        <v/>
      </c>
      <c r="E13" s="196">
        <f>C13/$C$40</f>
        <v/>
      </c>
    </row>
    <row r="14">
      <c r="B14" s="194" t="inlineStr">
        <is>
          <t>ЭКСПЛУАТАЦИЯ МАШИН, ВСЕГО:</t>
        </is>
      </c>
      <c r="C14" s="195">
        <f>C13+C12</f>
        <v/>
      </c>
      <c r="D14" s="196">
        <f>C14/$C$24</f>
        <v/>
      </c>
      <c r="E14" s="196">
        <f>C14/$C$40</f>
        <v/>
      </c>
    </row>
    <row r="15">
      <c r="B15" s="194" t="inlineStr">
        <is>
          <t>в том числе зарплата машинистов</t>
        </is>
      </c>
      <c r="C15" s="195">
        <f>'Прил.5 Расчет СМР и ОБ'!J17</f>
        <v/>
      </c>
      <c r="D15" s="196">
        <f>C15/$C$24</f>
        <v/>
      </c>
      <c r="E15" s="196">
        <f>C15/$C$40</f>
        <v/>
      </c>
    </row>
    <row r="16">
      <c r="B16" s="194" t="inlineStr">
        <is>
          <t>Материалы основные</t>
        </is>
      </c>
      <c r="C16" s="195">
        <f>'Прил.5 Расчет СМР и ОБ'!J43</f>
        <v/>
      </c>
      <c r="D16" s="196">
        <f>C16/$C$24</f>
        <v/>
      </c>
      <c r="E16" s="196">
        <f>C16/$C$40</f>
        <v/>
      </c>
    </row>
    <row r="17">
      <c r="B17" s="194" t="inlineStr">
        <is>
          <t>Материалы прочие</t>
        </is>
      </c>
      <c r="C17" s="195">
        <f>'Прил.5 Расчет СМР и ОБ'!J79</f>
        <v/>
      </c>
      <c r="D17" s="196">
        <f>C17/$C$24</f>
        <v/>
      </c>
      <c r="E17" s="196">
        <f>C17/$C$40</f>
        <v/>
      </c>
      <c r="G17" s="431" t="n"/>
    </row>
    <row r="18">
      <c r="B18" s="194" t="inlineStr">
        <is>
          <t>МАТЕРИАЛЫ, ВСЕГО:</t>
        </is>
      </c>
      <c r="C18" s="195">
        <f>C17+C16</f>
        <v/>
      </c>
      <c r="D18" s="196">
        <f>C18/$C$24</f>
        <v/>
      </c>
      <c r="E18" s="196">
        <f>C18/$C$40</f>
        <v/>
      </c>
    </row>
    <row r="19">
      <c r="B19" s="194" t="inlineStr">
        <is>
          <t>ИТОГО</t>
        </is>
      </c>
      <c r="C19" s="195">
        <f>C18+C14+C11</f>
        <v/>
      </c>
      <c r="D19" s="196" t="n"/>
      <c r="E19" s="194" t="n"/>
    </row>
    <row r="20">
      <c r="B20" s="194" t="inlineStr">
        <is>
          <t>Сметная прибыль, руб.</t>
        </is>
      </c>
      <c r="C20" s="195">
        <f>ROUND(C21*(C11+C15),2)</f>
        <v/>
      </c>
      <c r="D20" s="196">
        <f>C20/$C$24</f>
        <v/>
      </c>
      <c r="E20" s="196">
        <f>C20/$C$40</f>
        <v/>
      </c>
    </row>
    <row r="21">
      <c r="B21" s="194" t="inlineStr">
        <is>
          <t>Сметная прибыль, %</t>
        </is>
      </c>
      <c r="C21" s="199">
        <f>'Прил.5 Расчет СМР и ОБ'!D83</f>
        <v/>
      </c>
      <c r="D21" s="196" t="n"/>
      <c r="E21" s="194" t="n"/>
    </row>
    <row r="22">
      <c r="B22" s="194" t="inlineStr">
        <is>
          <t>Накладные расходы, руб.</t>
        </is>
      </c>
      <c r="C22" s="195">
        <f>ROUND(C23*(C11+C15),2)</f>
        <v/>
      </c>
      <c r="D22" s="196">
        <f>C22/$C$24</f>
        <v/>
      </c>
      <c r="E22" s="196">
        <f>C22/$C$40</f>
        <v/>
      </c>
    </row>
    <row r="23">
      <c r="B23" s="194" t="inlineStr">
        <is>
          <t>Накладные расходы, %</t>
        </is>
      </c>
      <c r="C23" s="199">
        <f>'Прил.5 Расчет СМР и ОБ'!D82</f>
        <v/>
      </c>
      <c r="D23" s="196" t="n"/>
      <c r="E23" s="194" t="n"/>
    </row>
    <row r="24">
      <c r="B24" s="194" t="inlineStr">
        <is>
          <t>ВСЕГО СМР с НР и СП</t>
        </is>
      </c>
      <c r="C24" s="195">
        <f>C19+C20+C22</f>
        <v/>
      </c>
      <c r="D24" s="196">
        <f>C24/$C$24</f>
        <v/>
      </c>
      <c r="E24" s="196">
        <f>C24/$C$40</f>
        <v/>
      </c>
    </row>
    <row r="25" ht="25.5" customHeight="1" s="302">
      <c r="B25" s="194" t="inlineStr">
        <is>
          <t>ВСЕГО стоимость оборудования, в том числе</t>
        </is>
      </c>
      <c r="C25" s="195">
        <f>'Прил.5 Расчет СМР и ОБ'!J38</f>
        <v/>
      </c>
      <c r="D25" s="196" t="n"/>
      <c r="E25" s="196">
        <f>C25/$C$40</f>
        <v/>
      </c>
    </row>
    <row r="26" ht="25.5" customHeight="1" s="302">
      <c r="B26" s="194" t="inlineStr">
        <is>
          <t>стоимость оборудования технологического</t>
        </is>
      </c>
      <c r="C26" s="195">
        <f>'Прил.5 Расчет СМР и ОБ'!J39</f>
        <v/>
      </c>
      <c r="D26" s="196" t="n"/>
      <c r="E26" s="196">
        <f>C26/$C$40</f>
        <v/>
      </c>
    </row>
    <row r="27">
      <c r="B27" s="194" t="inlineStr">
        <is>
          <t>ИТОГО (СМР + ОБОРУДОВАНИЕ)</t>
        </is>
      </c>
      <c r="C27" s="198">
        <f>C24+C25</f>
        <v/>
      </c>
      <c r="D27" s="196" t="n"/>
      <c r="E27" s="196">
        <f>C27/$C$40</f>
        <v/>
      </c>
      <c r="G27" s="197" t="n"/>
    </row>
    <row r="28" ht="33" customHeight="1" s="302">
      <c r="B28" s="194" t="inlineStr">
        <is>
          <t>ПРОЧ. ЗАТР., УЧТЕННЫЕ ПОКАЗАТЕЛЕМ,  в том числе</t>
        </is>
      </c>
      <c r="C28" s="194" t="n"/>
      <c r="D28" s="194" t="n"/>
      <c r="E28" s="194" t="n"/>
    </row>
    <row r="29" ht="25.5" customHeight="1" s="302">
      <c r="B29" s="194" t="inlineStr">
        <is>
          <t>Временные здания и сооружения - 3,9%</t>
        </is>
      </c>
      <c r="C29" s="198">
        <f>ROUND(C24*3.3%,2)</f>
        <v/>
      </c>
      <c r="D29" s="194" t="n"/>
      <c r="E29" s="196" t="n">
        <v>0.039</v>
      </c>
    </row>
    <row r="30" ht="38.25" customHeight="1" s="302">
      <c r="B30" s="194" t="inlineStr">
        <is>
          <t>Дополнительные затраты при производстве строительно-монтажных работ в зимнее время - 2,1%</t>
        </is>
      </c>
      <c r="C30" s="198">
        <f>ROUND((C24+C29)*1%,2)</f>
        <v/>
      </c>
      <c r="D30" s="194" t="n"/>
      <c r="E30" s="196" t="n">
        <v>0.021</v>
      </c>
    </row>
    <row r="31">
      <c r="B31" s="194" t="inlineStr">
        <is>
          <t>Пусконаладочные работы</t>
        </is>
      </c>
      <c r="C31" s="198" t="n">
        <v>1851057.58</v>
      </c>
      <c r="D31" s="194" t="n"/>
      <c r="E31" s="196">
        <f>C31/$C$40</f>
        <v/>
      </c>
    </row>
    <row r="32" ht="25.5" customHeight="1" s="302">
      <c r="B32" s="194" t="inlineStr">
        <is>
          <t>Затраты по перевозке работников к месту работы и обратно</t>
        </is>
      </c>
      <c r="C32" s="198" t="n">
        <v>0</v>
      </c>
      <c r="D32" s="194" t="n"/>
      <c r="E32" s="196">
        <f>C32/$C$40</f>
        <v/>
      </c>
    </row>
    <row r="33" ht="25.5" customHeight="1" s="302">
      <c r="B33" s="194" t="inlineStr">
        <is>
          <t>Затраты, связанные с осуществлением работ вахтовым методом</t>
        </is>
      </c>
      <c r="C33" s="198">
        <f>ROUND(C27*0%,2)</f>
        <v/>
      </c>
      <c r="D33" s="194" t="n"/>
      <c r="E33" s="196">
        <f>C33/$C$40</f>
        <v/>
      </c>
    </row>
    <row r="34" ht="51" customHeight="1" s="302">
      <c r="B34" s="1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8" t="n">
        <v>0</v>
      </c>
      <c r="D34" s="194" t="n"/>
      <c r="E34" s="196">
        <f>C34/$C$40</f>
        <v/>
      </c>
    </row>
    <row r="35" ht="76.5" customHeight="1" s="302">
      <c r="B35" s="1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8">
        <f>ROUND(C27*0%,2)</f>
        <v/>
      </c>
      <c r="D35" s="194" t="n"/>
      <c r="E35" s="196">
        <f>C35/$C$40</f>
        <v/>
      </c>
    </row>
    <row r="36" ht="25.5" customHeight="1" s="302">
      <c r="B36" s="194" t="inlineStr">
        <is>
          <t>Строительный контроль и содержание службы заказчика - 2,14%</t>
        </is>
      </c>
      <c r="C36" s="198">
        <f>ROUND((C27+C32+C33+C34+C35+C29+C31+C30)*2.14%,2)</f>
        <v/>
      </c>
      <c r="D36" s="194" t="n"/>
      <c r="E36" s="196">
        <f>C36/$C$40</f>
        <v/>
      </c>
      <c r="G36" s="205" t="n"/>
      <c r="L36" s="197" t="n"/>
    </row>
    <row r="37">
      <c r="B37" s="194" t="inlineStr">
        <is>
          <t>Авторский надзор - 0,2%</t>
        </is>
      </c>
      <c r="C37" s="198">
        <f>ROUND((C27+C32+C33+C34+C35+C29+C31+C30)*0.2%,2)</f>
        <v/>
      </c>
      <c r="D37" s="194" t="n"/>
      <c r="E37" s="196">
        <f>C37/$C$40</f>
        <v/>
      </c>
      <c r="G37" s="163" t="n"/>
      <c r="L37" s="197" t="n"/>
    </row>
    <row r="38" ht="38.25" customHeight="1" s="302">
      <c r="B38" s="194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194" t="n"/>
      <c r="E38" s="196">
        <f>C38/$C$40</f>
        <v/>
      </c>
    </row>
    <row r="39" ht="13.5" customHeight="1" s="302">
      <c r="B39" s="194" t="inlineStr">
        <is>
          <t>Непредвиденные расходы</t>
        </is>
      </c>
      <c r="C39" s="195">
        <f>ROUND(C38*3%,2)</f>
        <v/>
      </c>
      <c r="D39" s="194" t="n"/>
      <c r="E39" s="196">
        <f>C39/$C$38</f>
        <v/>
      </c>
    </row>
    <row r="40">
      <c r="B40" s="194" t="inlineStr">
        <is>
          <t>ВСЕГО:</t>
        </is>
      </c>
      <c r="C40" s="195">
        <f>C39+C38</f>
        <v/>
      </c>
      <c r="D40" s="194" t="n"/>
      <c r="E40" s="196">
        <f>C40/$C$40</f>
        <v/>
      </c>
    </row>
    <row r="41">
      <c r="B41" s="194" t="inlineStr">
        <is>
          <t>ИТОГО ПОКАЗАТЕЛЬ НА ЕД. ИЗМ.</t>
        </is>
      </c>
      <c r="C41" s="195">
        <f>C40/'Прил.5 Расчет СМР и ОБ'!E86</f>
        <v/>
      </c>
      <c r="D41" s="194" t="n"/>
      <c r="E41" s="194" t="n"/>
    </row>
    <row r="42">
      <c r="B42" s="193" t="n"/>
      <c r="C42" s="294" t="n"/>
      <c r="D42" s="294" t="n"/>
      <c r="E42" s="294" t="n"/>
    </row>
    <row r="43">
      <c r="B43" s="193" t="inlineStr">
        <is>
          <t>Составил ____________________________  Е. М. Добровольская</t>
        </is>
      </c>
      <c r="C43" s="294" t="n"/>
      <c r="D43" s="294" t="n"/>
      <c r="E43" s="294" t="n"/>
    </row>
    <row r="44">
      <c r="B44" s="193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193" t="n"/>
      <c r="C45" s="294" t="n"/>
      <c r="D45" s="294" t="n"/>
      <c r="E45" s="294" t="n"/>
    </row>
    <row r="46">
      <c r="B46" s="193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46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2"/>
  <sheetViews>
    <sheetView view="pageBreakPreview" topLeftCell="A36" zoomScale="115" zoomScaleSheetLayoutView="115" workbookViewId="0">
      <selection activeCell="B87" sqref="B87"/>
    </sheetView>
  </sheetViews>
  <sheetFormatPr baseColWidth="8" defaultColWidth="9.140625" defaultRowHeight="15" outlineLevelRow="1"/>
  <cols>
    <col width="5.7109375" customWidth="1" style="292" min="1" max="1"/>
    <col width="22.5703125" customWidth="1" style="292" min="2" max="2"/>
    <col width="80.28515625" customWidth="1" style="292" min="3" max="3"/>
    <col width="10.7109375" customWidth="1" style="292" min="4" max="4"/>
    <col width="14.5703125" customWidth="1" style="292" min="5" max="6"/>
    <col width="15.85546875" customWidth="1" style="292" min="7" max="7"/>
    <col width="12.7109375" customWidth="1" style="292" min="8" max="8"/>
    <col width="13.85546875" customWidth="1" style="292" min="9" max="9"/>
    <col width="17.5703125" customWidth="1" style="292" min="10" max="10"/>
    <col width="10.85546875" customWidth="1" style="292" min="11" max="11"/>
    <col width="13.85546875" customWidth="1" style="292" min="12" max="12"/>
    <col width="9.140625" customWidth="1" style="302" min="13" max="13"/>
  </cols>
  <sheetData>
    <row r="1" s="302">
      <c r="A1" s="29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</row>
    <row r="2" ht="15.75" customHeight="1" s="302">
      <c r="A2" s="292" t="n"/>
      <c r="B2" s="292" t="n"/>
      <c r="C2" s="292" t="n"/>
      <c r="D2" s="292" t="n"/>
      <c r="E2" s="292" t="n"/>
      <c r="F2" s="292" t="n"/>
      <c r="G2" s="292" t="n"/>
      <c r="H2" s="367" t="inlineStr">
        <is>
          <t>Приложение №5</t>
        </is>
      </c>
      <c r="K2" s="292" t="n"/>
      <c r="L2" s="292" t="n"/>
      <c r="M2" s="292" t="n"/>
      <c r="N2" s="292" t="n"/>
    </row>
    <row r="3" s="302">
      <c r="A3" s="292" t="n"/>
      <c r="B3" s="292" t="n"/>
      <c r="C3" s="292" t="n"/>
      <c r="D3" s="292" t="n"/>
      <c r="E3" s="292" t="n"/>
      <c r="F3" s="292" t="n"/>
      <c r="G3" s="292" t="n"/>
      <c r="H3" s="292" t="n"/>
      <c r="I3" s="292" t="n"/>
      <c r="J3" s="292" t="n"/>
      <c r="K3" s="292" t="n"/>
      <c r="L3" s="292" t="n"/>
      <c r="M3" s="292" t="n"/>
      <c r="N3" s="292" t="n"/>
    </row>
    <row r="4" ht="12.75" customFormat="1" customHeight="1" s="294">
      <c r="A4" s="325" t="inlineStr">
        <is>
          <t>Расчет стоимости СМР и оборудования</t>
        </is>
      </c>
    </row>
    <row r="5" ht="12.75" customFormat="1" customHeight="1" s="294">
      <c r="A5" s="325" t="n"/>
      <c r="B5" s="325" t="n"/>
      <c r="C5" s="379" t="n"/>
      <c r="D5" s="325" t="n"/>
      <c r="E5" s="325" t="n"/>
      <c r="F5" s="325" t="n"/>
      <c r="G5" s="325" t="n"/>
      <c r="H5" s="325" t="n"/>
      <c r="I5" s="325" t="n"/>
      <c r="J5" s="325" t="n"/>
    </row>
    <row r="6" ht="33.75" customFormat="1" customHeight="1" s="294">
      <c r="A6" s="239" t="inlineStr">
        <is>
          <t>Наименование разрабатываемого показателя УНЦ</t>
        </is>
      </c>
      <c r="B6" s="240" t="n"/>
      <c r="C6" s="240" t="n"/>
      <c r="D6" s="328" t="inlineStr">
        <is>
          <t>ПАК информационной безопасности для защиты более 250 интеллектуальных устройств</t>
        </is>
      </c>
    </row>
    <row r="7" ht="12.75" customFormat="1" customHeight="1" s="294">
      <c r="A7" s="328" t="inlineStr">
        <is>
          <t>Единица измерения  — 1 система</t>
        </is>
      </c>
      <c r="I7" s="345" t="n"/>
      <c r="J7" s="345" t="n"/>
    </row>
    <row r="8" ht="13.5" customFormat="1" customHeight="1" s="294">
      <c r="A8" s="328" t="n"/>
    </row>
    <row r="9" ht="13.15" customFormat="1" customHeight="1" s="294"/>
    <row r="10" ht="27" customHeight="1" s="302">
      <c r="A10" s="353" t="inlineStr">
        <is>
          <t>№ пп.</t>
        </is>
      </c>
      <c r="B10" s="353" t="inlineStr">
        <is>
          <t>Код ресурса</t>
        </is>
      </c>
      <c r="C10" s="353" t="inlineStr">
        <is>
          <t>Наименование</t>
        </is>
      </c>
      <c r="D10" s="353" t="inlineStr">
        <is>
          <t>Ед. изм.</t>
        </is>
      </c>
      <c r="E10" s="353" t="inlineStr">
        <is>
          <t>Кол-во единиц по проектным данным</t>
        </is>
      </c>
      <c r="F10" s="353" t="inlineStr">
        <is>
          <t>Сметная стоимость в ценах на 01.01.2000 (руб.)</t>
        </is>
      </c>
      <c r="G10" s="424" t="n"/>
      <c r="H10" s="353" t="inlineStr">
        <is>
          <t>Удельный вес, %</t>
        </is>
      </c>
      <c r="I10" s="353" t="inlineStr">
        <is>
          <t>Сметная стоимость в ценах на 01.01.2023 (руб.)</t>
        </is>
      </c>
      <c r="J10" s="424" t="n"/>
      <c r="K10" s="292" t="n"/>
      <c r="L10" s="292" t="n"/>
      <c r="M10" s="292" t="n"/>
      <c r="N10" s="292" t="n"/>
    </row>
    <row r="11" ht="28.5" customHeight="1" s="302">
      <c r="A11" s="426" t="n"/>
      <c r="B11" s="426" t="n"/>
      <c r="C11" s="426" t="n"/>
      <c r="D11" s="426" t="n"/>
      <c r="E11" s="426" t="n"/>
      <c r="F11" s="353" t="inlineStr">
        <is>
          <t>на ед. изм.</t>
        </is>
      </c>
      <c r="G11" s="353" t="inlineStr">
        <is>
          <t>общая</t>
        </is>
      </c>
      <c r="H11" s="426" t="n"/>
      <c r="I11" s="353" t="inlineStr">
        <is>
          <t>на ед. изм.</t>
        </is>
      </c>
      <c r="J11" s="353" t="inlineStr">
        <is>
          <t>общая</t>
        </is>
      </c>
      <c r="K11" s="292" t="n"/>
      <c r="L11" s="292" t="n"/>
      <c r="M11" s="292" t="n"/>
      <c r="N11" s="292" t="n"/>
    </row>
    <row r="12" s="302">
      <c r="A12" s="353" t="n">
        <v>1</v>
      </c>
      <c r="B12" s="353" t="n">
        <v>2</v>
      </c>
      <c r="C12" s="353" t="n">
        <v>3</v>
      </c>
      <c r="D12" s="353" t="n">
        <v>4</v>
      </c>
      <c r="E12" s="353" t="n">
        <v>5</v>
      </c>
      <c r="F12" s="353" t="n">
        <v>6</v>
      </c>
      <c r="G12" s="353" t="n">
        <v>7</v>
      </c>
      <c r="H12" s="353" t="n">
        <v>8</v>
      </c>
      <c r="I12" s="348" t="n">
        <v>9</v>
      </c>
      <c r="J12" s="348" t="n">
        <v>10</v>
      </c>
      <c r="K12" s="292" t="n"/>
      <c r="L12" s="292" t="n"/>
      <c r="M12" s="292" t="n"/>
      <c r="N12" s="292" t="n"/>
    </row>
    <row r="13">
      <c r="A13" s="353" t="n"/>
      <c r="B13" s="340" t="inlineStr">
        <is>
          <t>Затраты труда рабочих-строителей</t>
        </is>
      </c>
      <c r="C13" s="423" t="n"/>
      <c r="D13" s="423" t="n"/>
      <c r="E13" s="423" t="n"/>
      <c r="F13" s="423" t="n"/>
      <c r="G13" s="423" t="n"/>
      <c r="H13" s="424" t="n"/>
      <c r="I13" s="266" t="n"/>
      <c r="J13" s="266" t="n"/>
    </row>
    <row r="14">
      <c r="A14" s="353" t="n">
        <v>1</v>
      </c>
      <c r="B14" s="254" t="inlineStr">
        <is>
          <t>1-4-2</t>
        </is>
      </c>
      <c r="C14" s="352" t="inlineStr">
        <is>
          <t>Затраты труда рабочих-строителей среднего разряда (4,2)</t>
        </is>
      </c>
      <c r="D14" s="353" t="inlineStr">
        <is>
          <t>чел.-ч.</t>
        </is>
      </c>
      <c r="E14" s="432">
        <f>G14/F14</f>
        <v/>
      </c>
      <c r="F14" s="262" t="n">
        <v>9.92</v>
      </c>
      <c r="G14" s="262">
        <f>'Прил. 3'!H11</f>
        <v/>
      </c>
      <c r="H14" s="261">
        <f>G14/$G$15</f>
        <v/>
      </c>
      <c r="I14" s="262">
        <f>ФОТр.тек.!E13</f>
        <v/>
      </c>
      <c r="J14" s="262">
        <f>ROUND(I14*E14,2)</f>
        <v/>
      </c>
    </row>
    <row r="15" ht="14.25" customFormat="1" customHeight="1" s="292">
      <c r="A15" s="353" t="n"/>
      <c r="B15" s="353" t="n"/>
      <c r="C15" s="340" t="inlineStr">
        <is>
          <t>Итого по разделу "Затраты труда рабочих-строителей"</t>
        </is>
      </c>
      <c r="D15" s="353" t="inlineStr">
        <is>
          <t>чел.-ч.</t>
        </is>
      </c>
      <c r="E15" s="432">
        <f>SUM(E14:E14)</f>
        <v/>
      </c>
      <c r="F15" s="262" t="n"/>
      <c r="G15" s="262">
        <f>SUM(G14:G14)</f>
        <v/>
      </c>
      <c r="H15" s="356" t="n">
        <v>1</v>
      </c>
      <c r="I15" s="266" t="n"/>
      <c r="J15" s="262">
        <f>SUM(J14:J14)</f>
        <v/>
      </c>
    </row>
    <row r="16" ht="14.25" customFormat="1" customHeight="1" s="292">
      <c r="A16" s="353" t="n"/>
      <c r="B16" s="352" t="inlineStr">
        <is>
          <t>Затраты труда машинистов</t>
        </is>
      </c>
      <c r="C16" s="423" t="n"/>
      <c r="D16" s="423" t="n"/>
      <c r="E16" s="423" t="n"/>
      <c r="F16" s="423" t="n"/>
      <c r="G16" s="423" t="n"/>
      <c r="H16" s="424" t="n"/>
      <c r="I16" s="266" t="n"/>
      <c r="J16" s="266" t="n"/>
    </row>
    <row r="17" ht="14.25" customFormat="1" customHeight="1" s="292">
      <c r="A17" s="353" t="n">
        <v>2</v>
      </c>
      <c r="B17" s="353" t="n">
        <v>2</v>
      </c>
      <c r="C17" s="352" t="inlineStr">
        <is>
          <t>Затраты труда машинистов</t>
        </is>
      </c>
      <c r="D17" s="353" t="inlineStr">
        <is>
          <t>чел.-ч.</t>
        </is>
      </c>
      <c r="E17" s="432">
        <f>'Прил. 3'!F21</f>
        <v/>
      </c>
      <c r="F17" s="262">
        <f>G17/E17</f>
        <v/>
      </c>
      <c r="G17" s="262">
        <f>'Прил. 3'!H20</f>
        <v/>
      </c>
      <c r="H17" s="356" t="n">
        <v>1</v>
      </c>
      <c r="I17" s="262">
        <f>ROUND(F17*'Прил. 10'!D11,2)</f>
        <v/>
      </c>
      <c r="J17" s="262">
        <f>ROUND(I17*E17,2)</f>
        <v/>
      </c>
    </row>
    <row r="18" ht="14.25" customFormat="1" customHeight="1" s="292">
      <c r="A18" s="353" t="n"/>
      <c r="B18" s="340" t="inlineStr">
        <is>
          <t>Машины и механизмы</t>
        </is>
      </c>
      <c r="C18" s="423" t="n"/>
      <c r="D18" s="423" t="n"/>
      <c r="E18" s="423" t="n"/>
      <c r="F18" s="423" t="n"/>
      <c r="G18" s="423" t="n"/>
      <c r="H18" s="424" t="n"/>
      <c r="I18" s="266" t="n"/>
      <c r="J18" s="266" t="n"/>
    </row>
    <row r="19" ht="14.25" customFormat="1" customHeight="1" s="292">
      <c r="A19" s="353" t="n"/>
      <c r="B19" s="352" t="inlineStr">
        <is>
          <t>Основные машины и механизмы</t>
        </is>
      </c>
      <c r="C19" s="423" t="n"/>
      <c r="D19" s="423" t="n"/>
      <c r="E19" s="423" t="n"/>
      <c r="F19" s="423" t="n"/>
      <c r="G19" s="423" t="n"/>
      <c r="H19" s="424" t="n"/>
      <c r="I19" s="266" t="n"/>
      <c r="J19" s="266" t="n"/>
    </row>
    <row r="20" ht="22.5" customFormat="1" customHeight="1" s="292">
      <c r="A20" s="353" t="n">
        <v>3</v>
      </c>
      <c r="B20" s="254" t="inlineStr">
        <is>
          <t>91.06.05-011</t>
        </is>
      </c>
      <c r="C20" s="352" t="inlineStr">
        <is>
          <t>Погрузчики, грузоподъемность 5 т</t>
        </is>
      </c>
      <c r="D20" s="353" t="inlineStr">
        <is>
          <t>маш.час</t>
        </is>
      </c>
      <c r="E20" s="432" t="n">
        <v>12.2</v>
      </c>
      <c r="F20" s="355" t="n">
        <v>89.98999999999999</v>
      </c>
      <c r="G20" s="262">
        <f>ROUND(E20*F20,2)</f>
        <v/>
      </c>
      <c r="H20" s="261">
        <f>G20/$G$31</f>
        <v/>
      </c>
      <c r="I20" s="262">
        <f>ROUND(F20*'Прил. 10'!$D$12,2)</f>
        <v/>
      </c>
      <c r="J20" s="262">
        <f>ROUND(I20*E20,2)</f>
        <v/>
      </c>
    </row>
    <row r="21" ht="14.25" customFormat="1" customHeight="1" s="292">
      <c r="A21" s="353" t="n">
        <v>4</v>
      </c>
      <c r="B21" s="353" t="n"/>
      <c r="C21" s="352" t="inlineStr">
        <is>
          <t>Итого основные машины и механизмы</t>
        </is>
      </c>
      <c r="D21" s="353" t="n"/>
      <c r="E21" s="432" t="n"/>
      <c r="F21" s="262" t="n"/>
      <c r="G21" s="262">
        <f>SUM(G20:G20)</f>
        <v/>
      </c>
      <c r="H21" s="356">
        <f>G21/G31</f>
        <v/>
      </c>
      <c r="I21" s="268" t="n"/>
      <c r="J21" s="262">
        <f>SUM(J20:J20)</f>
        <v/>
      </c>
    </row>
    <row r="22" hidden="1" outlineLevel="1" ht="14.25" customFormat="1" customHeight="1" s="292">
      <c r="A22" s="353" t="n">
        <v>5</v>
      </c>
      <c r="B22" s="254" t="inlineStr">
        <is>
          <t>91.05.05-015</t>
        </is>
      </c>
      <c r="C22" s="352" t="inlineStr">
        <is>
          <t>Краны на автомобильном ходу, грузоподъемность 16 т</t>
        </is>
      </c>
      <c r="D22" s="353" t="inlineStr">
        <is>
          <t>маш.час</t>
        </is>
      </c>
      <c r="E22" s="432" t="n">
        <v>0.5</v>
      </c>
      <c r="F22" s="355" t="n">
        <v>115.4</v>
      </c>
      <c r="G22" s="262">
        <f>ROUND(E22*F22,2)</f>
        <v/>
      </c>
      <c r="H22" s="261">
        <f>G22/$G$31</f>
        <v/>
      </c>
      <c r="I22" s="262">
        <f>ROUND(F22*'Прил. 10'!$D$12,2)</f>
        <v/>
      </c>
      <c r="J22" s="262">
        <f>ROUND(I22*E22,2)</f>
        <v/>
      </c>
    </row>
    <row r="23" hidden="1" outlineLevel="1" ht="25.5" customFormat="1" customHeight="1" s="292">
      <c r="A23" s="353" t="n">
        <v>6</v>
      </c>
      <c r="B23" s="254" t="inlineStr">
        <is>
          <t>91.18.01-007</t>
        </is>
      </c>
      <c r="C23" s="35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353" t="inlineStr">
        <is>
          <t>маш.час</t>
        </is>
      </c>
      <c r="E23" s="432" t="n">
        <v>0.46</v>
      </c>
      <c r="F23" s="355" t="n">
        <v>90</v>
      </c>
      <c r="G23" s="262">
        <f>ROUND(E23*F23,2)</f>
        <v/>
      </c>
      <c r="H23" s="261">
        <f>G23/$G$31</f>
        <v/>
      </c>
      <c r="I23" s="262">
        <f>ROUND(F23*'Прил. 10'!$D$12,2)</f>
        <v/>
      </c>
      <c r="J23" s="262">
        <f>ROUND(I23*E23,2)</f>
        <v/>
      </c>
    </row>
    <row r="24" hidden="1" outlineLevel="1" ht="14.25" customFormat="1" customHeight="1" s="292">
      <c r="A24" s="353" t="n">
        <v>7</v>
      </c>
      <c r="B24" s="254" t="inlineStr">
        <is>
          <t>91.14.02-001</t>
        </is>
      </c>
      <c r="C24" s="352" t="inlineStr">
        <is>
          <t>Автомобили бортовые, грузоподъемность до 5 т</t>
        </is>
      </c>
      <c r="D24" s="353" t="inlineStr">
        <is>
          <t>маш.час</t>
        </is>
      </c>
      <c r="E24" s="432" t="n">
        <v>0.5</v>
      </c>
      <c r="F24" s="355" t="n">
        <v>65.70999999999999</v>
      </c>
      <c r="G24" s="262">
        <f>ROUND(E24*F24,2)</f>
        <v/>
      </c>
      <c r="H24" s="261">
        <f>G24/$G$31</f>
        <v/>
      </c>
      <c r="I24" s="262">
        <f>ROUND(F24*'Прил. 10'!$D$12,2)</f>
        <v/>
      </c>
      <c r="J24" s="262">
        <f>ROUND(I24*E24,2)</f>
        <v/>
      </c>
    </row>
    <row r="25" hidden="1" outlineLevel="1" ht="14.25" customFormat="1" customHeight="1" s="292">
      <c r="A25" s="353" t="n">
        <v>8</v>
      </c>
      <c r="B25" s="254" t="inlineStr">
        <is>
          <t>91.17.04-233</t>
        </is>
      </c>
      <c r="C25" s="352" t="inlineStr">
        <is>
          <t>Установки для сварки ручной дуговой (постоянного тока)</t>
        </is>
      </c>
      <c r="D25" s="353" t="inlineStr">
        <is>
          <t>маш.час</t>
        </is>
      </c>
      <c r="E25" s="432" t="n">
        <v>1.52</v>
      </c>
      <c r="F25" s="355" t="n">
        <v>8.1</v>
      </c>
      <c r="G25" s="262">
        <f>ROUND(E25*F25,2)</f>
        <v/>
      </c>
      <c r="H25" s="261">
        <f>G25/$G$31</f>
        <v/>
      </c>
      <c r="I25" s="262">
        <f>ROUND(F25*'Прил. 10'!$D$12,2)</f>
        <v/>
      </c>
      <c r="J25" s="262">
        <f>ROUND(I25*E25,2)</f>
        <v/>
      </c>
    </row>
    <row r="26" hidden="1" outlineLevel="1" ht="14.25" customFormat="1" customHeight="1" s="292">
      <c r="A26" s="353" t="n">
        <v>9</v>
      </c>
      <c r="B26" s="254" t="inlineStr">
        <is>
          <t>91.06.03-061</t>
        </is>
      </c>
      <c r="C26" s="352" t="inlineStr">
        <is>
          <t>Лебедки электрические тяговым усилием до 12,26 кН (1,25 т)</t>
        </is>
      </c>
      <c r="D26" s="353" t="inlineStr">
        <is>
          <t>маш.час</t>
        </is>
      </c>
      <c r="E26" s="432" t="n">
        <v>1.67</v>
      </c>
      <c r="F26" s="355" t="n">
        <v>3.28</v>
      </c>
      <c r="G26" s="262">
        <f>ROUND(E26*F26,2)</f>
        <v/>
      </c>
      <c r="H26" s="261">
        <f>G26/$G$31</f>
        <v/>
      </c>
      <c r="I26" s="262">
        <f>ROUND(F26*'Прил. 10'!$D$12,2)</f>
        <v/>
      </c>
      <c r="J26" s="262">
        <f>ROUND(I26*E26,2)</f>
        <v/>
      </c>
    </row>
    <row r="27" hidden="1" outlineLevel="1" ht="14.25" customFormat="1" customHeight="1" s="292">
      <c r="A27" s="353" t="n">
        <v>10</v>
      </c>
      <c r="B27" s="254" t="inlineStr">
        <is>
          <t>91.06.01-003</t>
        </is>
      </c>
      <c r="C27" s="352" t="inlineStr">
        <is>
          <t>Домкраты гидравлические, грузоподъемность 63-100 т</t>
        </is>
      </c>
      <c r="D27" s="353" t="inlineStr">
        <is>
          <t>маш.час</t>
        </is>
      </c>
      <c r="E27" s="432" t="n">
        <v>1.67</v>
      </c>
      <c r="F27" s="355" t="n">
        <v>0.9</v>
      </c>
      <c r="G27" s="262">
        <f>ROUND(E27*F27,2)</f>
        <v/>
      </c>
      <c r="H27" s="261">
        <f>G27/$G$31</f>
        <v/>
      </c>
      <c r="I27" s="262">
        <f>ROUND(F27*'Прил. 10'!$D$12,2)</f>
        <v/>
      </c>
      <c r="J27" s="262">
        <f>ROUND(I27*E27,2)</f>
        <v/>
      </c>
    </row>
    <row r="28" hidden="1" outlineLevel="1" ht="14.25" customFormat="1" customHeight="1" s="292">
      <c r="A28" s="353" t="n">
        <v>11</v>
      </c>
      <c r="B28" s="254" t="inlineStr">
        <is>
          <t>91.04.01-041</t>
        </is>
      </c>
      <c r="C28" s="352" t="inlineStr">
        <is>
          <t>Молотки бурильные легкие при работе от передвижных компрессорных станций</t>
        </is>
      </c>
      <c r="D28" s="353" t="inlineStr">
        <is>
          <t>маш.час</t>
        </is>
      </c>
      <c r="E28" s="432" t="n">
        <v>0.46</v>
      </c>
      <c r="F28" s="355" t="n">
        <v>2.99</v>
      </c>
      <c r="G28" s="262">
        <f>ROUND(E28*F28,2)</f>
        <v/>
      </c>
      <c r="H28" s="261">
        <f>G28/$G$31</f>
        <v/>
      </c>
      <c r="I28" s="262">
        <f>ROUND(F28*'Прил. 10'!$D$12,2)</f>
        <v/>
      </c>
      <c r="J28" s="262">
        <f>ROUND(I28*E28,2)</f>
        <v/>
      </c>
    </row>
    <row r="29" hidden="1" outlineLevel="1" ht="14.25" customFormat="1" customHeight="1" s="292">
      <c r="A29" s="353" t="n">
        <v>12</v>
      </c>
      <c r="B29" s="254" t="inlineStr">
        <is>
          <t>91.06.06-042</t>
        </is>
      </c>
      <c r="C29" s="352" t="inlineStr">
        <is>
          <t>Подъемники гидравлические, высота подъема 10 м</t>
        </is>
      </c>
      <c r="D29" s="353" t="inlineStr">
        <is>
          <t>маш.час</t>
        </is>
      </c>
      <c r="E29" s="432" t="n">
        <v>0.03</v>
      </c>
      <c r="F29" s="355" t="n">
        <v>29.6</v>
      </c>
      <c r="G29" s="262">
        <f>ROUND(E29*F29,2)</f>
        <v/>
      </c>
      <c r="H29" s="261">
        <f>G29/$G$31</f>
        <v/>
      </c>
      <c r="I29" s="262">
        <f>ROUND(F29*'Прил. 10'!$D$12,2)</f>
        <v/>
      </c>
      <c r="J29" s="262">
        <f>ROUND(I29*E29,2)</f>
        <v/>
      </c>
    </row>
    <row r="30" collapsed="1" ht="14.25" customFormat="1" customHeight="1" s="292">
      <c r="A30" s="353" t="n"/>
      <c r="B30" s="353" t="n"/>
      <c r="C30" s="352" t="inlineStr">
        <is>
          <t>Итого прочие машины и механизмы</t>
        </is>
      </c>
      <c r="D30" s="353" t="n"/>
      <c r="E30" s="354" t="n"/>
      <c r="F30" s="262" t="n"/>
      <c r="G30" s="268">
        <f>SUM(G22:G29)</f>
        <v/>
      </c>
      <c r="H30" s="261">
        <f>G30/G31</f>
        <v/>
      </c>
      <c r="I30" s="262" t="n"/>
      <c r="J30" s="268">
        <f>SUM(J22:J29)</f>
        <v/>
      </c>
    </row>
    <row r="31" ht="14.25" customFormat="1" customHeight="1" s="292">
      <c r="A31" s="353" t="n"/>
      <c r="B31" s="353" t="n"/>
      <c r="C31" s="340" t="inlineStr">
        <is>
          <t>Итого по разделу «Машины и механизмы»</t>
        </is>
      </c>
      <c r="D31" s="353" t="n"/>
      <c r="E31" s="354" t="n"/>
      <c r="F31" s="262" t="n"/>
      <c r="G31" s="262">
        <f>G30+G21</f>
        <v/>
      </c>
      <c r="H31" s="263" t="n">
        <v>1</v>
      </c>
      <c r="I31" s="264" t="n"/>
      <c r="J31" s="279">
        <f>J30+J21</f>
        <v/>
      </c>
    </row>
    <row r="32" ht="14.25" customFormat="1" customHeight="1" s="292">
      <c r="A32" s="353" t="n"/>
      <c r="B32" s="340" t="inlineStr">
        <is>
          <t>Оборудование</t>
        </is>
      </c>
      <c r="C32" s="423" t="n"/>
      <c r="D32" s="423" t="n"/>
      <c r="E32" s="423" t="n"/>
      <c r="F32" s="423" t="n"/>
      <c r="G32" s="423" t="n"/>
      <c r="H32" s="424" t="n"/>
      <c r="I32" s="266" t="n"/>
      <c r="J32" s="266" t="n"/>
    </row>
    <row r="33">
      <c r="A33" s="353" t="n"/>
      <c r="B33" s="347" t="inlineStr">
        <is>
          <t>Основное оборудование</t>
        </is>
      </c>
      <c r="C33" s="433" t="n"/>
      <c r="D33" s="433" t="n"/>
      <c r="E33" s="433" t="n"/>
      <c r="F33" s="433" t="n"/>
      <c r="G33" s="433" t="n"/>
      <c r="H33" s="434" t="n"/>
      <c r="I33" s="266" t="n"/>
      <c r="J33" s="266" t="n"/>
      <c r="K33" s="292" t="n"/>
      <c r="L33" s="292" t="n"/>
    </row>
    <row r="34" ht="395.25" customHeight="1" s="302">
      <c r="A34" s="353" t="n">
        <v>13</v>
      </c>
      <c r="B34" s="254" t="inlineStr">
        <is>
          <t>Прайс из  СД ОП</t>
        </is>
      </c>
      <c r="C34" s="352" t="inlineStr">
        <is>
          <t>Шкаф ИБ в составе: Комплект проводов для заземления универсальный
 = 1компл; Шина нулевая на EIK Din-изоляции ШНИ 6х9-8 = 1шт; CPAP-SG3104-SSD-SOC-RUS-LP SSD-based 3100 FW, VPN, ADNC, IA, IPS, local mgmt
с=2шт; CPCES-CO- COPREMIUM-ADD Premium Collaborative Enterprise Support 1 Year=2шт; CPMP-SG(3100)-R77.30-CERT4209-BASE    CPMP-SG(3100)-R77.30-CERT4209-BASE Базовый пакет сертификации Программно-аппаратный комплекс Шлюз безопасности -Check Point Security Gateway версии R77.30.Типы А и Д. Класс устройств XS Исполнение 3100
=2шт; C9200-24T-RE.    C9200 24-port data only, Network Essentials Russia ONLY=2шт; C9200-DNA-E-24-3Y.  C9200 Cisco DNA Essentials, 24-Port, 3 Year Term License=2шт; C9200-STACK KIT Cisco Catalyst 9200 Stack Module
=2шт; KL4941RAEFS Kaspersky Industrial CyberSecurity for Nodes,Workstation, Enterprise Russian Edition. 5-9 Node 1 year Base License=8шт; KL4943 RAEFS Kaspersky Industrial CyberSecurity for Nodes, Server, Enterprise Russian Edition. 5-9 Node 1  Base License
=6шт; SNS-8.x-NSD-NS SP1Y Право на использование модуля защиты от НСД и контроля устройств Средства защиты информации Secret Net Studio 8=10шт; SNS-DISC.  Установочный комплект. Secret Net Studio 8=1шт; V-VBRVUL-0I PP000-00 Veeam Backup &amp; Replication Universal Perpetual License. Includes Enterprise Plus Edition features. 1 year of Production (24/7) Support is included.=1шт; P28948-B21 HPE ProLiant DL360 Gen10 Plus 8SFF NC Configure to-order Server
=1шт; P36925-B21 Intel Xeon-Gold 5320 2.2GHz 26-core 185W Processor for HPE=1шт; P06033-B21 HPE 32GB (1x32GB) Dual Rank x4 DDR4-3200 CAS-22-22-22 Registered Smart Memory Kit
с=2шт; P26427-B21 HPE ProLiant DL360 Gen10 Plus 8SFF SAS/SATA 12G BC Backplane Kit
с = 1шт; P40503-B21 HPE 960GB SATA 6G Mixed Use SFF BC Multi Vendor SSD = 2шт; P28352-B21 HPE 2.4TB SAS 12G Mission Critical 10K SFF BC 3-year Warranty 512e Multi Vendor HDD = 2шт; P01366-B21 HPE 96W Smart Storage Lithium-ion Battery with 145mm Cable Kit
с=1шт;</t>
        </is>
      </c>
      <c r="D34" s="353" t="inlineStr">
        <is>
          <t>комплект</t>
        </is>
      </c>
      <c r="E34" s="432" t="n">
        <v>1</v>
      </c>
      <c r="F34" s="262">
        <f>ROUND(I34/'Прил. 10'!D14,2)</f>
        <v/>
      </c>
      <c r="G34" s="262">
        <f>ROUND(E34*F34,2)</f>
        <v/>
      </c>
      <c r="H34" s="261">
        <f>G34/$G$38</f>
        <v/>
      </c>
      <c r="I34" s="262" t="n">
        <v>59123827.57</v>
      </c>
      <c r="J34" s="262">
        <f>ROUND(I34*E34,2)</f>
        <v/>
      </c>
      <c r="K34" s="292" t="n"/>
      <c r="L34" s="292" t="n"/>
    </row>
    <row r="35" ht="380.25" customHeight="1" s="302">
      <c r="A35" s="353" t="n"/>
      <c r="B35" s="254" t="n"/>
      <c r="C35" s="352" t="inlineStr">
        <is>
          <t xml:space="preserve"> 804331-B21 HPE Smart Array P408i-a SR Gen10 (8 Internal Lanes/2GB Cache) 12G SAS Modular Controller
=1шт; P08449-B21 Intel I350-T4 Ethernet 1Gb 4-port BASE-T OCP3 Adapter for HPE=1шт; P26477-B21 HPE ProLiant DL36X Gen10 Plus High Performance Fan Kit
с=1шт; 865408-B21 HPE 500W Flex Slot Platinum Hot Plug Low Halogen Power Supply Kit
с=2шт; BD505A HPE iLO Advanced 1-server License with 3yr Support on iLO Licensed Features
с=1шт; P26479-B21 HPE ProLiant DL360 Gen10 Plus High Performance Heat Sink Kit
с=1шт; P26485-B21 HPE ProLiant DL300 Gen10 Plus 1U SFF Easy Install Rail Kit
с=1шт; HU4B2A3 ZSA HPE Proliant DL360 Gen10+ Support
с=1шт; P11060-B21 Microsoft Windows Server 2019 (16-Core) Standard FIO Not Pre-installed English SW = 4шт; арт. 1022816 SMC3000R2I-RS     APC Smart-UPS C 3000VA LCD RM 2U 230V Russia
с=2шт; ШТК-С-42.6.10-44 АА0. Шкаф серверный напольный 42U (600 х 1000) дверь перфорированная 2 шт
с=1шт; КП-АВ. 19" панель с DIN-рейкой PS-3U  КП-АВ = 1шт; ПЗ-19-500.200А. Панель заземления горизонтальная/вертикальная 19" 500мм/200А=1шт; КМ-2-50. Комплект монтажный №2 (винт, шайба, гайка с защелкой), упаковка 50шт=1шт; R-16-8S-V-440-1.8. Блок розеток Rem-16 с выкл.,., 8 Schuko, 16A, алюм. 19", шнур 1.8м=2шт; ГКО-4.62. Горизонтальный кабельный органайзер 19"1U, 4 кольца=1шт; СВ-75. Полка перфорированная , глубина 750мм
=2шт; mdse-47-pro. Розетка для евровилки с заземлением PDE-47 230В EKF PROxima
=2шт; Автоматический выключатель ABB SH202L 2P (С) 4,5kA 40 А 2CDS242001R0404
=2шт; Автоматический выключатель ABB SH202L (2CDS242001R0324) 2P 32А тип C 4,5 кА 400 В на DIN-рейку., карандандиум   2CDS242001R0324=2шт; NM-UTP5E4PR-CU     Кабель NewMax UTP CCA, 4 пары, Кат.5e, PVC, серый, 305 метров=305м; Коннекторы 8P8C UTP Cat.5e (RJ-45) (100шт)=1шт</t>
        </is>
      </c>
      <c r="D35" s="353" t="n"/>
      <c r="E35" s="432" t="n"/>
      <c r="F35" s="262" t="n"/>
      <c r="G35" s="262" t="n"/>
      <c r="H35" s="261" t="n"/>
      <c r="I35" s="262" t="n"/>
      <c r="J35" s="262" t="n"/>
      <c r="K35" s="292" t="n"/>
      <c r="L35" s="292" t="n"/>
    </row>
    <row r="36">
      <c r="A36" s="353" t="n"/>
      <c r="B36" s="353" t="n"/>
      <c r="C36" s="352" t="inlineStr">
        <is>
          <t>Итого основное оборудование</t>
        </is>
      </c>
      <c r="D36" s="353" t="n"/>
      <c r="E36" s="432" t="n"/>
      <c r="F36" s="355" t="n"/>
      <c r="G36" s="262">
        <f>SUM(G34:G34)</f>
        <v/>
      </c>
      <c r="H36" s="261">
        <f>G36/$G$38</f>
        <v/>
      </c>
      <c r="I36" s="268" t="n"/>
      <c r="J36" s="262">
        <f>SUM(J34:J34)</f>
        <v/>
      </c>
      <c r="K36" s="292" t="n"/>
      <c r="L36" s="292" t="n"/>
    </row>
    <row r="37">
      <c r="A37" s="353" t="n"/>
      <c r="B37" s="353" t="n"/>
      <c r="C37" s="352" t="inlineStr">
        <is>
          <t>Итого прочее оборудование</t>
        </is>
      </c>
      <c r="D37" s="353" t="n"/>
      <c r="E37" s="432" t="n"/>
      <c r="F37" s="355" t="n"/>
      <c r="G37" s="262" t="n">
        <v>0</v>
      </c>
      <c r="H37" s="261">
        <f>G37/$G$38</f>
        <v/>
      </c>
      <c r="I37" s="268" t="n"/>
      <c r="J37" s="262" t="n">
        <v>0</v>
      </c>
      <c r="K37" s="292" t="n"/>
      <c r="L37" s="292" t="n"/>
    </row>
    <row r="38">
      <c r="A38" s="353" t="n"/>
      <c r="B38" s="353" t="n"/>
      <c r="C38" s="340" t="inlineStr">
        <is>
          <t>Итого по разделу «Оборудование»</t>
        </is>
      </c>
      <c r="D38" s="353" t="n"/>
      <c r="E38" s="354" t="n"/>
      <c r="F38" s="355" t="n"/>
      <c r="G38" s="262">
        <f>G37+G36</f>
        <v/>
      </c>
      <c r="H38" s="356">
        <f>H37+H36</f>
        <v/>
      </c>
      <c r="I38" s="268" t="n"/>
      <c r="J38" s="262">
        <f>J37+J36</f>
        <v/>
      </c>
      <c r="K38" s="292" t="n"/>
      <c r="L38" s="292" t="n"/>
    </row>
    <row r="39">
      <c r="A39" s="353" t="n"/>
      <c r="B39" s="353" t="n"/>
      <c r="C39" s="352" t="inlineStr">
        <is>
          <t>в том числе технологическое оборудование</t>
        </is>
      </c>
      <c r="D39" s="353" t="n"/>
      <c r="E39" s="435" t="n"/>
      <c r="F39" s="355" t="n"/>
      <c r="G39" s="262">
        <f>G38</f>
        <v/>
      </c>
      <c r="H39" s="356" t="n"/>
      <c r="I39" s="268" t="n"/>
      <c r="J39" s="262">
        <f>J38</f>
        <v/>
      </c>
      <c r="K39" s="292" t="n"/>
      <c r="L39" s="292" t="n"/>
    </row>
    <row r="40" ht="14.25" customFormat="1" customHeight="1" s="292">
      <c r="A40" s="353" t="n"/>
      <c r="B40" s="340" t="inlineStr">
        <is>
          <t>Материалы</t>
        </is>
      </c>
      <c r="C40" s="423" t="n"/>
      <c r="D40" s="423" t="n"/>
      <c r="E40" s="423" t="n"/>
      <c r="F40" s="423" t="n"/>
      <c r="G40" s="423" t="n"/>
      <c r="H40" s="424" t="n"/>
      <c r="I40" s="266" t="n"/>
      <c r="J40" s="266" t="n"/>
    </row>
    <row r="41" ht="14.25" customFormat="1" customHeight="1" s="292">
      <c r="A41" s="353" t="n"/>
      <c r="B41" s="347" t="inlineStr">
        <is>
          <t>Основные материалы</t>
        </is>
      </c>
      <c r="C41" s="433" t="n"/>
      <c r="D41" s="433" t="n"/>
      <c r="E41" s="433" t="n"/>
      <c r="F41" s="433" t="n"/>
      <c r="G41" s="433" t="n"/>
      <c r="H41" s="434" t="n"/>
      <c r="I41" s="272" t="n"/>
      <c r="J41" s="272" t="n"/>
    </row>
    <row r="42" ht="62.25" customFormat="1" customHeight="1" s="292">
      <c r="A42" s="353" t="n">
        <v>14</v>
      </c>
      <c r="B42" s="254" t="inlineStr">
        <is>
          <t>Прайс из СД ОП</t>
        </is>
      </c>
      <c r="C42" s="352" t="inlineStr">
        <is>
          <t>10m (33ft) LC UPC - LC UPC оптический патч-корд Duplex OM4 MM PVC (OFNR) 2.0mm</t>
        </is>
      </c>
      <c r="D42" s="353" t="inlineStr">
        <is>
          <t>шт</t>
        </is>
      </c>
      <c r="E42" s="432" t="n">
        <v>32</v>
      </c>
      <c r="F42" s="355" t="n">
        <v>4820.25</v>
      </c>
      <c r="G42" s="262">
        <f>ROUND(E42*F42,2)</f>
        <v/>
      </c>
      <c r="H42" s="261">
        <f>G42/$G$80</f>
        <v/>
      </c>
      <c r="I42" s="262">
        <f>ROUND(F42*'Прил. 10'!$D$13,2)</f>
        <v/>
      </c>
      <c r="J42" s="262">
        <f>ROUND(I42*E42,2)</f>
        <v/>
      </c>
    </row>
    <row r="43" ht="14.25" customFormat="1" customHeight="1" s="292">
      <c r="A43" s="353" t="n"/>
      <c r="B43" s="275" t="n"/>
      <c r="C43" s="276" t="inlineStr">
        <is>
          <t>Итого основные материалы</t>
        </is>
      </c>
      <c r="D43" s="370" t="n"/>
      <c r="E43" s="432" t="n"/>
      <c r="F43" s="279" t="n"/>
      <c r="G43" s="279">
        <f>SUM(G42:G42)</f>
        <v/>
      </c>
      <c r="H43" s="261">
        <f>G43/$G$80</f>
        <v/>
      </c>
      <c r="I43" s="262" t="n"/>
      <c r="J43" s="279">
        <f>SUM(J42:J42)</f>
        <v/>
      </c>
    </row>
    <row r="44" hidden="1" outlineLevel="1" ht="14.25" customFormat="1" customHeight="1" s="292">
      <c r="A44" s="353" t="n">
        <v>15</v>
      </c>
      <c r="B44" s="254" t="inlineStr">
        <is>
          <t>20.1.02.07-0001</t>
        </is>
      </c>
      <c r="C44" s="352" t="inlineStr">
        <is>
          <t>Наконечник изолированный алюминиевый с медной клеммой (СИП): CPTAU 16</t>
        </is>
      </c>
      <c r="D44" s="353" t="inlineStr">
        <is>
          <t>шт</t>
        </is>
      </c>
      <c r="E44" s="432" t="n">
        <v>0.78</v>
      </c>
      <c r="F44" s="355" t="n">
        <v>6836</v>
      </c>
      <c r="G44" s="262">
        <f>ROUND(E44*F44,2)</f>
        <v/>
      </c>
      <c r="H44" s="261">
        <f>G44/$G$80</f>
        <v/>
      </c>
      <c r="I44" s="262">
        <f>ROUND(F44*'Прил. 10'!$D$13,2)</f>
        <v/>
      </c>
      <c r="J44" s="262">
        <f>ROUND(I44*E44,2)</f>
        <v/>
      </c>
    </row>
    <row r="45" hidden="1" outlineLevel="1" ht="14.25" customFormat="1" customHeight="1" s="292">
      <c r="A45" s="353" t="n">
        <v>16</v>
      </c>
      <c r="B45" s="254" t="inlineStr">
        <is>
          <t>21.1.06.03-0023</t>
        </is>
      </c>
      <c r="C45" s="352" t="inlineStr">
        <is>
          <t>Кабель малогабаритный КМПВЭВнг(А)-LS 2x2,5-1000</t>
        </is>
      </c>
      <c r="D45" s="353" t="inlineStr">
        <is>
          <t>1000 м</t>
        </is>
      </c>
      <c r="E45" s="432" t="n">
        <v>0.051</v>
      </c>
      <c r="F45" s="355" t="n">
        <v>50117.45</v>
      </c>
      <c r="G45" s="262">
        <f>ROUND(E45*F45,2)</f>
        <v/>
      </c>
      <c r="H45" s="261">
        <f>G45/$G$80</f>
        <v/>
      </c>
      <c r="I45" s="262">
        <f>ROUND(F45*'Прил. 10'!$D$13,2)</f>
        <v/>
      </c>
      <c r="J45" s="262">
        <f>ROUND(I45*E45,2)</f>
        <v/>
      </c>
    </row>
    <row r="46" hidden="1" outlineLevel="1" ht="14.25" customFormat="1" customHeight="1" s="292">
      <c r="A46" s="353" t="n">
        <v>17</v>
      </c>
      <c r="B46" s="254" t="inlineStr">
        <is>
          <t>21.2.03.05-0068</t>
        </is>
      </c>
      <c r="C46" s="352" t="inlineStr">
        <is>
          <t>Провод силовой установочный с медными жилами ПуГВ 1х4-450</t>
        </is>
      </c>
      <c r="D46" s="353" t="inlineStr">
        <is>
          <t>1000 м</t>
        </is>
      </c>
      <c r="E46" s="432" t="n">
        <v>0.08160000000000001</v>
      </c>
      <c r="F46" s="355" t="n">
        <v>3368.45</v>
      </c>
      <c r="G46" s="262">
        <f>ROUND(E46*F46,2)</f>
        <v/>
      </c>
      <c r="H46" s="261">
        <f>G46/$G$80</f>
        <v/>
      </c>
      <c r="I46" s="262">
        <f>ROUND(F46*'Прил. 10'!$D$13,2)</f>
        <v/>
      </c>
      <c r="J46" s="262">
        <f>ROUND(I46*E46,2)</f>
        <v/>
      </c>
    </row>
    <row r="47" hidden="1" outlineLevel="1" ht="25.5" customFormat="1" customHeight="1" s="292">
      <c r="A47" s="353" t="n">
        <v>18</v>
      </c>
      <c r="B47" s="254" t="inlineStr">
        <is>
          <t>24.3.01.02-0014</t>
        </is>
      </c>
      <c r="C47" s="352" t="inlineStr">
        <is>
          <t>Трубы гибкие гофрированные легкие из самозатухающего ПВХ (IP55) серии FL, диаметром: 32 мм</t>
        </is>
      </c>
      <c r="D47" s="353" t="inlineStr">
        <is>
          <t>10 м</t>
        </is>
      </c>
      <c r="E47" s="432" t="n">
        <v>5</v>
      </c>
      <c r="F47" s="355" t="n">
        <v>53.03</v>
      </c>
      <c r="G47" s="262">
        <f>ROUND(E47*F47,2)</f>
        <v/>
      </c>
      <c r="H47" s="261">
        <f>G47/$G$80</f>
        <v/>
      </c>
      <c r="I47" s="262">
        <f>ROUND(F47*'Прил. 10'!$D$13,2)</f>
        <v/>
      </c>
      <c r="J47" s="262">
        <f>ROUND(I47*E47,2)</f>
        <v/>
      </c>
    </row>
    <row r="48" hidden="1" outlineLevel="1" ht="14.25" customFormat="1" customHeight="1" s="292">
      <c r="A48" s="353" t="n">
        <v>19</v>
      </c>
      <c r="B48" s="254" t="inlineStr">
        <is>
          <t>01.7.15.07-0014</t>
        </is>
      </c>
      <c r="C48" s="352" t="inlineStr">
        <is>
          <t>Дюбели распорные полипропиленовые</t>
        </is>
      </c>
      <c r="D48" s="353" t="inlineStr">
        <is>
          <t>100 шт</t>
        </is>
      </c>
      <c r="E48" s="432" t="n">
        <v>1.6925</v>
      </c>
      <c r="F48" s="355" t="n">
        <v>86</v>
      </c>
      <c r="G48" s="262">
        <f>ROUND(E48*F48,2)</f>
        <v/>
      </c>
      <c r="H48" s="261">
        <f>G48/$G$80</f>
        <v/>
      </c>
      <c r="I48" s="262">
        <f>ROUND(F48*'Прил. 10'!$D$13,2)</f>
        <v/>
      </c>
      <c r="J48" s="262">
        <f>ROUND(I48*E48,2)</f>
        <v/>
      </c>
    </row>
    <row r="49" hidden="1" outlineLevel="1" ht="14.25" customFormat="1" customHeight="1" s="292">
      <c r="A49" s="353" t="n">
        <v>20</v>
      </c>
      <c r="B49" s="254" t="inlineStr">
        <is>
          <t>07.2.07.04-0007</t>
        </is>
      </c>
      <c r="C49" s="352" t="inlineStr">
        <is>
          <t>Конструкции стальные индивидуальные решетчатые сварные, масса до 0,1 т</t>
        </is>
      </c>
      <c r="D49" s="353" t="inlineStr">
        <is>
          <t>т</t>
        </is>
      </c>
      <c r="E49" s="432" t="n">
        <v>0.012</v>
      </c>
      <c r="F49" s="355" t="n">
        <v>11500</v>
      </c>
      <c r="G49" s="262">
        <f>ROUND(E49*F49,2)</f>
        <v/>
      </c>
      <c r="H49" s="261">
        <f>G49/$G$80</f>
        <v/>
      </c>
      <c r="I49" s="262">
        <f>ROUND(F49*'Прил. 10'!$D$13,2)</f>
        <v/>
      </c>
      <c r="J49" s="262">
        <f>ROUND(I49*E49,2)</f>
        <v/>
      </c>
    </row>
    <row r="50" hidden="1" outlineLevel="1" ht="25.5" customFormat="1" customHeight="1" s="292">
      <c r="A50" s="353" t="n">
        <v>21</v>
      </c>
      <c r="B50" s="254" t="inlineStr">
        <is>
          <t>14.4.02.04-0221</t>
        </is>
      </c>
      <c r="C50" s="352" t="inlineStr">
        <is>
          <t>Краска масляная готовая к применению для наружных и внутренних работ МА-15, белила цинковые</t>
        </is>
      </c>
      <c r="D50" s="353" t="inlineStr">
        <is>
          <t>т</t>
        </is>
      </c>
      <c r="E50" s="432" t="n">
        <v>0.00427</v>
      </c>
      <c r="F50" s="355" t="n">
        <v>26932.42</v>
      </c>
      <c r="G50" s="262">
        <f>ROUND(E50*F50,2)</f>
        <v/>
      </c>
      <c r="H50" s="261">
        <f>G50/$G$80</f>
        <v/>
      </c>
      <c r="I50" s="262">
        <f>ROUND(F50*'Прил. 10'!$D$13,2)</f>
        <v/>
      </c>
      <c r="J50" s="262">
        <f>ROUND(I50*E50,2)</f>
        <v/>
      </c>
    </row>
    <row r="51" hidden="1" outlineLevel="1" ht="14.25" customFormat="1" customHeight="1" s="292">
      <c r="A51" s="353" t="n">
        <v>22</v>
      </c>
      <c r="B51" s="254" t="inlineStr">
        <is>
          <t>999-9950</t>
        </is>
      </c>
      <c r="C51" s="352" t="inlineStr">
        <is>
          <t>Вспомогательные ненормируемые ресурсы (2% от Оплаты труда рабочих)</t>
        </is>
      </c>
      <c r="D51" s="353" t="inlineStr">
        <is>
          <t>руб</t>
        </is>
      </c>
      <c r="E51" s="432" t="n">
        <v>102.70135</v>
      </c>
      <c r="F51" s="355" t="n">
        <v>1</v>
      </c>
      <c r="G51" s="262">
        <f>ROUND(E51*F51,2)</f>
        <v/>
      </c>
      <c r="H51" s="261">
        <f>G51/$G$80</f>
        <v/>
      </c>
      <c r="I51" s="262">
        <f>ROUND(F51*'Прил. 10'!$D$13,2)</f>
        <v/>
      </c>
      <c r="J51" s="262">
        <f>ROUND(I51*E51,2)</f>
        <v/>
      </c>
    </row>
    <row r="52" hidden="1" outlineLevel="1" ht="14.25" customFormat="1" customHeight="1" s="292">
      <c r="A52" s="353" t="n">
        <v>23</v>
      </c>
      <c r="B52" s="254" t="inlineStr">
        <is>
          <t>01.7.15.14-0168</t>
        </is>
      </c>
      <c r="C52" s="352" t="inlineStr">
        <is>
          <t>Шурупы с полукруглой головкой 5х70 мм</t>
        </is>
      </c>
      <c r="D52" s="353" t="inlineStr">
        <is>
          <t>т</t>
        </is>
      </c>
      <c r="E52" s="432" t="n">
        <v>0.0061</v>
      </c>
      <c r="F52" s="355" t="n">
        <v>12430</v>
      </c>
      <c r="G52" s="262">
        <f>ROUND(E52*F52,2)</f>
        <v/>
      </c>
      <c r="H52" s="261">
        <f>G52/$G$80</f>
        <v/>
      </c>
      <c r="I52" s="262">
        <f>ROUND(F52*'Прил. 10'!$D$13,2)</f>
        <v/>
      </c>
      <c r="J52" s="262">
        <f>ROUND(I52*E52,2)</f>
        <v/>
      </c>
    </row>
    <row r="53" hidden="1" outlineLevel="1" ht="14.25" customFormat="1" customHeight="1" s="292">
      <c r="A53" s="353" t="n">
        <v>24</v>
      </c>
      <c r="B53" s="254" t="inlineStr">
        <is>
          <t>20.1.02.18-0002</t>
        </is>
      </c>
      <c r="C53" s="352" t="inlineStr">
        <is>
          <t>Стяжка нейлоновая PER15 длиной 300 мм под винт</t>
        </is>
      </c>
      <c r="D53" s="353" t="inlineStr">
        <is>
          <t>100 шт</t>
        </is>
      </c>
      <c r="E53" s="432" t="n">
        <v>1</v>
      </c>
      <c r="F53" s="355" t="n">
        <v>61.6</v>
      </c>
      <c r="G53" s="262">
        <f>ROUND(E53*F53,2)</f>
        <v/>
      </c>
      <c r="H53" s="261">
        <f>G53/$G$80</f>
        <v/>
      </c>
      <c r="I53" s="262">
        <f>ROUND(F53*'Прил. 10'!$D$13,2)</f>
        <v/>
      </c>
      <c r="J53" s="262">
        <f>ROUND(I53*E53,2)</f>
        <v/>
      </c>
    </row>
    <row r="54" hidden="1" outlineLevel="1" ht="14.25" customFormat="1" customHeight="1" s="292">
      <c r="A54" s="353" t="n">
        <v>25</v>
      </c>
      <c r="B54" s="254" t="inlineStr">
        <is>
          <t>03.1.01.01-0002</t>
        </is>
      </c>
      <c r="C54" s="352" t="inlineStr">
        <is>
          <t>Гипс строительный Г-3</t>
        </is>
      </c>
      <c r="D54" s="353" t="inlineStr">
        <is>
          <t>т</t>
        </is>
      </c>
      <c r="E54" s="432" t="n">
        <v>0.030646</v>
      </c>
      <c r="F54" s="355" t="n">
        <v>729.98</v>
      </c>
      <c r="G54" s="262">
        <f>ROUND(E54*F54,2)</f>
        <v/>
      </c>
      <c r="H54" s="261">
        <f>G54/$G$80</f>
        <v/>
      </c>
      <c r="I54" s="262">
        <f>ROUND(F54*'Прил. 10'!$D$13,2)</f>
        <v/>
      </c>
      <c r="J54" s="262">
        <f>ROUND(I54*E54,2)</f>
        <v/>
      </c>
    </row>
    <row r="55" hidden="1" outlineLevel="1" ht="25.5" customFormat="1" customHeight="1" s="292">
      <c r="A55" s="353" t="n">
        <v>26</v>
      </c>
      <c r="B55" s="254" t="inlineStr">
        <is>
          <t>01.7.06.05-0041</t>
        </is>
      </c>
      <c r="C55" s="352" t="inlineStr">
        <is>
          <t>Лента изоляционная прорезиненная односторонняя, ширина 20 мм, толщина 0,25-0,35 мм</t>
        </is>
      </c>
      <c r="D55" s="353" t="inlineStr">
        <is>
          <t>кг</t>
        </is>
      </c>
      <c r="E55" s="432" t="n">
        <v>0.6488</v>
      </c>
      <c r="F55" s="355" t="n">
        <v>30.4</v>
      </c>
      <c r="G55" s="262">
        <f>ROUND(E55*F55,2)</f>
        <v/>
      </c>
      <c r="H55" s="261">
        <f>G55/$G$80</f>
        <v/>
      </c>
      <c r="I55" s="262">
        <f>ROUND(F55*'Прил. 10'!$D$13,2)</f>
        <v/>
      </c>
      <c r="J55" s="262">
        <f>ROUND(I55*E55,2)</f>
        <v/>
      </c>
    </row>
    <row r="56" hidden="1" outlineLevel="1" ht="14.25" customFormat="1" customHeight="1" s="292">
      <c r="A56" s="353" t="n">
        <v>27</v>
      </c>
      <c r="B56" s="254" t="inlineStr">
        <is>
          <t>01.7.15.03-0042</t>
        </is>
      </c>
      <c r="C56" s="352" t="inlineStr">
        <is>
          <t>Болты с гайками и шайбами строительные</t>
        </is>
      </c>
      <c r="D56" s="353" t="inlineStr">
        <is>
          <t>кг</t>
        </is>
      </c>
      <c r="E56" s="432" t="n">
        <v>1.99875</v>
      </c>
      <c r="F56" s="355" t="n">
        <v>9.039999999999999</v>
      </c>
      <c r="G56" s="262">
        <f>ROUND(E56*F56,2)</f>
        <v/>
      </c>
      <c r="H56" s="261">
        <f>G56/$G$80</f>
        <v/>
      </c>
      <c r="I56" s="262">
        <f>ROUND(F56*'Прил. 10'!$D$13,2)</f>
        <v/>
      </c>
      <c r="J56" s="262">
        <f>ROUND(I56*E56,2)</f>
        <v/>
      </c>
    </row>
    <row r="57" hidden="1" outlineLevel="1" ht="14.25" customFormat="1" customHeight="1" s="292">
      <c r="A57" s="353" t="n">
        <v>28</v>
      </c>
      <c r="B57" s="254" t="inlineStr">
        <is>
          <t>20.1.02.23-0082</t>
        </is>
      </c>
      <c r="C57" s="352" t="inlineStr">
        <is>
          <t>Перемычки гибкие, тип ПГС-50</t>
        </is>
      </c>
      <c r="D57" s="353" t="inlineStr">
        <is>
          <t>10 шт</t>
        </is>
      </c>
      <c r="E57" s="432" t="n">
        <v>0.4</v>
      </c>
      <c r="F57" s="355" t="n">
        <v>39</v>
      </c>
      <c r="G57" s="262">
        <f>ROUND(E57*F57,2)</f>
        <v/>
      </c>
      <c r="H57" s="261">
        <f>G57/$G$80</f>
        <v/>
      </c>
      <c r="I57" s="262">
        <f>ROUND(F57*'Прил. 10'!$D$13,2)</f>
        <v/>
      </c>
      <c r="J57" s="262">
        <f>ROUND(I57*E57,2)</f>
        <v/>
      </c>
    </row>
    <row r="58" hidden="1" outlineLevel="1" ht="14.25" customFormat="1" customHeight="1" s="292">
      <c r="A58" s="353" t="n">
        <v>29</v>
      </c>
      <c r="B58" s="254" t="inlineStr">
        <is>
          <t>14.4.02.09-0001</t>
        </is>
      </c>
      <c r="C58" s="352" t="inlineStr">
        <is>
          <t>Краска</t>
        </is>
      </c>
      <c r="D58" s="353" t="inlineStr">
        <is>
          <t>кг</t>
        </is>
      </c>
      <c r="E58" s="432" t="n">
        <v>0.4065</v>
      </c>
      <c r="F58" s="355" t="n">
        <v>28.6</v>
      </c>
      <c r="G58" s="262">
        <f>ROUND(E58*F58,2)</f>
        <v/>
      </c>
      <c r="H58" s="261">
        <f>G58/$G$80</f>
        <v/>
      </c>
      <c r="I58" s="262">
        <f>ROUND(F58*'Прил. 10'!$D$13,2)</f>
        <v/>
      </c>
      <c r="J58" s="262">
        <f>ROUND(I58*E58,2)</f>
        <v/>
      </c>
    </row>
    <row r="59" hidden="1" outlineLevel="1" ht="14.25" customFormat="1" customHeight="1" s="292">
      <c r="A59" s="353" t="n">
        <v>30</v>
      </c>
      <c r="B59" s="254" t="inlineStr">
        <is>
          <t>01.7.06.07-0002</t>
        </is>
      </c>
      <c r="C59" s="352" t="inlineStr">
        <is>
          <t>Лента монтажная, тип ЛМ-5</t>
        </is>
      </c>
      <c r="D59" s="353" t="inlineStr">
        <is>
          <t>10 м</t>
        </is>
      </c>
      <c r="E59" s="432" t="n">
        <v>1.6475</v>
      </c>
      <c r="F59" s="355" t="n">
        <v>6.9</v>
      </c>
      <c r="G59" s="262">
        <f>ROUND(E59*F59,2)</f>
        <v/>
      </c>
      <c r="H59" s="261">
        <f>G59/$G$80</f>
        <v/>
      </c>
      <c r="I59" s="262">
        <f>ROUND(F59*'Прил. 10'!$D$13,2)</f>
        <v/>
      </c>
      <c r="J59" s="262">
        <f>ROUND(I59*E59,2)</f>
        <v/>
      </c>
    </row>
    <row r="60" hidden="1" outlineLevel="1" ht="14.25" customFormat="1" customHeight="1" s="292">
      <c r="A60" s="353" t="n">
        <v>31</v>
      </c>
      <c r="B60" s="254" t="inlineStr">
        <is>
          <t>23.8.03.02-0003</t>
        </is>
      </c>
      <c r="C60" s="352" t="inlineStr">
        <is>
          <t>Клипса для крепежа гофротрубы, номинальный диаметр 32 мм</t>
        </is>
      </c>
      <c r="D60" s="353" t="inlineStr">
        <is>
          <t>10 шт</t>
        </is>
      </c>
      <c r="E60" s="432" t="n">
        <v>2</v>
      </c>
      <c r="F60" s="355" t="n">
        <v>4.3</v>
      </c>
      <c r="G60" s="262">
        <f>ROUND(E60*F60,2)</f>
        <v/>
      </c>
      <c r="H60" s="261">
        <f>G60/$G$80</f>
        <v/>
      </c>
      <c r="I60" s="262">
        <f>ROUND(F60*'Прил. 10'!$D$13,2)</f>
        <v/>
      </c>
      <c r="J60" s="262">
        <f>ROUND(I60*E60,2)</f>
        <v/>
      </c>
    </row>
    <row r="61" hidden="1" outlineLevel="1" ht="14.25" customFormat="1" customHeight="1" s="292">
      <c r="A61" s="353" t="n">
        <v>32</v>
      </c>
      <c r="B61" s="254" t="inlineStr">
        <is>
          <t>10.3.02.03-0011</t>
        </is>
      </c>
      <c r="C61" s="352" t="inlineStr">
        <is>
          <t>Припои оловянно-свинцовые бессурьмянистые, марка ПОС30</t>
        </is>
      </c>
      <c r="D61" s="353" t="inlineStr">
        <is>
          <t>т</t>
        </is>
      </c>
      <c r="E61" s="432" t="n">
        <v>0.000125</v>
      </c>
      <c r="F61" s="355" t="n">
        <v>68050</v>
      </c>
      <c r="G61" s="262">
        <f>ROUND(E61*F61,2)</f>
        <v/>
      </c>
      <c r="H61" s="261">
        <f>G61/$G$80</f>
        <v/>
      </c>
      <c r="I61" s="262">
        <f>ROUND(F61*'Прил. 10'!$D$13,2)</f>
        <v/>
      </c>
      <c r="J61" s="262">
        <f>ROUND(I61*E61,2)</f>
        <v/>
      </c>
    </row>
    <row r="62" hidden="1" outlineLevel="1" ht="14.25" customFormat="1" customHeight="1" s="292">
      <c r="A62" s="353" t="n">
        <v>33</v>
      </c>
      <c r="B62" s="254" t="inlineStr">
        <is>
          <t>01.7.15.07-0152</t>
        </is>
      </c>
      <c r="C62" s="352" t="inlineStr">
        <is>
          <t>Дюбели с шурупом, размер 6х35 мм</t>
        </is>
      </c>
      <c r="D62" s="353" t="inlineStr">
        <is>
          <t>100 шт</t>
        </is>
      </c>
      <c r="E62" s="432" t="n">
        <v>0.875</v>
      </c>
      <c r="F62" s="355" t="n">
        <v>8</v>
      </c>
      <c r="G62" s="262">
        <f>ROUND(E62*F62,2)</f>
        <v/>
      </c>
      <c r="H62" s="261">
        <f>G62/$G$80</f>
        <v/>
      </c>
      <c r="I62" s="262">
        <f>ROUND(F62*'Прил. 10'!$D$13,2)</f>
        <v/>
      </c>
      <c r="J62" s="262">
        <f>ROUND(I62*E62,2)</f>
        <v/>
      </c>
    </row>
    <row r="63" hidden="1" outlineLevel="1" ht="14.25" customFormat="1" customHeight="1" s="292">
      <c r="A63" s="353" t="n">
        <v>34</v>
      </c>
      <c r="B63" s="254" t="inlineStr">
        <is>
          <t>01.7.11.07-0034</t>
        </is>
      </c>
      <c r="C63" s="352" t="inlineStr">
        <is>
          <t>Электроды сварочные Э42А, диаметр 4 мм</t>
        </is>
      </c>
      <c r="D63" s="353" t="inlineStr">
        <is>
          <t>кг</t>
        </is>
      </c>
      <c r="E63" s="432" t="n">
        <v>0.5621</v>
      </c>
      <c r="F63" s="355" t="n">
        <v>10.57</v>
      </c>
      <c r="G63" s="262">
        <f>ROUND(E63*F63,2)</f>
        <v/>
      </c>
      <c r="H63" s="261">
        <f>G63/$G$80</f>
        <v/>
      </c>
      <c r="I63" s="262">
        <f>ROUND(F63*'Прил. 10'!$D$13,2)</f>
        <v/>
      </c>
      <c r="J63" s="262">
        <f>ROUND(I63*E63,2)</f>
        <v/>
      </c>
    </row>
    <row r="64" hidden="1" outlineLevel="1" ht="14.25" customFormat="1" customHeight="1" s="292">
      <c r="A64" s="353" t="n">
        <v>35</v>
      </c>
      <c r="B64" s="254" t="inlineStr">
        <is>
          <t>20.1.02.14-0001</t>
        </is>
      </c>
      <c r="C64" s="352" t="inlineStr">
        <is>
          <t>Серьга</t>
        </is>
      </c>
      <c r="D64" s="353" t="inlineStr">
        <is>
          <t>шт</t>
        </is>
      </c>
      <c r="E64" s="432" t="n">
        <v>0.45</v>
      </c>
      <c r="F64" s="355" t="n">
        <v>10.54</v>
      </c>
      <c r="G64" s="262">
        <f>ROUND(E64*F64,2)</f>
        <v/>
      </c>
      <c r="H64" s="261">
        <f>G64/$G$80</f>
        <v/>
      </c>
      <c r="I64" s="262">
        <f>ROUND(F64*'Прил. 10'!$D$13,2)</f>
        <v/>
      </c>
      <c r="J64" s="262">
        <f>ROUND(I64*E64,2)</f>
        <v/>
      </c>
    </row>
    <row r="65" hidden="1" outlineLevel="1" ht="14.25" customFormat="1" customHeight="1" s="292">
      <c r="A65" s="353" t="n">
        <v>36</v>
      </c>
      <c r="B65" s="254" t="inlineStr">
        <is>
          <t>01.7.15.14-0165</t>
        </is>
      </c>
      <c r="C65" s="352" t="inlineStr">
        <is>
          <t>Шурупы с полукруглой головкой 4х40 мм</t>
        </is>
      </c>
      <c r="D65" s="353" t="inlineStr">
        <is>
          <t>т</t>
        </is>
      </c>
      <c r="E65" s="432" t="n">
        <v>0.00031</v>
      </c>
      <c r="F65" s="355" t="n">
        <v>12430</v>
      </c>
      <c r="G65" s="262">
        <f>ROUND(E65*F65,2)</f>
        <v/>
      </c>
      <c r="H65" s="261">
        <f>G65/$G$80</f>
        <v/>
      </c>
      <c r="I65" s="262">
        <f>ROUND(F65*'Прил. 10'!$D$13,2)</f>
        <v/>
      </c>
      <c r="J65" s="262">
        <f>ROUND(I65*E65,2)</f>
        <v/>
      </c>
    </row>
    <row r="66" hidden="1" outlineLevel="1" ht="25.5" customFormat="1" customHeight="1" s="292">
      <c r="A66" s="353" t="n">
        <v>37</v>
      </c>
      <c r="B66" s="254" t="inlineStr">
        <is>
          <t>01.7.15.14-0043</t>
        </is>
      </c>
      <c r="C66" s="352" t="inlineStr">
        <is>
          <t>Шурупы самонарезающий прокалывающий, для крепления металлических профилей или листовых деталей 3,5/11 мм</t>
        </is>
      </c>
      <c r="D66" s="353" t="inlineStr">
        <is>
          <t>100 шт</t>
        </is>
      </c>
      <c r="E66" s="432" t="n">
        <v>1.632</v>
      </c>
      <c r="F66" s="355" t="n">
        <v>2</v>
      </c>
      <c r="G66" s="262">
        <f>ROUND(E66*F66,2)</f>
        <v/>
      </c>
      <c r="H66" s="261">
        <f>G66/$G$80</f>
        <v/>
      </c>
      <c r="I66" s="262">
        <f>ROUND(F66*'Прил. 10'!$D$13,2)</f>
        <v/>
      </c>
      <c r="J66" s="262">
        <f>ROUND(I66*E66,2)</f>
        <v/>
      </c>
    </row>
    <row r="67" hidden="1" outlineLevel="1" ht="14.25" customFormat="1" customHeight="1" s="292">
      <c r="A67" s="353" t="n">
        <v>38</v>
      </c>
      <c r="B67" s="254" t="inlineStr">
        <is>
          <t>14.4.03.03-0002</t>
        </is>
      </c>
      <c r="C67" s="352" t="inlineStr">
        <is>
          <t>Лак битумный БТ-123</t>
        </is>
      </c>
      <c r="D67" s="353" t="inlineStr">
        <is>
          <t>т</t>
        </is>
      </c>
      <c r="E67" s="432" t="n">
        <v>0.00036</v>
      </c>
      <c r="F67" s="355" t="n">
        <v>7826.9</v>
      </c>
      <c r="G67" s="262">
        <f>ROUND(E67*F67,2)</f>
        <v/>
      </c>
      <c r="H67" s="261">
        <f>G67/$G$80</f>
        <v/>
      </c>
      <c r="I67" s="262">
        <f>ROUND(F67*'Прил. 10'!$D$13,2)</f>
        <v/>
      </c>
      <c r="J67" s="262">
        <f>ROUND(I67*E67,2)</f>
        <v/>
      </c>
    </row>
    <row r="68" hidden="1" outlineLevel="1" ht="14.25" customFormat="1" customHeight="1" s="292">
      <c r="A68" s="353" t="n">
        <v>39</v>
      </c>
      <c r="B68" s="254" t="inlineStr">
        <is>
          <t>01.7.15.07-0012</t>
        </is>
      </c>
      <c r="C68" s="352" t="inlineStr">
        <is>
          <t>Дюбели пластмассовые с шурупами, размер 12х70 мм</t>
        </is>
      </c>
      <c r="D68" s="353" t="inlineStr">
        <is>
          <t>100 шт</t>
        </is>
      </c>
      <c r="E68" s="432" t="n">
        <v>0.03</v>
      </c>
      <c r="F68" s="355" t="n">
        <v>83</v>
      </c>
      <c r="G68" s="262">
        <f>ROUND(E68*F68,2)</f>
        <v/>
      </c>
      <c r="H68" s="261">
        <f>G68/$G$80</f>
        <v/>
      </c>
      <c r="I68" s="262">
        <f>ROUND(F68*'Прил. 10'!$D$13,2)</f>
        <v/>
      </c>
      <c r="J68" s="262">
        <f>ROUND(I68*E68,2)</f>
        <v/>
      </c>
    </row>
    <row r="69" hidden="1" outlineLevel="1" ht="14.25" customFormat="1" customHeight="1" s="292">
      <c r="A69" s="353" t="n">
        <v>40</v>
      </c>
      <c r="B69" s="254" t="inlineStr">
        <is>
          <t>14.4.03.17-0011</t>
        </is>
      </c>
      <c r="C69" s="352" t="inlineStr">
        <is>
          <t>Лак электроизоляционный 318</t>
        </is>
      </c>
      <c r="D69" s="353" t="inlineStr">
        <is>
          <t>кг</t>
        </is>
      </c>
      <c r="E69" s="432" t="n">
        <v>0.056</v>
      </c>
      <c r="F69" s="355" t="n">
        <v>35.63</v>
      </c>
      <c r="G69" s="262">
        <f>ROUND(E69*F69,2)</f>
        <v/>
      </c>
      <c r="H69" s="261">
        <f>G69/$G$80</f>
        <v/>
      </c>
      <c r="I69" s="262">
        <f>ROUND(F69*'Прил. 10'!$D$13,2)</f>
        <v/>
      </c>
      <c r="J69" s="262">
        <f>ROUND(I69*E69,2)</f>
        <v/>
      </c>
    </row>
    <row r="70" hidden="1" outlineLevel="1" ht="14.25" customFormat="1" customHeight="1" s="292">
      <c r="A70" s="353" t="n">
        <v>41</v>
      </c>
      <c r="B70" s="254" t="inlineStr">
        <is>
          <t>01.3.01.02-0002</t>
        </is>
      </c>
      <c r="C70" s="352" t="inlineStr">
        <is>
          <t>Вазелин технический</t>
        </is>
      </c>
      <c r="D70" s="353" t="inlineStr">
        <is>
          <t>кг</t>
        </is>
      </c>
      <c r="E70" s="432" t="n">
        <v>0.036</v>
      </c>
      <c r="F70" s="355" t="n">
        <v>44.97</v>
      </c>
      <c r="G70" s="262">
        <f>ROUND(E70*F70,2)</f>
        <v/>
      </c>
      <c r="H70" s="261">
        <f>G70/$G$80</f>
        <v/>
      </c>
      <c r="I70" s="262">
        <f>ROUND(F70*'Прил. 10'!$D$13,2)</f>
        <v/>
      </c>
      <c r="J70" s="262">
        <f>ROUND(I70*E70,2)</f>
        <v/>
      </c>
    </row>
    <row r="71" hidden="1" outlineLevel="1" ht="25.5" customFormat="1" customHeight="1" s="292">
      <c r="A71" s="353" t="n">
        <v>42</v>
      </c>
      <c r="B71" s="254" t="inlineStr">
        <is>
          <t>08.3.07.01-0076</t>
        </is>
      </c>
      <c r="C71" s="352" t="inlineStr">
        <is>
          <t>Прокат полосовой, горячекатаный, марка стали Ст3сп, ширина 50-200 мм, толщина 4-5 мм</t>
        </is>
      </c>
      <c r="D71" s="353" t="inlineStr">
        <is>
          <t>т</t>
        </is>
      </c>
      <c r="E71" s="432" t="n">
        <v>0.0003</v>
      </c>
      <c r="F71" s="355" t="n">
        <v>5000</v>
      </c>
      <c r="G71" s="262">
        <f>ROUND(E71*F71,2)</f>
        <v/>
      </c>
      <c r="H71" s="261">
        <f>G71/$G$80</f>
        <v/>
      </c>
      <c r="I71" s="262">
        <f>ROUND(F71*'Прил. 10'!$D$13,2)</f>
        <v/>
      </c>
      <c r="J71" s="262">
        <f>ROUND(I71*E71,2)</f>
        <v/>
      </c>
    </row>
    <row r="72" hidden="1" outlineLevel="1" ht="14.25" customFormat="1" customHeight="1" s="292">
      <c r="A72" s="353" t="n">
        <v>43</v>
      </c>
      <c r="B72" s="254" t="inlineStr">
        <is>
          <t>10.3.02.03-0012</t>
        </is>
      </c>
      <c r="C72" s="352" t="inlineStr">
        <is>
          <t>Припои оловянно-свинцовые бессурьмянистые, марка ПОС40</t>
        </is>
      </c>
      <c r="D72" s="353" t="inlineStr">
        <is>
          <t>т</t>
        </is>
      </c>
      <c r="E72" s="432" t="n">
        <v>2e-05</v>
      </c>
      <c r="F72" s="355" t="n">
        <v>65750</v>
      </c>
      <c r="G72" s="262">
        <f>ROUND(E72*F72,2)</f>
        <v/>
      </c>
      <c r="H72" s="261">
        <f>G72/$G$80</f>
        <v/>
      </c>
      <c r="I72" s="262">
        <f>ROUND(F72*'Прил. 10'!$D$13,2)</f>
        <v/>
      </c>
      <c r="J72" s="262">
        <f>ROUND(I72*E72,2)</f>
        <v/>
      </c>
    </row>
    <row r="73" hidden="1" outlineLevel="1" ht="14.25" customFormat="1" customHeight="1" s="292">
      <c r="A73" s="353" t="n">
        <v>44</v>
      </c>
      <c r="B73" s="254" t="inlineStr">
        <is>
          <t>20.2.02.01-0019</t>
        </is>
      </c>
      <c r="C73" s="352" t="inlineStr">
        <is>
          <t>Втулки изолирующие</t>
        </is>
      </c>
      <c r="D73" s="353" t="inlineStr">
        <is>
          <t>1000 шт</t>
        </is>
      </c>
      <c r="E73" s="432" t="n">
        <v>0.00408</v>
      </c>
      <c r="F73" s="355" t="n">
        <v>270</v>
      </c>
      <c r="G73" s="262">
        <f>ROUND(E73*F73,2)</f>
        <v/>
      </c>
      <c r="H73" s="261">
        <f>G73/$G$80</f>
        <v/>
      </c>
      <c r="I73" s="262">
        <f>ROUND(F73*'Прил. 10'!$D$13,2)</f>
        <v/>
      </c>
      <c r="J73" s="262">
        <f>ROUND(I73*E73,2)</f>
        <v/>
      </c>
    </row>
    <row r="74" hidden="1" outlineLevel="1" ht="14.25" customFormat="1" customHeight="1" s="292">
      <c r="A74" s="353" t="n">
        <v>45</v>
      </c>
      <c r="B74" s="254" t="inlineStr">
        <is>
          <t>01.7.20.04-0005</t>
        </is>
      </c>
      <c r="C74" s="352" t="inlineStr">
        <is>
          <t>Нитки швейные</t>
        </is>
      </c>
      <c r="D74" s="353" t="inlineStr">
        <is>
          <t>кг</t>
        </is>
      </c>
      <c r="E74" s="432" t="n">
        <v>0.008</v>
      </c>
      <c r="F74" s="355" t="n">
        <v>133.05</v>
      </c>
      <c r="G74" s="262">
        <f>ROUND(E74*F74,2)</f>
        <v/>
      </c>
      <c r="H74" s="261">
        <f>G74/$G$80</f>
        <v/>
      </c>
      <c r="I74" s="262">
        <f>ROUND(F74*'Прил. 10'!$D$13,2)</f>
        <v/>
      </c>
      <c r="J74" s="262">
        <f>ROUND(I74*E74,2)</f>
        <v/>
      </c>
    </row>
    <row r="75" hidden="1" outlineLevel="1" ht="14.25" customFormat="1" customHeight="1" s="292">
      <c r="A75" s="353" t="n">
        <v>46</v>
      </c>
      <c r="B75" s="254" t="inlineStr">
        <is>
          <t>20.2.09.13-0011</t>
        </is>
      </c>
      <c r="C75" s="352" t="inlineStr">
        <is>
          <t>Муфты</t>
        </is>
      </c>
      <c r="D75" s="353" t="inlineStr">
        <is>
          <t>шт</t>
        </is>
      </c>
      <c r="E75" s="432" t="n">
        <v>0.09</v>
      </c>
      <c r="F75" s="355" t="n">
        <v>5</v>
      </c>
      <c r="G75" s="262">
        <f>ROUND(E75*F75,2)</f>
        <v/>
      </c>
      <c r="H75" s="261">
        <f>G75/$G$80</f>
        <v/>
      </c>
      <c r="I75" s="262">
        <f>ROUND(F75*'Прил. 10'!$D$13,2)</f>
        <v/>
      </c>
      <c r="J75" s="262">
        <f>ROUND(I75*E75,2)</f>
        <v/>
      </c>
    </row>
    <row r="76" hidden="1" outlineLevel="1" ht="14.25" customFormat="1" customHeight="1" s="292">
      <c r="A76" s="353" t="n">
        <v>47</v>
      </c>
      <c r="B76" s="254" t="inlineStr">
        <is>
          <t>01.7.02.09-0002</t>
        </is>
      </c>
      <c r="C76" s="352" t="inlineStr">
        <is>
          <t>Шпагат бумажный</t>
        </is>
      </c>
      <c r="D76" s="353" t="inlineStr">
        <is>
          <t>кг</t>
        </is>
      </c>
      <c r="E76" s="432" t="n">
        <v>0.016</v>
      </c>
      <c r="F76" s="355" t="n">
        <v>11.5</v>
      </c>
      <c r="G76" s="262">
        <f>ROUND(E76*F76,2)</f>
        <v/>
      </c>
      <c r="H76" s="261">
        <f>G76/$G$80</f>
        <v/>
      </c>
      <c r="I76" s="262">
        <f>ROUND(F76*'Прил. 10'!$D$13,2)</f>
        <v/>
      </c>
      <c r="J76" s="262">
        <f>ROUND(I76*E76,2)</f>
        <v/>
      </c>
    </row>
    <row r="77" hidden="1" outlineLevel="1" ht="14.25" customFormat="1" customHeight="1" s="292">
      <c r="A77" s="353" t="n">
        <v>48</v>
      </c>
      <c r="B77" s="254" t="inlineStr">
        <is>
          <t>01.3.05.17-0002</t>
        </is>
      </c>
      <c r="C77" s="352" t="inlineStr">
        <is>
          <t>Канифоль сосновая</t>
        </is>
      </c>
      <c r="D77" s="353" t="inlineStr">
        <is>
          <t>кг</t>
        </is>
      </c>
      <c r="E77" s="432" t="n">
        <v>0.0016</v>
      </c>
      <c r="F77" s="355" t="n">
        <v>27.74</v>
      </c>
      <c r="G77" s="262">
        <f>ROUND(E77*F77,2)</f>
        <v/>
      </c>
      <c r="H77" s="261">
        <f>G77/$G$80</f>
        <v/>
      </c>
      <c r="I77" s="262">
        <f>ROUND(F77*'Прил. 10'!$D$13,2)</f>
        <v/>
      </c>
      <c r="J77" s="262">
        <f>ROUND(I77*E77,2)</f>
        <v/>
      </c>
    </row>
    <row r="78" hidden="1" outlineLevel="1" ht="14.25" customFormat="1" customHeight="1" s="292">
      <c r="A78" s="353" t="n">
        <v>49</v>
      </c>
      <c r="B78" s="254" t="inlineStr">
        <is>
          <t>01.7.15.04-0011</t>
        </is>
      </c>
      <c r="C78" s="352" t="inlineStr">
        <is>
          <t>Винты с полукруглой головкой, длина 50 мм</t>
        </is>
      </c>
      <c r="D78" s="353" t="inlineStr">
        <is>
          <t>т</t>
        </is>
      </c>
      <c r="E78" s="432" t="n">
        <v>2e-06</v>
      </c>
      <c r="F78" s="355" t="n">
        <v>12430</v>
      </c>
      <c r="G78" s="262">
        <f>ROUND(E78*F78,2)</f>
        <v/>
      </c>
      <c r="H78" s="261">
        <f>G78/$G$80</f>
        <v/>
      </c>
      <c r="I78" s="262">
        <f>ROUND(F78*'Прил. 10'!$D$13,2)</f>
        <v/>
      </c>
      <c r="J78" s="262">
        <f>ROUND(I78*E78,2)</f>
        <v/>
      </c>
    </row>
    <row r="79" collapsed="1" ht="14.25" customFormat="1" customHeight="1" s="292">
      <c r="A79" s="353" t="n"/>
      <c r="B79" s="353" t="n"/>
      <c r="C79" s="352" t="inlineStr">
        <is>
          <t>Итого прочие материалы</t>
        </is>
      </c>
      <c r="D79" s="353" t="n"/>
      <c r="E79" s="354" t="n"/>
      <c r="F79" s="355" t="n"/>
      <c r="G79" s="279">
        <f>SUM(G44:G78)</f>
        <v/>
      </c>
      <c r="H79" s="261">
        <f>G79/$G$80</f>
        <v/>
      </c>
      <c r="I79" s="262" t="n"/>
      <c r="J79" s="279">
        <f>SUM(J44:J78)</f>
        <v/>
      </c>
    </row>
    <row r="80" ht="14.25" customFormat="1" customHeight="1" s="292">
      <c r="A80" s="353" t="n"/>
      <c r="B80" s="353" t="n"/>
      <c r="C80" s="340" t="inlineStr">
        <is>
          <t>Итого по разделу «Материалы»</t>
        </is>
      </c>
      <c r="D80" s="353" t="n"/>
      <c r="E80" s="354" t="n"/>
      <c r="F80" s="355" t="n"/>
      <c r="G80" s="262">
        <f>G43+G79</f>
        <v/>
      </c>
      <c r="H80" s="261">
        <f>G80/$G$80</f>
        <v/>
      </c>
      <c r="I80" s="262" t="n"/>
      <c r="J80" s="262">
        <f>J43+J79</f>
        <v/>
      </c>
    </row>
    <row r="81" ht="14.25" customFormat="1" customHeight="1" s="292">
      <c r="A81" s="353" t="n"/>
      <c r="B81" s="353" t="n"/>
      <c r="C81" s="352" t="inlineStr">
        <is>
          <t>ИТОГО ПО РМ</t>
        </is>
      </c>
      <c r="D81" s="353" t="n"/>
      <c r="E81" s="354" t="n"/>
      <c r="F81" s="355" t="n"/>
      <c r="G81" s="262">
        <f>G15+G31+G80</f>
        <v/>
      </c>
      <c r="H81" s="356" t="n"/>
      <c r="I81" s="262" t="n"/>
      <c r="J81" s="262">
        <f>J15+J31+J80</f>
        <v/>
      </c>
    </row>
    <row r="82" ht="14.25" customFormat="1" customHeight="1" s="292">
      <c r="A82" s="353" t="n"/>
      <c r="B82" s="353" t="n"/>
      <c r="C82" s="352" t="inlineStr">
        <is>
          <t>Накладные расходы</t>
        </is>
      </c>
      <c r="D82" s="281">
        <f>ROUND(G82/(G$17+$G$15),2)</f>
        <v/>
      </c>
      <c r="E82" s="354" t="n"/>
      <c r="F82" s="355" t="n"/>
      <c r="G82" s="262" t="n">
        <v>4802.9</v>
      </c>
      <c r="H82" s="356" t="n"/>
      <c r="I82" s="262" t="n"/>
      <c r="J82" s="262">
        <f>ROUND(D82*(J15+J17),2)</f>
        <v/>
      </c>
    </row>
    <row r="83" ht="14.25" customFormat="1" customHeight="1" s="292">
      <c r="A83" s="353" t="n"/>
      <c r="B83" s="353" t="n"/>
      <c r="C83" s="352" t="inlineStr">
        <is>
          <t>Сметная прибыль</t>
        </is>
      </c>
      <c r="D83" s="281">
        <f>ROUND(G83/(G$15+G$17),2)</f>
        <v/>
      </c>
      <c r="E83" s="354" t="n"/>
      <c r="F83" s="355" t="n"/>
      <c r="G83" s="262" t="n">
        <v>2463.98</v>
      </c>
      <c r="H83" s="356" t="n"/>
      <c r="I83" s="262" t="n"/>
      <c r="J83" s="262">
        <f>ROUND(D83*(J15+J17),2)</f>
        <v/>
      </c>
    </row>
    <row r="84" ht="14.25" customFormat="1" customHeight="1" s="292">
      <c r="A84" s="353" t="n"/>
      <c r="B84" s="353" t="n"/>
      <c r="C84" s="352" t="inlineStr">
        <is>
          <t>Итого СМР (с НР и СП)</t>
        </is>
      </c>
      <c r="D84" s="353" t="n"/>
      <c r="E84" s="354" t="n"/>
      <c r="F84" s="355" t="n"/>
      <c r="G84" s="262">
        <f>G15+G31+G80+G82+G83</f>
        <v/>
      </c>
      <c r="H84" s="356" t="n"/>
      <c r="I84" s="262" t="n"/>
      <c r="J84" s="262">
        <f>J15+J31+J80+J82+J83</f>
        <v/>
      </c>
    </row>
    <row r="85" ht="14.25" customFormat="1" customHeight="1" s="292">
      <c r="A85" s="353" t="n"/>
      <c r="B85" s="353" t="n"/>
      <c r="C85" s="352" t="inlineStr">
        <is>
          <t>ВСЕГО СМР + ОБОРУДОВАНИЕ</t>
        </is>
      </c>
      <c r="D85" s="353" t="n"/>
      <c r="E85" s="354" t="n"/>
      <c r="F85" s="355" t="n"/>
      <c r="G85" s="262">
        <f>G84+G38</f>
        <v/>
      </c>
      <c r="H85" s="356" t="n"/>
      <c r="I85" s="262" t="n"/>
      <c r="J85" s="262">
        <f>J84+J38</f>
        <v/>
      </c>
    </row>
    <row r="86" ht="34.5" customFormat="1" customHeight="1" s="292">
      <c r="A86" s="353" t="n"/>
      <c r="B86" s="353" t="n"/>
      <c r="C86" s="352" t="inlineStr">
        <is>
          <t>ИТОГО ПОКАЗАТЕЛЬ НА ЕД. ИЗМ.</t>
        </is>
      </c>
      <c r="D86" s="353" t="inlineStr">
        <is>
          <t>ед</t>
        </is>
      </c>
      <c r="E86" s="435" t="n">
        <v>1</v>
      </c>
      <c r="F86" s="355" t="n"/>
      <c r="G86" s="262">
        <f>G85/E86</f>
        <v/>
      </c>
      <c r="H86" s="356" t="n"/>
      <c r="I86" s="262" t="n"/>
      <c r="J86" s="262">
        <f>J85/E86</f>
        <v/>
      </c>
    </row>
    <row r="88" ht="14.25" customFormat="1" customHeight="1" s="292">
      <c r="A88" s="294" t="inlineStr">
        <is>
          <t>Составил ______________________     Е. М. Добровольская</t>
        </is>
      </c>
    </row>
    <row r="89" ht="14.25" customFormat="1" customHeight="1" s="292">
      <c r="A89" s="293" t="inlineStr">
        <is>
          <t xml:space="preserve">                         (подпись, инициалы, фамилия)</t>
        </is>
      </c>
    </row>
    <row r="90" ht="14.25" customFormat="1" customHeight="1" s="292">
      <c r="A90" s="294" t="n"/>
    </row>
    <row r="91" ht="14.25" customFormat="1" customHeight="1" s="292">
      <c r="A91" s="294" t="inlineStr">
        <is>
          <t>Проверил ______________________        А.В. Костянецкая</t>
        </is>
      </c>
    </row>
    <row r="92" ht="14.25" customFormat="1" customHeight="1" s="292">
      <c r="A92" s="293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B32:H32"/>
    <mergeCell ref="B41:H41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" top="0.74803149606299" bottom="0.74803149606299" header="0.31496062992126" footer="0.31496062992126"/>
  <pageSetup orientation="portrait" paperSize="9" scale="4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topLeftCell="A13" zoomScale="70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71" t="inlineStr">
        <is>
          <t>Приложение №6</t>
        </is>
      </c>
    </row>
    <row r="2" ht="21.75" customHeight="1" s="302">
      <c r="A2" s="371" t="n"/>
      <c r="B2" s="371" t="n"/>
      <c r="C2" s="371" t="n"/>
      <c r="D2" s="371" t="n"/>
      <c r="E2" s="371" t="n"/>
      <c r="F2" s="371" t="n"/>
      <c r="G2" s="371" t="n"/>
    </row>
    <row r="3">
      <c r="A3" s="325" t="inlineStr">
        <is>
          <t>Расчет стоимости оборудования</t>
        </is>
      </c>
    </row>
    <row r="4" ht="25.5" customHeight="1" s="302">
      <c r="A4" s="328" t="inlineStr">
        <is>
          <t>Наименование разрабатываемого показателя УНЦ — ПАК информационной безопасности для защиты более 250 интеллектуальных устройств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02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53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24" t="n"/>
    </row>
    <row r="7">
      <c r="A7" s="426" t="n"/>
      <c r="B7" s="426" t="n"/>
      <c r="C7" s="426" t="n"/>
      <c r="D7" s="426" t="n"/>
      <c r="E7" s="426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302">
      <c r="A9" s="194" t="n"/>
      <c r="B9" s="352" t="inlineStr">
        <is>
          <t>ИНЖЕНЕРНОЕ ОБОРУДОВАНИЕ</t>
        </is>
      </c>
      <c r="C9" s="423" t="n"/>
      <c r="D9" s="423" t="n"/>
      <c r="E9" s="423" t="n"/>
      <c r="F9" s="423" t="n"/>
      <c r="G9" s="424" t="n"/>
    </row>
    <row r="10" ht="27" customHeight="1" s="302">
      <c r="A10" s="353" t="n"/>
      <c r="B10" s="340" t="n"/>
      <c r="C10" s="352" t="inlineStr">
        <is>
          <t>ИТОГО ИНЖЕНЕРНОЕ ОБОРУДОВАНИЕ</t>
        </is>
      </c>
      <c r="D10" s="340" t="n"/>
      <c r="E10" s="142" t="n"/>
      <c r="F10" s="355" t="n"/>
      <c r="G10" s="355" t="n">
        <v>0</v>
      </c>
    </row>
    <row r="11">
      <c r="A11" s="353" t="n"/>
      <c r="B11" s="352" t="inlineStr">
        <is>
          <t>ТЕХНОЛОГИЧЕСКОЕ ОБОРУДОВАНИЕ</t>
        </is>
      </c>
      <c r="C11" s="423" t="n"/>
      <c r="D11" s="423" t="n"/>
      <c r="E11" s="423" t="n"/>
      <c r="F11" s="423" t="n"/>
      <c r="G11" s="424" t="n"/>
    </row>
    <row r="12" ht="409.15" customHeight="1" s="302">
      <c r="A12" s="353" t="n">
        <v>1</v>
      </c>
      <c r="B12" s="283">
        <f>'Прил.5 Расчет СМР и ОБ'!B34</f>
        <v/>
      </c>
      <c r="C12" s="283">
        <f>'Прил.5 Расчет СМР и ОБ'!C34</f>
        <v/>
      </c>
      <c r="D12" s="254">
        <f>'Прил.5 Расчет СМР и ОБ'!D34</f>
        <v/>
      </c>
      <c r="E12" s="254">
        <f>'Прил.5 Расчет СМР и ОБ'!E34</f>
        <v/>
      </c>
      <c r="F12" s="262">
        <f>'Прил.5 Расчет СМР и ОБ'!F34</f>
        <v/>
      </c>
      <c r="G12" s="262">
        <f>ROUND(E12*F12,2)</f>
        <v/>
      </c>
    </row>
    <row r="13" ht="409.15" customHeight="1" s="302">
      <c r="A13" s="353" t="n"/>
      <c r="B13" s="283" t="n"/>
      <c r="C13" s="283">
        <f>'Прил.5 Расчет СМР и ОБ'!C35</f>
        <v/>
      </c>
      <c r="D13" s="254" t="n"/>
      <c r="E13" s="254" t="n"/>
      <c r="F13" s="262" t="n"/>
      <c r="G13" s="262" t="n"/>
    </row>
    <row r="14" ht="25.5" customHeight="1" s="302">
      <c r="A14" s="353" t="n"/>
      <c r="B14" s="352" t="n"/>
      <c r="C14" s="352" t="inlineStr">
        <is>
          <t>ИТОГО ТЕХНОЛОГИЧЕСКОЕ ОБОРУДОВАНИЕ</t>
        </is>
      </c>
      <c r="D14" s="352" t="n"/>
      <c r="E14" s="375" t="n"/>
      <c r="F14" s="355" t="n"/>
      <c r="G14" s="262">
        <f>SUM(G12:G12)</f>
        <v/>
      </c>
    </row>
    <row r="15" ht="19.5" customHeight="1" s="302">
      <c r="A15" s="353" t="n"/>
      <c r="B15" s="352" t="n"/>
      <c r="C15" s="352" t="inlineStr">
        <is>
          <t>Всего по разделу «Оборудование»</t>
        </is>
      </c>
      <c r="D15" s="352" t="n"/>
      <c r="E15" s="375" t="n"/>
      <c r="F15" s="355" t="n"/>
      <c r="G15" s="262">
        <f>G10+G14</f>
        <v/>
      </c>
    </row>
    <row r="16">
      <c r="A16" s="291" t="n"/>
      <c r="B16" s="145" t="n"/>
      <c r="C16" s="291" t="n"/>
      <c r="D16" s="291" t="n"/>
      <c r="E16" s="291" t="n"/>
      <c r="F16" s="291" t="n"/>
      <c r="G16" s="291" t="n"/>
    </row>
    <row r="17">
      <c r="A17" s="294" t="inlineStr">
        <is>
          <t>Составил ______________________    Е. М. Добровольская</t>
        </is>
      </c>
      <c r="B17" s="292" t="n"/>
      <c r="C17" s="292" t="n"/>
      <c r="D17" s="291" t="n"/>
      <c r="E17" s="291" t="n"/>
      <c r="F17" s="291" t="n"/>
      <c r="G17" s="291" t="n"/>
    </row>
    <row r="18">
      <c r="A18" s="293" t="inlineStr">
        <is>
          <t xml:space="preserve">                         (подпись, инициалы, фамилия)</t>
        </is>
      </c>
      <c r="B18" s="292" t="n"/>
      <c r="C18" s="292" t="n"/>
      <c r="D18" s="291" t="n"/>
      <c r="E18" s="291" t="n"/>
      <c r="F18" s="291" t="n"/>
      <c r="G18" s="291" t="n"/>
    </row>
    <row r="19">
      <c r="A19" s="294" t="n"/>
      <c r="B19" s="292" t="n"/>
      <c r="C19" s="292" t="n"/>
      <c r="D19" s="291" t="n"/>
      <c r="E19" s="291" t="n"/>
      <c r="F19" s="291" t="n"/>
      <c r="G19" s="291" t="n"/>
    </row>
    <row r="20">
      <c r="A20" s="294" t="inlineStr">
        <is>
          <t>Проверил ______________________        А.В. Костянецкая</t>
        </is>
      </c>
      <c r="B20" s="292" t="n"/>
      <c r="C20" s="292" t="n"/>
      <c r="D20" s="291" t="n"/>
      <c r="E20" s="291" t="n"/>
      <c r="F20" s="291" t="n"/>
      <c r="G20" s="291" t="n"/>
    </row>
    <row r="21">
      <c r="A21" s="293" t="inlineStr">
        <is>
          <t xml:space="preserve">                        (подпись, инициалы, фамилия)</t>
        </is>
      </c>
      <c r="B21" s="292" t="n"/>
      <c r="C21" s="292" t="n"/>
      <c r="D21" s="291" t="n"/>
      <c r="E21" s="291" t="n"/>
      <c r="F21" s="291" t="n"/>
      <c r="G21" s="2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2" min="1" max="1"/>
    <col width="16.42578125" customWidth="1" style="302" min="2" max="2"/>
    <col width="37.140625" customWidth="1" style="302" min="3" max="3"/>
    <col width="49" customWidth="1" style="302" min="4" max="4"/>
    <col width="9.140625" customWidth="1" style="302" min="5" max="5"/>
  </cols>
  <sheetData>
    <row r="1" ht="15.75" customHeight="1" s="302">
      <c r="A1" s="304" t="n"/>
      <c r="B1" s="304" t="n"/>
      <c r="C1" s="304" t="n"/>
      <c r="D1" s="304" t="inlineStr">
        <is>
          <t>Приложение №7</t>
        </is>
      </c>
    </row>
    <row r="2" ht="15.75" customHeight="1" s="302">
      <c r="A2" s="304" t="n"/>
      <c r="B2" s="304" t="n"/>
      <c r="C2" s="304" t="n"/>
      <c r="D2" s="304" t="n"/>
    </row>
    <row r="3" ht="15.75" customHeight="1" s="302">
      <c r="A3" s="304" t="n"/>
      <c r="B3" s="301" t="inlineStr">
        <is>
          <t>Расчет показателя УНЦ</t>
        </is>
      </c>
      <c r="C3" s="304" t="n"/>
      <c r="D3" s="304" t="n"/>
    </row>
    <row r="4" ht="15.75" customHeight="1" s="302">
      <c r="A4" s="304" t="n"/>
      <c r="B4" s="304" t="n"/>
      <c r="C4" s="304" t="n"/>
      <c r="D4" s="304" t="n"/>
    </row>
    <row r="5" ht="31.5" customHeight="1" s="302">
      <c r="A5" s="377" t="inlineStr">
        <is>
          <t xml:space="preserve">Наименование разрабатываемого показателя УНЦ - </t>
        </is>
      </c>
      <c r="D5" s="377">
        <f>'Прил.5 Расчет СМР и ОБ'!D6:J6</f>
        <v/>
      </c>
    </row>
    <row r="6" ht="15.75" customHeight="1" s="302">
      <c r="A6" s="304" t="inlineStr">
        <is>
          <t>Единица измерения  — 1 ед</t>
        </is>
      </c>
      <c r="B6" s="304" t="n"/>
      <c r="C6" s="304" t="n"/>
      <c r="D6" s="304" t="n"/>
    </row>
    <row r="7" ht="15.75" customHeight="1" s="302">
      <c r="A7" s="304" t="n"/>
      <c r="B7" s="304" t="n"/>
      <c r="C7" s="304" t="n"/>
      <c r="D7" s="304" t="n"/>
    </row>
    <row r="8">
      <c r="A8" s="337" t="inlineStr">
        <is>
          <t>Код показателя</t>
        </is>
      </c>
      <c r="B8" s="337" t="inlineStr">
        <is>
          <t>Наименование показателя</t>
        </is>
      </c>
      <c r="C8" s="337" t="inlineStr">
        <is>
          <t>Наименование РМ, входящих в состав показателя</t>
        </is>
      </c>
      <c r="D8" s="337" t="inlineStr">
        <is>
          <t>Норматив цены на 01.01.2023, тыс.руб.</t>
        </is>
      </c>
    </row>
    <row r="9">
      <c r="A9" s="426" t="n"/>
      <c r="B9" s="426" t="n"/>
      <c r="C9" s="426" t="n"/>
      <c r="D9" s="426" t="n"/>
    </row>
    <row r="10" ht="15.75" customHeight="1" s="302">
      <c r="A10" s="337" t="n">
        <v>1</v>
      </c>
      <c r="B10" s="337" t="n">
        <v>2</v>
      </c>
      <c r="C10" s="337" t="n">
        <v>3</v>
      </c>
      <c r="D10" s="337" t="n">
        <v>4</v>
      </c>
    </row>
    <row r="11" ht="63" customHeight="1" s="302">
      <c r="A11" s="337" t="inlineStr">
        <is>
          <t>И15-13</t>
        </is>
      </c>
      <c r="B11" s="337" t="inlineStr">
        <is>
          <t xml:space="preserve">УНЦ комплекса систем безопасности ПС  </t>
        </is>
      </c>
      <c r="C11" s="296">
        <f>D5</f>
        <v/>
      </c>
      <c r="D11" s="310">
        <f>'Прил.4 РМ'!C41/1000</f>
        <v/>
      </c>
    </row>
    <row r="13">
      <c r="A13" s="294" t="inlineStr">
        <is>
          <t>Составил ______________________     Е. М. Добровольская</t>
        </is>
      </c>
      <c r="B13" s="292" t="n"/>
      <c r="C13" s="292" t="n"/>
      <c r="D13" s="291" t="n"/>
    </row>
    <row r="14">
      <c r="A14" s="293" t="inlineStr">
        <is>
          <t xml:space="preserve">                         (подпись, инициалы, фамилия)</t>
        </is>
      </c>
      <c r="B14" s="292" t="n"/>
      <c r="C14" s="292" t="n"/>
      <c r="D14" s="291" t="n"/>
    </row>
    <row r="15">
      <c r="A15" s="294" t="n"/>
      <c r="B15" s="292" t="n"/>
      <c r="C15" s="292" t="n"/>
      <c r="D15" s="291" t="n"/>
    </row>
    <row r="16">
      <c r="A16" s="294" t="inlineStr">
        <is>
          <t>Проверил ______________________        А.В. Костянецкая</t>
        </is>
      </c>
      <c r="B16" s="292" t="n"/>
      <c r="C16" s="292" t="n"/>
      <c r="D16" s="291" t="n"/>
    </row>
    <row r="17">
      <c r="A17" s="293" t="inlineStr">
        <is>
          <t xml:space="preserve">                        (подпись, инициалы, фамилия)</t>
        </is>
      </c>
      <c r="B17" s="292" t="n"/>
      <c r="C17" s="292" t="n"/>
      <c r="D17" s="29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RowHeight="15"/>
  <cols>
    <col width="9.140625" customWidth="1" style="302" min="1" max="1"/>
    <col width="40.7109375" customWidth="1" style="302" min="2" max="2"/>
    <col width="37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32" t="inlineStr">
        <is>
          <t>Приложение № 10</t>
        </is>
      </c>
    </row>
    <row r="5" ht="18.75" customHeight="1" s="302">
      <c r="B5" s="166" t="n"/>
    </row>
    <row r="6" ht="15.75" customHeight="1" s="302">
      <c r="B6" s="333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302">
      <c r="B9" s="337" t="inlineStr">
        <is>
          <t>Наименование индекса / норм сопутствующих затрат</t>
        </is>
      </c>
      <c r="C9" s="337" t="inlineStr">
        <is>
          <t>Дата применения и обоснование индекса / норм сопутствующих затрат</t>
        </is>
      </c>
      <c r="D9" s="337" t="inlineStr">
        <is>
          <t>Размер индекса / норма сопутствующих затрат</t>
        </is>
      </c>
    </row>
    <row r="10" ht="15.75" customHeight="1" s="302">
      <c r="B10" s="337" t="n">
        <v>1</v>
      </c>
      <c r="C10" s="337" t="n">
        <v>2</v>
      </c>
      <c r="D10" s="337" t="n">
        <v>3</v>
      </c>
    </row>
    <row r="11" ht="45" customHeight="1" s="302">
      <c r="B11" s="337" t="inlineStr">
        <is>
          <t xml:space="preserve">Индекс изменения сметной стоимости на 1 квартал 2023 года. ОЗП </t>
        </is>
      </c>
      <c r="C11" s="337" t="inlineStr">
        <is>
          <t>Письмо Минстроя России от 01.04.2023г. №17772-ИФ/09 прил.9</t>
        </is>
      </c>
      <c r="D11" s="337" t="n">
        <v>44.29</v>
      </c>
    </row>
    <row r="12" ht="29.25" customHeight="1" s="302">
      <c r="B12" s="337" t="inlineStr">
        <is>
          <t>Индекс изменения сметной стоимости на 1 квартал 2023 года. ЭМ</t>
        </is>
      </c>
      <c r="C12" s="337" t="inlineStr">
        <is>
          <t>Письмо Минстроя России от 01.04.2023г. №17772-ИФ/09 прил.9</t>
        </is>
      </c>
      <c r="D12" s="337" t="n">
        <v>13.47</v>
      </c>
    </row>
    <row r="13" ht="29.25" customHeight="1" s="302">
      <c r="B13" s="337" t="inlineStr">
        <is>
          <t>Индекс изменения сметной стоимости на 1 квартал 2023 года. МАТ</t>
        </is>
      </c>
      <c r="C13" s="337" t="inlineStr">
        <is>
          <t>Письмо Минстроя России от 01.04.2023г. №17772-ИФ/09 прил.9</t>
        </is>
      </c>
      <c r="D13" s="337" t="n">
        <v>8.039999999999999</v>
      </c>
    </row>
    <row r="14" ht="30.75" customHeight="1" s="302">
      <c r="B14" s="33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37" t="n">
        <v>6.26</v>
      </c>
    </row>
    <row r="15" ht="89.25" customHeight="1" s="302">
      <c r="B15" s="337" t="inlineStr">
        <is>
          <t>Временные здания и сооружения</t>
        </is>
      </c>
      <c r="C15" s="33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2">
      <c r="B16" s="337" t="inlineStr">
        <is>
          <t>Дополнительные затраты при производстве строительно-монтажных работ в зимнее время</t>
        </is>
      </c>
      <c r="C16" s="3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3" customHeight="1" s="302">
      <c r="B17" s="337" t="inlineStr">
        <is>
          <t>Пусконаладочные работы*</t>
        </is>
      </c>
      <c r="C17" s="337" t="n"/>
      <c r="D17" s="337" t="inlineStr">
        <is>
          <t>Расчет</t>
        </is>
      </c>
    </row>
    <row r="18" ht="31.5" customHeight="1" s="302">
      <c r="B18" s="337" t="inlineStr">
        <is>
          <t>Строительный контроль</t>
        </is>
      </c>
      <c r="C18" s="337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02">
      <c r="B19" s="337" t="inlineStr">
        <is>
          <t>Авторский надзор - 0,2%</t>
        </is>
      </c>
      <c r="C19" s="337" t="inlineStr">
        <is>
          <t>Приказ от 4.08.2020 № 421/пр п.173</t>
        </is>
      </c>
      <c r="D19" s="169" t="n">
        <v>0.002</v>
      </c>
    </row>
    <row r="20" ht="24" customHeight="1" s="302">
      <c r="B20" s="337" t="inlineStr">
        <is>
          <t>Непредвиденные расходы</t>
        </is>
      </c>
      <c r="C20" s="337" t="inlineStr">
        <is>
          <t>Приказ от 4.08.2020 № 421/пр п.179</t>
        </is>
      </c>
      <c r="D20" s="169" t="n">
        <v>0.03</v>
      </c>
    </row>
    <row r="21" ht="18.75" customHeight="1" s="302">
      <c r="B21" s="207" t="n"/>
    </row>
    <row r="22" ht="18.75" customHeight="1" s="302">
      <c r="B22" s="207" t="n"/>
    </row>
    <row r="23" ht="18.75" customHeight="1" s="302">
      <c r="B23" s="207" t="n"/>
    </row>
    <row r="24" ht="18.75" customHeight="1" s="302">
      <c r="B24" s="207" t="n"/>
    </row>
    <row r="27">
      <c r="B27" s="294" t="inlineStr">
        <is>
          <t>Составил ______________________     Е. М. Добровольская</t>
        </is>
      </c>
      <c r="C27" s="292" t="n"/>
    </row>
    <row r="28">
      <c r="B28" s="293" t="inlineStr">
        <is>
          <t xml:space="preserve">                         (подпись, инициалы, фамилия)</t>
        </is>
      </c>
      <c r="C28" s="292" t="n"/>
    </row>
    <row r="29">
      <c r="B29" s="294" t="n"/>
      <c r="C29" s="292" t="n"/>
    </row>
    <row r="30">
      <c r="B30" s="294" t="inlineStr">
        <is>
          <t>Проверил ______________________        А.В. Костянецкая</t>
        </is>
      </c>
      <c r="C30" s="292" t="n"/>
    </row>
    <row r="31">
      <c r="B31" s="293" t="inlineStr">
        <is>
          <t xml:space="preserve">                        (подпись, инициалы, фамилия)</t>
        </is>
      </c>
      <c r="C31" s="29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</cols>
  <sheetData>
    <row r="1" s="302"/>
    <row r="2" ht="17.25" customHeight="1" s="302">
      <c r="A2" s="333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75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7" t="inlineStr">
        <is>
          <t>С1ср</t>
        </is>
      </c>
      <c r="D7" s="337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37" t="inlineStr">
        <is>
          <t>tср</t>
        </is>
      </c>
      <c r="D8" s="337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37" t="inlineStr">
        <is>
          <t>Кув</t>
        </is>
      </c>
      <c r="D9" s="337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37" t="n"/>
      <c r="D10" s="337" t="n"/>
      <c r="E10" s="436" t="n">
        <v>4.2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37" t="inlineStr">
        <is>
          <t>КТ</t>
        </is>
      </c>
      <c r="D11" s="337" t="inlineStr">
        <is>
          <t>-</t>
        </is>
      </c>
      <c r="E11" s="437" t="n">
        <v>1.38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06" t="inlineStr">
        <is>
          <t>1.6</t>
        </is>
      </c>
      <c r="B12" s="316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38" t="n">
        <v>1.139</v>
      </c>
      <c r="F1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n"/>
    </row>
    <row r="13" ht="63" customHeight="1" s="302">
      <c r="A13" s="306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22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2025-01-24T12:01:57Z</dcterms:modified>
  <cp:lastModifiedBy>Nikolay Ivanov</cp:lastModifiedBy>
  <cp:lastPrinted>2023-11-30T14:08:06Z</cp:lastPrinted>
</cp:coreProperties>
</file>