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ОБ'!$A$1:$J$184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0.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9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3" fontId="2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top" wrapText="1"/>
    </xf>
    <xf numFmtId="10" fontId="1" fillId="0" borderId="0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6" applyAlignment="1" pivotButton="0" quotePrefix="0" xfId="0">
      <alignment vertical="center" wrapText="1"/>
    </xf>
    <xf numFmtId="0" fontId="16" fillId="0" borderId="7" applyAlignment="1" pivotButton="0" quotePrefix="0" xfId="0">
      <alignment vertical="center" wrapText="1"/>
    </xf>
    <xf numFmtId="17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43" fontId="2" fillId="0" borderId="0" applyAlignment="1" pivotButton="0" quotePrefix="0" xfId="0">
      <alignment vertical="center" wrapText="1"/>
    </xf>
    <xf numFmtId="0" fontId="19" fillId="0" borderId="0" pivotButton="0" quotePrefix="0" xfId="0"/>
    <xf numFmtId="4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right" vertical="top" wrapText="1"/>
    </xf>
    <xf numFmtId="43" fontId="1" fillId="0" borderId="0" applyAlignment="1" pivotButton="0" quotePrefix="0" xfId="0">
      <alignment horizontal="right" vertical="top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2" applyAlignment="1" pivotButton="0" quotePrefix="0" xfId="0">
      <alignment horizontal="right" vertical="top" wrapText="1"/>
    </xf>
    <xf numFmtId="43" fontId="1" fillId="0" borderId="0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9" zoomScale="60" zoomScaleNormal="80" workbookViewId="0">
      <selection activeCell="C28" sqref="C28"/>
    </sheetView>
  </sheetViews>
  <sheetFormatPr baseColWidth="8" defaultColWidth="9.140625" defaultRowHeight="15.75"/>
  <cols>
    <col width="9.140625" customWidth="1" style="370" min="1" max="2"/>
    <col width="51.7109375" customWidth="1" style="370" min="3" max="3"/>
    <col width="51.42578125" customWidth="1" style="370" min="4" max="4"/>
    <col width="37.42578125" customWidth="1" style="370" min="5" max="5"/>
    <col width="9.140625" customWidth="1" style="370" min="6" max="6"/>
  </cols>
  <sheetData>
    <row r="3">
      <c r="B3" s="385" t="inlineStr">
        <is>
          <t>Приложение № 1</t>
        </is>
      </c>
    </row>
    <row r="4">
      <c r="B4" s="386" t="inlineStr">
        <is>
          <t>Сравнительная таблица отбора объекта-представителя</t>
        </is>
      </c>
    </row>
    <row r="5" ht="84" customHeight="1" s="371">
      <c r="B5" s="38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1">
      <c r="B6" s="213" t="n"/>
      <c r="C6" s="213" t="n"/>
      <c r="D6" s="213" t="n"/>
    </row>
    <row r="7" ht="43.15" customHeight="1" s="371">
      <c r="B7" s="387" t="inlineStr">
        <is>
          <t>Наименование разрабатываемого показателя УНЦ — Система видеоаналитики на 128 видеокамер</t>
        </is>
      </c>
    </row>
    <row r="8" ht="31.5" customHeight="1" s="371">
      <c r="B8" s="387" t="inlineStr">
        <is>
          <t>Сопоставимый уровень цен: 3 кв 2021 г</t>
        </is>
      </c>
    </row>
    <row r="9" ht="15.75" customHeight="1" s="371">
      <c r="B9" s="387" t="inlineStr">
        <is>
          <t>Единица измерения  — 1 система</t>
        </is>
      </c>
    </row>
    <row r="10">
      <c r="B10" s="387" t="n"/>
    </row>
    <row r="11">
      <c r="B11" s="393" t="inlineStr">
        <is>
          <t>№ п/п</t>
        </is>
      </c>
      <c r="C11" s="393" t="inlineStr">
        <is>
          <t>Параметр</t>
        </is>
      </c>
      <c r="D11" s="393" t="inlineStr">
        <is>
          <t xml:space="preserve">Объект-представитель </t>
        </is>
      </c>
      <c r="E11" s="188" t="n"/>
    </row>
    <row r="12" ht="96.75" customHeight="1" s="371">
      <c r="B12" s="393" t="n">
        <v>1</v>
      </c>
      <c r="C12" s="349" t="inlineStr">
        <is>
          <t>Наименование объекта-представителя</t>
        </is>
      </c>
      <c r="D12" s="393" t="inlineStr">
        <is>
          <t>Строительство ПС 220 кВ Налдинская с заходами ВЛ 220 кВ</t>
        </is>
      </c>
    </row>
    <row r="13">
      <c r="B13" s="393" t="n">
        <v>2</v>
      </c>
      <c r="C13" s="349" t="inlineStr">
        <is>
          <t>Наименование субъекта Российской Федерации</t>
        </is>
      </c>
      <c r="D13" s="393" t="inlineStr">
        <is>
          <t>Республика Саха (Якутия)</t>
        </is>
      </c>
    </row>
    <row r="14">
      <c r="B14" s="393" t="n">
        <v>3</v>
      </c>
      <c r="C14" s="349" t="inlineStr">
        <is>
          <t>Климатический район и подрайон</t>
        </is>
      </c>
      <c r="D14" s="393" t="inlineStr">
        <is>
          <t>IД</t>
        </is>
      </c>
    </row>
    <row r="15">
      <c r="B15" s="393" t="n">
        <v>4</v>
      </c>
      <c r="C15" s="349" t="inlineStr">
        <is>
          <t>Мощность объекта</t>
        </is>
      </c>
      <c r="D15" s="393" t="n">
        <v>1</v>
      </c>
    </row>
    <row r="16" ht="116.25" customHeight="1" s="371">
      <c r="B16" s="39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93" t="inlineStr">
        <is>
          <t xml:space="preserve">Шкаф КТСБ - 1 шт;
Шкаф БП - 1 шт;
Шкаф видеонаблюдения - 13 шт;
Видеосервер с ПО - 1 шт;
Сетевая PTZ камера - 13 шт;
Уличная IP камера - 12 шт;
</t>
        </is>
      </c>
    </row>
    <row r="17" ht="79.5" customHeight="1" s="371">
      <c r="B17" s="39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  <c r="E17" s="211" t="n"/>
    </row>
    <row r="18">
      <c r="B18" s="187" t="inlineStr">
        <is>
          <t>6.1</t>
        </is>
      </c>
      <c r="C18" s="349" t="inlineStr">
        <is>
          <t>строительно-монтажные работы</t>
        </is>
      </c>
      <c r="D18" s="197" t="n">
        <v>22555.692</v>
      </c>
    </row>
    <row r="19" ht="15.75" customHeight="1" s="371">
      <c r="B19" s="187" t="inlineStr">
        <is>
          <t>6.2</t>
        </is>
      </c>
      <c r="C19" s="349" t="inlineStr">
        <is>
          <t>оборудование и инвентарь</t>
        </is>
      </c>
      <c r="D19" s="197" t="n">
        <v>32220.077</v>
      </c>
    </row>
    <row r="20" ht="16.5" customHeight="1" s="371">
      <c r="B20" s="187" t="inlineStr">
        <is>
          <t>6.3</t>
        </is>
      </c>
      <c r="C20" s="349" t="inlineStr">
        <is>
          <t>пусконаладочные работы</t>
        </is>
      </c>
      <c r="D20" s="197" t="n">
        <v>0</v>
      </c>
    </row>
    <row r="21" ht="35.25" customHeight="1" s="371">
      <c r="B21" s="187" t="inlineStr">
        <is>
          <t>6.4</t>
        </is>
      </c>
      <c r="C21" s="186" t="inlineStr">
        <is>
          <t>прочие и лимитированные затраты</t>
        </is>
      </c>
      <c r="D21" s="197">
        <f>D18*3.9%*0.8+(D18+D18*3.9%*0.8)*3.2%</f>
        <v/>
      </c>
    </row>
    <row r="22">
      <c r="B22" s="393" t="n">
        <v>7</v>
      </c>
      <c r="C22" s="186" t="inlineStr">
        <is>
          <t>Сопоставимый уровень цен</t>
        </is>
      </c>
      <c r="D22" s="233" t="inlineStr">
        <is>
          <t>3 кв 2021 г</t>
        </is>
      </c>
      <c r="E22" s="184" t="n"/>
    </row>
    <row r="23" ht="123" customHeight="1" s="371">
      <c r="B23" s="39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211" t="n"/>
    </row>
    <row r="24" ht="31.5" customHeight="1" s="371">
      <c r="B24" s="39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84" t="n"/>
    </row>
    <row r="25">
      <c r="B25" s="393" t="n">
        <v>10</v>
      </c>
      <c r="C25" s="349" t="inlineStr">
        <is>
          <t>Примечание</t>
        </is>
      </c>
      <c r="D25" s="393" t="n"/>
    </row>
    <row r="26">
      <c r="B26" s="369" t="n"/>
      <c r="C26" s="181" t="n"/>
      <c r="D26" s="181" t="n"/>
    </row>
    <row r="27">
      <c r="B27" s="235" t="n"/>
    </row>
    <row r="28">
      <c r="B28" s="370" t="inlineStr">
        <is>
          <t>Составил ______________________    Е. М. Добровольская</t>
        </is>
      </c>
    </row>
    <row r="29">
      <c r="B29" s="235" t="inlineStr">
        <is>
          <t xml:space="preserve">                         (подпись, инициалы, фамилия)</t>
        </is>
      </c>
    </row>
    <row r="31">
      <c r="B31" s="370" t="inlineStr">
        <is>
          <t>Проверил ______________________        А.В. Костянецкая</t>
        </is>
      </c>
    </row>
    <row r="32">
      <c r="B32" s="23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370" min="1" max="1"/>
    <col width="9.140625" customWidth="1" style="370" min="2" max="2"/>
    <col width="35.28515625" customWidth="1" style="370" min="3" max="3"/>
    <col width="13.85546875" customWidth="1" style="370" min="4" max="4"/>
    <col width="24.85546875" customWidth="1" style="370" min="5" max="5"/>
    <col width="15.5703125" customWidth="1" style="370" min="6" max="6"/>
    <col width="14.85546875" customWidth="1" style="370" min="7" max="7"/>
    <col width="16.7109375" customWidth="1" style="370" min="8" max="8"/>
    <col width="13" customWidth="1" style="370" min="9" max="10"/>
    <col width="18" customWidth="1" style="370" min="11" max="11"/>
    <col width="9.140625" customWidth="1" style="370" min="12" max="12"/>
  </cols>
  <sheetData>
    <row r="3">
      <c r="B3" s="385" t="inlineStr">
        <is>
          <t>Приложение № 2</t>
        </is>
      </c>
      <c r="K3" s="235" t="n"/>
    </row>
    <row r="4">
      <c r="B4" s="386" t="inlineStr">
        <is>
          <t>Расчет стоимости основных видов работ для выбора объекта-представителя</t>
        </is>
      </c>
    </row>
    <row r="5">
      <c r="B5" s="189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</row>
    <row r="6" ht="42" customHeight="1" s="371">
      <c r="B6" s="394" t="inlineStr">
        <is>
          <t>Наименование разрабатываемого показателя УНЦ — Система видеоаналитики на 128 видеокамер</t>
        </is>
      </c>
      <c r="K6" s="235" t="n"/>
    </row>
    <row r="7" ht="15.75" customHeight="1" s="371">
      <c r="B7" s="395" t="inlineStr">
        <is>
          <t>Единица измерения  — 1 система</t>
        </is>
      </c>
      <c r="K7" s="235" t="n"/>
    </row>
    <row r="8" ht="18.75" customHeight="1" s="371">
      <c r="B8" s="214" t="n"/>
    </row>
    <row r="9" ht="15.75" customHeight="1" s="371">
      <c r="B9" s="393" t="inlineStr">
        <is>
          <t>№ п/п</t>
        </is>
      </c>
      <c r="C9" s="3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3" t="inlineStr">
        <is>
          <t>Объект-представитель 1</t>
        </is>
      </c>
      <c r="E9" s="477" t="n"/>
      <c r="F9" s="477" t="n"/>
      <c r="G9" s="477" t="n"/>
      <c r="H9" s="477" t="n"/>
      <c r="I9" s="477" t="n"/>
      <c r="J9" s="478" t="n"/>
    </row>
    <row r="10" ht="15.75" customHeight="1" s="371">
      <c r="B10" s="479" t="n"/>
      <c r="C10" s="479" t="n"/>
      <c r="D10" s="393" t="inlineStr">
        <is>
          <t>Номер сметы</t>
        </is>
      </c>
      <c r="E10" s="393" t="inlineStr">
        <is>
          <t>Наименование сметы</t>
        </is>
      </c>
      <c r="F10" s="393" t="inlineStr">
        <is>
          <t>Сметная стоимость в уровне цен 3 кв. 2021г., тыс. руб.</t>
        </is>
      </c>
      <c r="G10" s="477" t="n"/>
      <c r="H10" s="477" t="n"/>
      <c r="I10" s="477" t="n"/>
      <c r="J10" s="478" t="n"/>
    </row>
    <row r="11" ht="92.25" customHeight="1" s="371">
      <c r="B11" s="480" t="n"/>
      <c r="C11" s="480" t="n"/>
      <c r="D11" s="480" t="n"/>
      <c r="E11" s="480" t="n"/>
      <c r="F11" s="393" t="inlineStr">
        <is>
          <t>Строительные работы</t>
        </is>
      </c>
      <c r="G11" s="393" t="inlineStr">
        <is>
          <t>Монтажные работы</t>
        </is>
      </c>
      <c r="H11" s="393" t="inlineStr">
        <is>
          <t>Оборудование</t>
        </is>
      </c>
      <c r="I11" s="393" t="inlineStr">
        <is>
          <t>Прочее</t>
        </is>
      </c>
      <c r="J11" s="393" t="inlineStr">
        <is>
          <t>Всего</t>
        </is>
      </c>
    </row>
    <row r="12" ht="108.75" customHeight="1" s="371">
      <c r="B12" s="319" t="n">
        <v>1</v>
      </c>
      <c r="C12" s="393" t="inlineStr">
        <is>
          <t>Шкаф КТСБ - 1 шт;
Шкаф БП - 1 шт;
Шкаф видеонаблюдения - 13 шт;
Видеосервер с ПО - 1 шт;
Сетевая PTZ камера - 13 шт;
Уличная IP камера - 12 шт;</t>
        </is>
      </c>
      <c r="D12" s="187" t="inlineStr">
        <is>
          <t>05-02-05</t>
        </is>
      </c>
      <c r="E12" s="393" t="inlineStr">
        <is>
          <t>Система видеонаблюдения</t>
        </is>
      </c>
      <c r="F12" s="320" t="n">
        <v>129.678</v>
      </c>
      <c r="G12" s="320" t="n">
        <v>22426.014</v>
      </c>
      <c r="H12" s="320" t="n">
        <v>32220.077</v>
      </c>
      <c r="I12" s="321" t="n"/>
      <c r="J12" s="322">
        <f>SUM(F12:I12)</f>
        <v/>
      </c>
    </row>
    <row r="13" ht="15.75" customHeight="1" s="371">
      <c r="B13" s="392" t="inlineStr">
        <is>
          <t>Всего по объекту:</t>
        </is>
      </c>
      <c r="C13" s="477" t="n"/>
      <c r="D13" s="477" t="n"/>
      <c r="E13" s="478" t="n"/>
      <c r="F13" s="377">
        <f>F12</f>
        <v/>
      </c>
      <c r="G13" s="377">
        <f>G12</f>
        <v/>
      </c>
      <c r="H13" s="377">
        <f>H12</f>
        <v/>
      </c>
      <c r="I13" s="216" t="n"/>
      <c r="J13" s="322">
        <f>SUM(F13:I13)</f>
        <v/>
      </c>
    </row>
    <row r="14">
      <c r="B14" s="392" t="inlineStr">
        <is>
          <t>Всего по объекту в сопоставимом уровне цен 3 кв. 2021г:</t>
        </is>
      </c>
      <c r="C14" s="477" t="n"/>
      <c r="D14" s="477" t="n"/>
      <c r="E14" s="478" t="n"/>
      <c r="F14" s="377">
        <f>F13</f>
        <v/>
      </c>
      <c r="G14" s="377">
        <f>G13</f>
        <v/>
      </c>
      <c r="H14" s="377">
        <f>H13</f>
        <v/>
      </c>
      <c r="I14" s="216" t="n"/>
      <c r="J14" s="322">
        <f>SUM(F14:I14)</f>
        <v/>
      </c>
    </row>
    <row r="15" ht="15" customHeight="1" s="371"/>
    <row r="16" ht="15" customHeight="1" s="371"/>
    <row r="17" ht="15" customHeight="1" s="371"/>
    <row r="18" ht="15" customHeight="1" s="371">
      <c r="C18" s="331" t="inlineStr">
        <is>
          <t>Составил ______________________     Е. М. Добровольская</t>
        </is>
      </c>
      <c r="D18" s="332" t="n"/>
      <c r="E18" s="332" t="n"/>
    </row>
    <row r="19" ht="15" customHeight="1" s="371">
      <c r="C19" s="334" t="inlineStr">
        <is>
          <t xml:space="preserve">                         (подпись, инициалы, фамилия)</t>
        </is>
      </c>
      <c r="D19" s="332" t="n"/>
      <c r="E19" s="332" t="n"/>
    </row>
    <row r="20" ht="15" customHeight="1" s="371">
      <c r="C20" s="331" t="n"/>
      <c r="D20" s="332" t="n"/>
      <c r="E20" s="332" t="n"/>
    </row>
    <row r="21" ht="15" customHeight="1" s="371">
      <c r="C21" s="331" t="inlineStr">
        <is>
          <t>Проверил ______________________        А.В. Костянецкая</t>
        </is>
      </c>
      <c r="D21" s="332" t="n"/>
      <c r="E21" s="332" t="n"/>
    </row>
    <row r="22" ht="15" customHeight="1" s="371">
      <c r="C22" s="334" t="inlineStr">
        <is>
          <t xml:space="preserve">                        (подпись, инициалы, фамилия)</t>
        </is>
      </c>
      <c r="D22" s="332" t="n"/>
      <c r="E22" s="332" t="n"/>
    </row>
    <row r="23" ht="15" customHeight="1" s="371"/>
    <row r="24" ht="15" customHeight="1" s="371"/>
    <row r="25" ht="15" customHeight="1" s="371"/>
    <row r="26" ht="15" customHeight="1" s="371"/>
    <row r="27" ht="15" customHeight="1" s="371"/>
    <row r="28" ht="15" customHeight="1" s="37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179"/>
  <sheetViews>
    <sheetView view="pageBreakPreview" topLeftCell="A159" zoomScale="70" workbookViewId="0">
      <selection activeCell="C176" sqref="C176"/>
    </sheetView>
  </sheetViews>
  <sheetFormatPr baseColWidth="8" defaultColWidth="9.140625" defaultRowHeight="15.75"/>
  <cols>
    <col width="9.140625" customWidth="1" style="370" min="1" max="1"/>
    <col width="12.5703125" customWidth="1" style="370" min="2" max="2"/>
    <col width="22.42578125" customWidth="1" style="370" min="3" max="3"/>
    <col width="49.7109375" customWidth="1" style="370" min="4" max="4"/>
    <col width="10.140625" customWidth="1" style="370" min="5" max="5"/>
    <col width="20.7109375" customWidth="1" style="370" min="6" max="6"/>
    <col width="20" customWidth="1" style="370" min="7" max="7"/>
    <col width="16.7109375" customWidth="1" style="370" min="8" max="9"/>
    <col width="9.140625" customWidth="1" style="370" min="10" max="11"/>
    <col width="15" customWidth="1" style="370" min="12" max="12"/>
    <col width="9.140625" customWidth="1" style="370" min="13" max="13"/>
  </cols>
  <sheetData>
    <row r="2">
      <c r="A2" s="385" t="inlineStr">
        <is>
          <t xml:space="preserve">Приложение № 3 </t>
        </is>
      </c>
      <c r="I2" s="385" t="n"/>
    </row>
    <row r="3">
      <c r="A3" s="386" t="inlineStr">
        <is>
          <t>Объектная ресурсная ведомость</t>
        </is>
      </c>
      <c r="I3" s="386" t="n"/>
    </row>
    <row r="4" ht="18.75" customHeight="1" s="371">
      <c r="A4" s="229" t="n"/>
      <c r="B4" s="229" t="n"/>
      <c r="C4" s="40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400" t="n"/>
    </row>
    <row r="5">
      <c r="A5" s="387" t="n"/>
    </row>
    <row r="6" ht="42.75" customHeight="1" s="371">
      <c r="A6" s="394" t="inlineStr">
        <is>
          <t>Наименование разрабатываемого показателя УНЦ — Система видеоаналитики на 128 видеокамер</t>
        </is>
      </c>
      <c r="I6" s="394" t="n"/>
    </row>
    <row r="7">
      <c r="A7" s="395" t="n"/>
      <c r="B7" s="395" t="n"/>
      <c r="C7" s="395" t="n"/>
      <c r="D7" s="395" t="n"/>
      <c r="E7" s="395" t="n"/>
      <c r="F7" s="395" t="n"/>
      <c r="G7" s="395" t="n"/>
      <c r="H7" s="395" t="n"/>
      <c r="I7" s="395" t="n"/>
    </row>
    <row r="8" ht="38.25" customHeight="1" s="371">
      <c r="A8" s="393" t="inlineStr">
        <is>
          <t>п/п</t>
        </is>
      </c>
      <c r="B8" s="393" t="inlineStr">
        <is>
          <t>№ЛСР</t>
        </is>
      </c>
      <c r="C8" s="393" t="inlineStr">
        <is>
          <t>Код ресурса</t>
        </is>
      </c>
      <c r="D8" s="393" t="inlineStr">
        <is>
          <t>Наименование ресурса</t>
        </is>
      </c>
      <c r="E8" s="393" t="inlineStr">
        <is>
          <t>Ед. изм.</t>
        </is>
      </c>
      <c r="F8" s="393" t="inlineStr">
        <is>
          <t>Кол-во единиц по данным объекта-представителя</t>
        </is>
      </c>
      <c r="G8" s="393" t="inlineStr">
        <is>
          <t>Сметная стоимость в ценах на 01.01.2000 (руб.)</t>
        </is>
      </c>
      <c r="H8" s="478" t="n"/>
      <c r="I8" s="369" t="n"/>
    </row>
    <row r="9" ht="40.5" customHeight="1" s="371">
      <c r="A9" s="480" t="n"/>
      <c r="B9" s="480" t="n"/>
      <c r="C9" s="480" t="n"/>
      <c r="D9" s="480" t="n"/>
      <c r="E9" s="480" t="n"/>
      <c r="F9" s="480" t="n"/>
      <c r="G9" s="393" t="inlineStr">
        <is>
          <t>на ед.изм.</t>
        </is>
      </c>
      <c r="H9" s="393" t="inlineStr">
        <is>
          <t>общая</t>
        </is>
      </c>
      <c r="I9" s="369" t="n"/>
    </row>
    <row r="10">
      <c r="A10" s="354" t="n">
        <v>1</v>
      </c>
      <c r="B10" s="354" t="n"/>
      <c r="C10" s="354" t="n">
        <v>2</v>
      </c>
      <c r="D10" s="354" t="inlineStr">
        <is>
          <t>З</t>
        </is>
      </c>
      <c r="E10" s="354" t="n">
        <v>4</v>
      </c>
      <c r="F10" s="354" t="n">
        <v>5</v>
      </c>
      <c r="G10" s="354" t="n">
        <v>6</v>
      </c>
      <c r="H10" s="365" t="n">
        <v>7</v>
      </c>
      <c r="I10" s="369" t="n"/>
      <c r="J10" s="370" t="n"/>
      <c r="K10" s="370" t="n"/>
      <c r="L10" s="370" t="n"/>
      <c r="M10" s="370" t="n"/>
    </row>
    <row r="11" customFormat="1" s="373">
      <c r="A11" s="397" t="inlineStr">
        <is>
          <t>Затраты труда рабочих</t>
        </is>
      </c>
      <c r="B11" s="477" t="n"/>
      <c r="C11" s="477" t="n"/>
      <c r="D11" s="477" t="n"/>
      <c r="E11" s="478" t="n"/>
      <c r="F11" s="481" t="n">
        <v>10880.33</v>
      </c>
      <c r="G11" s="224" t="n"/>
      <c r="H11" s="482">
        <f>SUM(H12:H31)</f>
        <v/>
      </c>
      <c r="I11" s="483" t="n"/>
      <c r="J11" s="373" t="n"/>
      <c r="K11" s="373" t="n"/>
      <c r="L11" s="373" t="n"/>
      <c r="M11" s="373" t="n"/>
      <c r="N11" s="373" t="n"/>
    </row>
    <row r="12">
      <c r="A12" s="271" t="n">
        <v>1</v>
      </c>
      <c r="B12" s="195" t="n"/>
      <c r="C12" s="271" t="inlineStr">
        <is>
          <t>1-6-0</t>
        </is>
      </c>
      <c r="D12" s="272" t="inlineStr">
        <is>
          <t>Затраты труда рабочих (ср 6)</t>
        </is>
      </c>
      <c r="E12" s="431" t="inlineStr">
        <is>
          <t>чел.-ч</t>
        </is>
      </c>
      <c r="F12" s="484" t="n">
        <v>8645.549999999999</v>
      </c>
      <c r="G12" s="270" t="n">
        <v>12.92</v>
      </c>
      <c r="H12" s="367">
        <f>ROUND(F12*G12,2)</f>
        <v/>
      </c>
      <c r="I12" s="374" t="n"/>
      <c r="J12" s="375" t="n"/>
      <c r="K12" s="375" t="n"/>
      <c r="L12" s="375" t="n"/>
      <c r="M12" s="370" t="n"/>
    </row>
    <row r="13">
      <c r="A13" s="431" t="n">
        <v>2</v>
      </c>
      <c r="B13" s="195" t="n"/>
      <c r="C13" s="271" t="inlineStr">
        <is>
          <t>10-3-1</t>
        </is>
      </c>
      <c r="D13" s="272" t="inlineStr">
        <is>
          <t>Инженер I категории</t>
        </is>
      </c>
      <c r="E13" s="431" t="inlineStr">
        <is>
          <t>чел.-ч</t>
        </is>
      </c>
      <c r="F13" s="484" t="n">
        <v>520.25</v>
      </c>
      <c r="G13" s="270" t="n">
        <v>15.49</v>
      </c>
      <c r="H13" s="367">
        <f>ROUND(F13*G13,2)</f>
        <v/>
      </c>
      <c r="I13" s="374" t="n"/>
      <c r="J13" s="375" t="n"/>
      <c r="K13" s="375" t="n"/>
      <c r="L13" s="375" t="n"/>
      <c r="M13" s="370" t="n"/>
    </row>
    <row r="14">
      <c r="A14" s="271" t="n">
        <v>3</v>
      </c>
      <c r="B14" s="195" t="n"/>
      <c r="C14" s="271" t="inlineStr">
        <is>
          <t>10-3-2</t>
        </is>
      </c>
      <c r="D14" s="272" t="inlineStr">
        <is>
          <t>Инженер II категории</t>
        </is>
      </c>
      <c r="E14" s="431" t="inlineStr">
        <is>
          <t>чел.-ч</t>
        </is>
      </c>
      <c r="F14" s="484" t="n">
        <v>500</v>
      </c>
      <c r="G14" s="270" t="n">
        <v>14.09</v>
      </c>
      <c r="H14" s="367">
        <f>ROUND(F14*G14,2)</f>
        <v/>
      </c>
      <c r="I14" s="374" t="n"/>
      <c r="J14" s="375" t="n"/>
      <c r="K14" s="375" t="n"/>
      <c r="L14" s="375" t="n"/>
      <c r="M14" s="370" t="n"/>
    </row>
    <row r="15">
      <c r="A15" s="431" t="n">
        <v>4</v>
      </c>
      <c r="B15" s="195" t="n"/>
      <c r="C15" s="271" t="inlineStr">
        <is>
          <t>1-3-8</t>
        </is>
      </c>
      <c r="D15" s="272" t="inlineStr">
        <is>
          <t>Затраты труда рабочих (ср 3,8)</t>
        </is>
      </c>
      <c r="E15" s="431" t="inlineStr">
        <is>
          <t>чел.-ч</t>
        </is>
      </c>
      <c r="F15" s="484" t="n">
        <v>461.3</v>
      </c>
      <c r="G15" s="270" t="n">
        <v>9.4</v>
      </c>
      <c r="H15" s="367">
        <f>ROUND(F15*G15,2)</f>
        <v/>
      </c>
      <c r="I15" s="374" t="n"/>
      <c r="J15" s="375" t="n"/>
      <c r="K15" s="375" t="n"/>
      <c r="L15" s="375" t="n"/>
      <c r="M15" s="370" t="n"/>
    </row>
    <row r="16">
      <c r="A16" s="271" t="n">
        <v>5</v>
      </c>
      <c r="B16" s="195" t="n"/>
      <c r="C16" s="271" t="inlineStr">
        <is>
          <t>1-4-5</t>
        </is>
      </c>
      <c r="D16" s="272" t="inlineStr">
        <is>
          <t>Затраты труда рабочих (ср 4,5)</t>
        </is>
      </c>
      <c r="E16" s="431" t="inlineStr">
        <is>
          <t>чел.-ч</t>
        </is>
      </c>
      <c r="F16" s="484" t="n">
        <v>197.63</v>
      </c>
      <c r="G16" s="270" t="n">
        <v>10.35</v>
      </c>
      <c r="H16" s="367">
        <f>ROUND(F16*G16,2)</f>
        <v/>
      </c>
      <c r="I16" s="374" t="n"/>
      <c r="J16" s="375" t="n"/>
      <c r="K16" s="375" t="n"/>
      <c r="L16" s="375" t="n"/>
      <c r="M16" s="370" t="n"/>
    </row>
    <row r="17">
      <c r="A17" s="431" t="n">
        <v>6</v>
      </c>
      <c r="B17" s="195" t="n"/>
      <c r="C17" s="271" t="inlineStr">
        <is>
          <t>1-3-0</t>
        </is>
      </c>
      <c r="D17" s="272" t="inlineStr">
        <is>
          <t>Затраты труда рабочих (ср 3)</t>
        </is>
      </c>
      <c r="E17" s="431" t="inlineStr">
        <is>
          <t>чел.-ч</t>
        </is>
      </c>
      <c r="F17" s="484" t="n">
        <v>218.88</v>
      </c>
      <c r="G17" s="270" t="n">
        <v>8.529999999999999</v>
      </c>
      <c r="H17" s="367">
        <f>ROUND(F17*G17,2)</f>
        <v/>
      </c>
      <c r="I17" s="374" t="n"/>
      <c r="J17" s="375" t="n"/>
      <c r="K17" s="375" t="n"/>
      <c r="L17" s="375" t="n"/>
      <c r="M17" s="370" t="n"/>
    </row>
    <row r="18">
      <c r="A18" s="271" t="n">
        <v>7</v>
      </c>
      <c r="B18" s="195" t="n"/>
      <c r="C18" s="271" t="inlineStr">
        <is>
          <t>1-4-9</t>
        </is>
      </c>
      <c r="D18" s="272" t="inlineStr">
        <is>
          <t>Затраты труда рабочих (ср 4,9)</t>
        </is>
      </c>
      <c r="E18" s="431" t="inlineStr">
        <is>
          <t>чел.-ч</t>
        </is>
      </c>
      <c r="F18" s="484" t="n">
        <v>72.47</v>
      </c>
      <c r="G18" s="270" t="n">
        <v>10.94</v>
      </c>
      <c r="H18" s="367">
        <f>ROUND(F18*G18,2)</f>
        <v/>
      </c>
      <c r="I18" s="374" t="n"/>
      <c r="J18" s="375" t="n"/>
      <c r="K18" s="375" t="n"/>
      <c r="L18" s="375" t="n"/>
      <c r="M18" s="370" t="n"/>
    </row>
    <row r="19">
      <c r="A19" s="431" t="n">
        <v>8</v>
      </c>
      <c r="B19" s="195" t="n"/>
      <c r="C19" s="271" t="inlineStr">
        <is>
          <t>1-3-4</t>
        </is>
      </c>
      <c r="D19" s="272" t="inlineStr">
        <is>
          <t>Затраты труда рабочих (ср 3,4)</t>
        </is>
      </c>
      <c r="E19" s="431" t="inlineStr">
        <is>
          <t>чел.-ч</t>
        </is>
      </c>
      <c r="F19" s="484" t="n">
        <v>74</v>
      </c>
      <c r="G19" s="270" t="n">
        <v>8.970000000000001</v>
      </c>
      <c r="H19" s="367">
        <f>ROUND(F19*G19,2)</f>
        <v/>
      </c>
      <c r="I19" s="374" t="n"/>
      <c r="J19" s="375" t="n"/>
      <c r="K19" s="375" t="n"/>
      <c r="L19" s="375" t="n"/>
      <c r="M19" s="370" t="n"/>
    </row>
    <row r="20">
      <c r="A20" s="271" t="n">
        <v>9</v>
      </c>
      <c r="B20" s="195" t="n"/>
      <c r="C20" s="271" t="inlineStr">
        <is>
          <t>1-4-0</t>
        </is>
      </c>
      <c r="D20" s="272" t="inlineStr">
        <is>
          <t>Затраты труда рабочих (ср 4)</t>
        </is>
      </c>
      <c r="E20" s="431" t="inlineStr">
        <is>
          <t>чел.-ч</t>
        </is>
      </c>
      <c r="F20" s="484" t="n">
        <v>61.31</v>
      </c>
      <c r="G20" s="270" t="n">
        <v>9.619999999999999</v>
      </c>
      <c r="H20" s="367">
        <f>ROUND(F20*G20,2)</f>
        <v/>
      </c>
      <c r="I20" s="374" t="n"/>
      <c r="J20" s="375" t="n"/>
      <c r="K20" s="375" t="n"/>
      <c r="L20" s="375" t="n"/>
      <c r="M20" s="370" t="n"/>
    </row>
    <row r="21">
      <c r="A21" s="431" t="n">
        <v>10</v>
      </c>
      <c r="B21" s="195" t="n"/>
      <c r="C21" s="271" t="inlineStr">
        <is>
          <t>1-4-1</t>
        </is>
      </c>
      <c r="D21" s="272" t="inlineStr">
        <is>
          <t>Затраты труда рабочих (ср 4,1)</t>
        </is>
      </c>
      <c r="E21" s="431" t="inlineStr">
        <is>
          <t>чел.-ч</t>
        </is>
      </c>
      <c r="F21" s="484" t="n">
        <v>42.92</v>
      </c>
      <c r="G21" s="270" t="n">
        <v>9.76</v>
      </c>
      <c r="H21" s="367">
        <f>ROUND(F21*G21,2)</f>
        <v/>
      </c>
      <c r="I21" s="374" t="n"/>
      <c r="J21" s="375" t="n"/>
      <c r="K21" s="375" t="n"/>
      <c r="L21" s="375" t="n"/>
      <c r="M21" s="370" t="n"/>
    </row>
    <row r="22">
      <c r="A22" s="271" t="n">
        <v>11</v>
      </c>
      <c r="B22" s="195" t="n"/>
      <c r="C22" s="271" t="inlineStr">
        <is>
          <t>10-2-1</t>
        </is>
      </c>
      <c r="D22" s="272" t="inlineStr">
        <is>
          <t>Ведущий инженер</t>
        </is>
      </c>
      <c r="E22" s="431" t="inlineStr">
        <is>
          <t>чел.-ч</t>
        </is>
      </c>
      <c r="F22" s="484" t="n">
        <v>22.35</v>
      </c>
      <c r="G22" s="270" t="n">
        <v>16.93</v>
      </c>
      <c r="H22" s="367">
        <f>ROUND(F22*G22,2)</f>
        <v/>
      </c>
      <c r="I22" s="374" t="n"/>
      <c r="J22" s="375" t="n"/>
      <c r="K22" s="375" t="n"/>
      <c r="L22" s="375" t="n"/>
      <c r="M22" s="370" t="n"/>
    </row>
    <row r="23">
      <c r="A23" s="431" t="n">
        <v>12</v>
      </c>
      <c r="B23" s="195" t="n"/>
      <c r="C23" s="271" t="inlineStr">
        <is>
          <t>1-5-0</t>
        </is>
      </c>
      <c r="D23" s="272" t="inlineStr">
        <is>
          <t>Затраты труда рабочих (ср 5)</t>
        </is>
      </c>
      <c r="E23" s="431" t="inlineStr">
        <is>
          <t>чел.-ч</t>
        </is>
      </c>
      <c r="F23" s="484" t="n">
        <v>14.65</v>
      </c>
      <c r="G23" s="270" t="n">
        <v>11.09</v>
      </c>
      <c r="H23" s="367">
        <f>ROUND(F23*G23,2)</f>
        <v/>
      </c>
      <c r="I23" s="374" t="n"/>
      <c r="J23" s="375" t="n"/>
      <c r="K23" s="375" t="n"/>
      <c r="L23" s="375" t="n"/>
      <c r="M23" s="370" t="n"/>
    </row>
    <row r="24">
      <c r="A24" s="271" t="n">
        <v>13</v>
      </c>
      <c r="B24" s="195" t="n"/>
      <c r="C24" s="271" t="inlineStr">
        <is>
          <t>1-2-0</t>
        </is>
      </c>
      <c r="D24" s="272" t="inlineStr">
        <is>
          <t>Затраты труда рабочих (ср 2)</t>
        </is>
      </c>
      <c r="E24" s="431" t="inlineStr">
        <is>
          <t>чел.-ч</t>
        </is>
      </c>
      <c r="F24" s="484" t="n">
        <v>16.63</v>
      </c>
      <c r="G24" s="270" t="n">
        <v>7.8</v>
      </c>
      <c r="H24" s="367">
        <f>ROUND(F24*G24,2)</f>
        <v/>
      </c>
      <c r="I24" s="374" t="n"/>
      <c r="J24" s="375" t="n"/>
      <c r="K24" s="375" t="n"/>
      <c r="L24" s="375" t="n"/>
      <c r="M24" s="370" t="n"/>
    </row>
    <row r="25">
      <c r="A25" s="431" t="n">
        <v>14</v>
      </c>
      <c r="B25" s="195" t="n"/>
      <c r="C25" s="271" t="inlineStr">
        <is>
          <t>1-3-5</t>
        </is>
      </c>
      <c r="D25" s="272" t="inlineStr">
        <is>
          <t>Затраты труда рабочих (ср 3,5)</t>
        </is>
      </c>
      <c r="E25" s="431" t="inlineStr">
        <is>
          <t>чел.-ч</t>
        </is>
      </c>
      <c r="F25" s="484" t="n">
        <v>8.119999999999999</v>
      </c>
      <c r="G25" s="270" t="n">
        <v>9.07</v>
      </c>
      <c r="H25" s="367">
        <f>ROUND(F25*G25,2)</f>
        <v/>
      </c>
      <c r="I25" s="374" t="n"/>
      <c r="J25" s="375" t="n"/>
      <c r="K25" s="375" t="n"/>
      <c r="L25" s="375" t="n"/>
      <c r="M25" s="370" t="n"/>
    </row>
    <row r="26">
      <c r="A26" s="271" t="n">
        <v>15</v>
      </c>
      <c r="B26" s="195" t="n"/>
      <c r="C26" s="271" t="inlineStr">
        <is>
          <t>1-1-5</t>
        </is>
      </c>
      <c r="D26" s="272" t="inlineStr">
        <is>
          <t>Затраты труда рабочих (ср 1,5)</t>
        </is>
      </c>
      <c r="E26" s="431" t="inlineStr">
        <is>
          <t>чел.-ч</t>
        </is>
      </c>
      <c r="F26" s="484" t="n">
        <v>7</v>
      </c>
      <c r="G26" s="270" t="n">
        <v>7.5</v>
      </c>
      <c r="H26" s="367">
        <f>ROUND(F26*G26,2)</f>
        <v/>
      </c>
      <c r="I26" s="374" t="n"/>
      <c r="J26" s="375" t="n"/>
      <c r="K26" s="375" t="n"/>
      <c r="L26" s="375" t="n"/>
      <c r="M26" s="370" t="n"/>
    </row>
    <row r="27">
      <c r="A27" s="431" t="n">
        <v>16</v>
      </c>
      <c r="B27" s="195" t="n"/>
      <c r="C27" s="271" t="inlineStr">
        <is>
          <t>1-3-6</t>
        </is>
      </c>
      <c r="D27" s="272" t="inlineStr">
        <is>
          <t>Затраты труда рабочих (ср 3,6)</t>
        </is>
      </c>
      <c r="E27" s="431" t="inlineStr">
        <is>
          <t>чел.-ч</t>
        </is>
      </c>
      <c r="F27" s="484" t="n">
        <v>5.47</v>
      </c>
      <c r="G27" s="270" t="n">
        <v>9.18</v>
      </c>
      <c r="H27" s="367">
        <f>ROUND(F27*G27,2)</f>
        <v/>
      </c>
      <c r="I27" s="374" t="n"/>
      <c r="J27" s="375" t="n"/>
      <c r="K27" s="375" t="n"/>
      <c r="L27" s="375" t="n"/>
      <c r="M27" s="370" t="n"/>
    </row>
    <row r="28">
      <c r="A28" s="271" t="n">
        <v>17</v>
      </c>
      <c r="B28" s="195" t="n"/>
      <c r="C28" s="271" t="inlineStr">
        <is>
          <t>1-3-9</t>
        </is>
      </c>
      <c r="D28" s="272" t="inlineStr">
        <is>
          <t>Затраты труда рабочих (ср 3,9)</t>
        </is>
      </c>
      <c r="E28" s="431" t="inlineStr">
        <is>
          <t>чел.-ч</t>
        </is>
      </c>
      <c r="F28" s="484" t="n">
        <v>4.33</v>
      </c>
      <c r="G28" s="270" t="n">
        <v>9.51</v>
      </c>
      <c r="H28" s="367">
        <f>ROUND(F28*G28,2)</f>
        <v/>
      </c>
      <c r="I28" s="374" t="n"/>
      <c r="J28" s="375" t="n"/>
      <c r="K28" s="375" t="n"/>
      <c r="L28" s="375" t="n"/>
      <c r="M28" s="370" t="n"/>
    </row>
    <row r="29">
      <c r="A29" s="431" t="n">
        <v>18</v>
      </c>
      <c r="B29" s="195" t="n"/>
      <c r="C29" s="271" t="inlineStr">
        <is>
          <t>1-3-1</t>
        </is>
      </c>
      <c r="D29" s="272" t="inlineStr">
        <is>
          <t>Затраты труда рабочих (ср 3,1)</t>
        </is>
      </c>
      <c r="E29" s="431" t="inlineStr">
        <is>
          <t>чел.-ч</t>
        </is>
      </c>
      <c r="F29" s="484" t="n">
        <v>3.09</v>
      </c>
      <c r="G29" s="270" t="n">
        <v>8.640000000000001</v>
      </c>
      <c r="H29" s="367">
        <f>ROUND(F29*G29,2)</f>
        <v/>
      </c>
      <c r="I29" s="374" t="n"/>
      <c r="J29" s="375" t="n"/>
      <c r="K29" s="375" t="n"/>
      <c r="L29" s="375" t="n"/>
      <c r="M29" s="370" t="n"/>
    </row>
    <row r="30">
      <c r="A30" s="271" t="n">
        <v>19</v>
      </c>
      <c r="B30" s="195" t="n"/>
      <c r="C30" s="271" t="inlineStr">
        <is>
          <t>1-4-3</t>
        </is>
      </c>
      <c r="D30" s="272" t="inlineStr">
        <is>
          <t>Затраты труда рабочих (ср 4,3)</t>
        </is>
      </c>
      <c r="E30" s="431" t="inlineStr">
        <is>
          <t>чел.-ч</t>
        </is>
      </c>
      <c r="F30" s="484" t="n">
        <v>2.62</v>
      </c>
      <c r="G30" s="270" t="n">
        <v>10.06</v>
      </c>
      <c r="H30" s="367">
        <f>ROUND(F30*G30,2)</f>
        <v/>
      </c>
      <c r="I30" s="374" t="n"/>
      <c r="J30" s="375" t="n"/>
      <c r="K30" s="375" t="n"/>
      <c r="L30" s="375" t="n"/>
      <c r="M30" s="370" t="n"/>
    </row>
    <row r="31">
      <c r="A31" s="431" t="n">
        <v>20</v>
      </c>
      <c r="B31" s="195" t="n"/>
      <c r="C31" s="271" t="inlineStr">
        <is>
          <t>1-4-2</t>
        </is>
      </c>
      <c r="D31" s="272" t="inlineStr">
        <is>
          <t>Затраты труда рабочих (ср 4,2)</t>
        </is>
      </c>
      <c r="E31" s="431" t="inlineStr">
        <is>
          <t>чел.-ч</t>
        </is>
      </c>
      <c r="F31" s="484" t="n">
        <v>1.76</v>
      </c>
      <c r="G31" s="270" t="n">
        <v>9.92</v>
      </c>
      <c r="H31" s="367">
        <f>ROUND(F31*G31,2)</f>
        <v/>
      </c>
      <c r="I31" s="374" t="n"/>
      <c r="J31" s="375" t="n"/>
      <c r="K31" s="375" t="n"/>
      <c r="L31" s="375" t="n"/>
      <c r="M31" s="370" t="n"/>
    </row>
    <row r="32">
      <c r="A32" s="396" t="inlineStr">
        <is>
          <t>Затраты труда машинистов</t>
        </is>
      </c>
      <c r="B32" s="477" t="n"/>
      <c r="C32" s="477" t="n"/>
      <c r="D32" s="477" t="n"/>
      <c r="E32" s="478" t="n"/>
      <c r="F32" s="397" t="n"/>
      <c r="G32" s="193" t="n"/>
      <c r="H32" s="482">
        <f>H33</f>
        <v/>
      </c>
      <c r="I32" s="483" t="n"/>
      <c r="J32" s="370" t="n"/>
      <c r="K32" s="370" t="n"/>
      <c r="L32" s="370" t="n"/>
      <c r="M32" s="370" t="n"/>
    </row>
    <row r="33">
      <c r="A33" s="431" t="n">
        <v>21</v>
      </c>
      <c r="B33" s="398" t="n"/>
      <c r="C33" s="271" t="n">
        <v>2</v>
      </c>
      <c r="D33" s="272" t="inlineStr">
        <is>
          <t>Затраты труда машинистов</t>
        </is>
      </c>
      <c r="E33" s="431" t="inlineStr">
        <is>
          <t>чел.-ч</t>
        </is>
      </c>
      <c r="F33" s="485" t="n">
        <v>69.04000000000001</v>
      </c>
      <c r="G33" s="270" t="n">
        <v>0</v>
      </c>
      <c r="H33" s="486" t="n">
        <v>829.5599999999999</v>
      </c>
      <c r="I33" s="487" t="n"/>
      <c r="J33" s="370" t="n"/>
      <c r="K33" s="370" t="n"/>
      <c r="L33" s="370" t="n"/>
      <c r="M33" s="370" t="n"/>
    </row>
    <row r="34" customFormat="1" s="373">
      <c r="A34" s="397" t="inlineStr">
        <is>
          <t>Машины и механизмы</t>
        </is>
      </c>
      <c r="B34" s="477" t="n"/>
      <c r="C34" s="477" t="n"/>
      <c r="D34" s="477" t="n"/>
      <c r="E34" s="478" t="n"/>
      <c r="F34" s="397" t="n"/>
      <c r="G34" s="193" t="n"/>
      <c r="H34" s="482">
        <f>SUM(H35:H53)</f>
        <v/>
      </c>
      <c r="I34" s="483" t="n"/>
      <c r="J34" s="373" t="n"/>
      <c r="K34" s="373" t="n"/>
      <c r="L34" s="373" t="n"/>
      <c r="M34" s="373" t="n"/>
      <c r="N34" s="373" t="n"/>
    </row>
    <row r="35" ht="25.5" customHeight="1" s="371">
      <c r="A35" s="431" t="n">
        <v>22</v>
      </c>
      <c r="B35" s="398" t="n"/>
      <c r="C35" s="271" t="inlineStr">
        <is>
          <t>91.11.01-012</t>
        </is>
      </c>
      <c r="D35" s="272" t="inlineStr">
        <is>
          <t>Машины монтажные для выполнения работ при прокладке и монтаже кабеля на базе автомобиля</t>
        </is>
      </c>
      <c r="E35" s="431" t="inlineStr">
        <is>
          <t>маш.час</t>
        </is>
      </c>
      <c r="F35" s="271" t="n">
        <v>33.68</v>
      </c>
      <c r="G35" s="238" t="n">
        <v>110.86</v>
      </c>
      <c r="H35" s="270">
        <f>ROUND(F35*G35,2)</f>
        <v/>
      </c>
      <c r="I35" s="374" t="n"/>
      <c r="J35" s="231" t="n"/>
      <c r="K35" s="230" t="n"/>
      <c r="M35" s="231" t="n"/>
    </row>
    <row r="36" ht="25.5" customHeight="1" s="371">
      <c r="A36" s="431" t="n">
        <v>23</v>
      </c>
      <c r="B36" s="398" t="n"/>
      <c r="C36" s="271" t="inlineStr">
        <is>
          <t>91.05.05-015</t>
        </is>
      </c>
      <c r="D36" s="272" t="inlineStr">
        <is>
          <t>Краны на автомобильном ходу, грузоподъемность 16 т</t>
        </is>
      </c>
      <c r="E36" s="431" t="inlineStr">
        <is>
          <t>маш.час</t>
        </is>
      </c>
      <c r="F36" s="271" t="n">
        <v>12.75</v>
      </c>
      <c r="G36" s="238" t="n">
        <v>115.4</v>
      </c>
      <c r="H36" s="270">
        <f>ROUND(F36*G36,2)</f>
        <v/>
      </c>
      <c r="I36" s="374" t="n"/>
      <c r="J36" s="231" t="n"/>
      <c r="K36" s="230" t="n"/>
      <c r="M36" s="231" t="n"/>
    </row>
    <row r="37">
      <c r="A37" s="431" t="n">
        <v>24</v>
      </c>
      <c r="B37" s="398" t="n"/>
      <c r="C37" s="271" t="inlineStr">
        <is>
          <t>91.06.09-001</t>
        </is>
      </c>
      <c r="D37" s="272" t="inlineStr">
        <is>
          <t>Вышки телескопические 25 м</t>
        </is>
      </c>
      <c r="E37" s="431" t="inlineStr">
        <is>
          <t>маш.час</t>
        </is>
      </c>
      <c r="F37" s="271" t="n">
        <v>7.49</v>
      </c>
      <c r="G37" s="238" t="n">
        <v>142.7</v>
      </c>
      <c r="H37" s="270">
        <f>ROUND(F37*G37,2)</f>
        <v/>
      </c>
      <c r="I37" s="374" t="n"/>
      <c r="J37" s="231" t="n"/>
      <c r="K37" s="230" t="n"/>
      <c r="M37" s="231" t="n"/>
    </row>
    <row r="38">
      <c r="A38" s="431" t="n">
        <v>25</v>
      </c>
      <c r="B38" s="398" t="n"/>
      <c r="C38" s="271" t="inlineStr">
        <is>
          <t>91.06.05-011</t>
        </is>
      </c>
      <c r="D38" s="272" t="inlineStr">
        <is>
          <t>Погрузчики, грузоподъемность 5 т</t>
        </is>
      </c>
      <c r="E38" s="431" t="inlineStr">
        <is>
          <t>маш.час</t>
        </is>
      </c>
      <c r="F38" s="271" t="n">
        <v>7.03</v>
      </c>
      <c r="G38" s="238" t="n">
        <v>89.98999999999999</v>
      </c>
      <c r="H38" s="270">
        <f>ROUND(F38*G38,2)</f>
        <v/>
      </c>
      <c r="I38" s="374" t="n"/>
      <c r="J38" s="231" t="n"/>
      <c r="K38" s="230" t="n"/>
      <c r="M38" s="231" t="n"/>
    </row>
    <row r="39">
      <c r="A39" s="431" t="n">
        <v>26</v>
      </c>
      <c r="B39" s="398" t="n"/>
      <c r="C39" s="271" t="inlineStr">
        <is>
          <t>91.14.02-001</t>
        </is>
      </c>
      <c r="D39" s="272" t="inlineStr">
        <is>
          <t>Автомобили бортовые, грузоподъемность до 5 т</t>
        </is>
      </c>
      <c r="E39" s="431" t="inlineStr">
        <is>
          <t>маш.час</t>
        </is>
      </c>
      <c r="F39" s="271" t="n">
        <v>7.48</v>
      </c>
      <c r="G39" s="238" t="n">
        <v>65.70999999999999</v>
      </c>
      <c r="H39" s="270">
        <f>ROUND(F39*G39,2)</f>
        <v/>
      </c>
      <c r="I39" s="374" t="n"/>
      <c r="J39" s="231" t="n"/>
      <c r="K39" s="230" t="n"/>
      <c r="M39" s="231" t="n"/>
    </row>
    <row r="40" ht="25.5" customHeight="1" s="371">
      <c r="A40" s="431" t="n">
        <v>27</v>
      </c>
      <c r="B40" s="398" t="n"/>
      <c r="C40" s="271" t="inlineStr">
        <is>
          <t>91.01.01-001</t>
        </is>
      </c>
      <c r="D40" s="272" t="inlineStr">
        <is>
          <t>Бульдозеры в составе кабелеукладочной колонны, мощность 128,7 кВт (175 л.с.)</t>
        </is>
      </c>
      <c r="E40" s="431" t="inlineStr">
        <is>
          <t>маш.час</t>
        </is>
      </c>
      <c r="F40" s="271" t="n">
        <v>0.55</v>
      </c>
      <c r="G40" s="238" t="n">
        <v>332.31</v>
      </c>
      <c r="H40" s="270">
        <f>ROUND(F40*G40,2)</f>
        <v/>
      </c>
      <c r="I40" s="374" t="n"/>
      <c r="J40" s="231" t="n"/>
      <c r="K40" s="230" t="n"/>
      <c r="M40" s="231" t="n"/>
    </row>
    <row r="41">
      <c r="A41" s="431" t="n">
        <v>28</v>
      </c>
      <c r="B41" s="398" t="n"/>
      <c r="C41" s="271" t="inlineStr">
        <is>
          <t>91.21.22-341</t>
        </is>
      </c>
      <c r="D41" s="272" t="inlineStr">
        <is>
          <t>Рефлектометры</t>
        </is>
      </c>
      <c r="E41" s="431" t="inlineStr">
        <is>
          <t>маш.час</t>
        </is>
      </c>
      <c r="F41" s="271" t="n">
        <v>16.05</v>
      </c>
      <c r="G41" s="238" t="n">
        <v>10.62</v>
      </c>
      <c r="H41" s="270">
        <f>ROUND(F41*G41,2)</f>
        <v/>
      </c>
      <c r="I41" s="374" t="n"/>
      <c r="J41" s="231" t="n"/>
      <c r="K41" s="230" t="n"/>
      <c r="M41" s="231" t="n"/>
    </row>
    <row r="42" ht="25.5" customHeight="1" s="371">
      <c r="A42" s="431" t="n">
        <v>29</v>
      </c>
      <c r="B42" s="398" t="n"/>
      <c r="C42" s="271" t="inlineStr">
        <is>
          <t>91.17.04-036</t>
        </is>
      </c>
      <c r="D42" s="272" t="inlineStr">
        <is>
          <t>Агрегаты сварочные передвижные с дизельным двигателем, номинальный сварочный ток 250-400 А</t>
        </is>
      </c>
      <c r="E42" s="431" t="inlineStr">
        <is>
          <t>маш.час</t>
        </is>
      </c>
      <c r="F42" s="271" t="n">
        <v>10.42</v>
      </c>
      <c r="G42" s="238" t="n">
        <v>14</v>
      </c>
      <c r="H42" s="270">
        <f>ROUND(F42*G42,2)</f>
        <v/>
      </c>
      <c r="I42" s="374" t="n"/>
      <c r="J42" s="231" t="n"/>
      <c r="K42" s="230" t="n"/>
      <c r="M42" s="231" t="n"/>
    </row>
    <row r="43" ht="25.5" customHeight="1" s="371">
      <c r="A43" s="431" t="n">
        <v>30</v>
      </c>
      <c r="B43" s="398" t="n"/>
      <c r="C43" s="271" t="inlineStr">
        <is>
          <t>91.06.03-061</t>
        </is>
      </c>
      <c r="D43" s="272" t="inlineStr">
        <is>
          <t>Лебедки электрические тяговым усилием до 12,26 кН (1,25 т)</t>
        </is>
      </c>
      <c r="E43" s="431" t="inlineStr">
        <is>
          <t>маш.час</t>
        </is>
      </c>
      <c r="F43" s="271" t="n">
        <v>34.55</v>
      </c>
      <c r="G43" s="238" t="n">
        <v>3.28</v>
      </c>
      <c r="H43" s="270">
        <f>ROUND(F43*G43,2)</f>
        <v/>
      </c>
      <c r="I43" s="374" t="n"/>
      <c r="J43" s="231" t="n"/>
      <c r="K43" s="230" t="n"/>
      <c r="M43" s="231" t="n"/>
    </row>
    <row r="44" ht="25.5" customHeight="1" s="371">
      <c r="A44" s="431" t="n">
        <v>31</v>
      </c>
      <c r="B44" s="398" t="n"/>
      <c r="C44" s="271" t="inlineStr">
        <is>
          <t>91.17.04-194</t>
        </is>
      </c>
      <c r="D44" s="272" t="inlineStr">
        <is>
          <t>Аппараты сварочные для сварки оптических кабелей со скалывателем</t>
        </is>
      </c>
      <c r="E44" s="431" t="inlineStr">
        <is>
          <t>маш.час</t>
        </is>
      </c>
      <c r="F44" s="271" t="n">
        <v>3.6</v>
      </c>
      <c r="G44" s="238" t="n">
        <v>12.14</v>
      </c>
      <c r="H44" s="270">
        <f>ROUND(F44*G44,2)</f>
        <v/>
      </c>
      <c r="I44" s="374" t="n"/>
      <c r="J44" s="231" t="n"/>
      <c r="K44" s="230" t="n"/>
      <c r="M44" s="231" t="n"/>
    </row>
    <row r="45" ht="25.5" customHeight="1" s="371">
      <c r="A45" s="431" t="n">
        <v>32</v>
      </c>
      <c r="B45" s="398" t="n"/>
      <c r="C45" s="271" t="inlineStr">
        <is>
          <t>91.06.03-060</t>
        </is>
      </c>
      <c r="D45" s="272" t="inlineStr">
        <is>
          <t>Лебедки электрические тяговым усилием до 5,79 кН (0,59 т)</t>
        </is>
      </c>
      <c r="E45" s="431" t="inlineStr">
        <is>
          <t>маш.час</t>
        </is>
      </c>
      <c r="F45" s="271" t="n">
        <v>24.35</v>
      </c>
      <c r="G45" s="238" t="n">
        <v>1.7</v>
      </c>
      <c r="H45" s="270">
        <f>ROUND(F45*G45,2)</f>
        <v/>
      </c>
      <c r="I45" s="374" t="n"/>
      <c r="J45" s="231" t="n"/>
      <c r="K45" s="230" t="n"/>
      <c r="M45" s="231" t="n"/>
    </row>
    <row r="46" ht="25.5" customHeight="1" s="371">
      <c r="A46" s="431" t="n">
        <v>33</v>
      </c>
      <c r="B46" s="398" t="n"/>
      <c r="C46" s="271" t="inlineStr">
        <is>
          <t>91.14.05-041</t>
        </is>
      </c>
      <c r="D46" s="272" t="inlineStr">
        <is>
          <t>Транспортеры прицепные кабельные, грузоподъемность до 7 т</t>
        </is>
      </c>
      <c r="E46" s="431" t="inlineStr">
        <is>
          <t>маш.час</t>
        </is>
      </c>
      <c r="F46" s="271" t="n">
        <v>0.55</v>
      </c>
      <c r="G46" s="238" t="n">
        <v>58.03</v>
      </c>
      <c r="H46" s="270">
        <f>ROUND(F46*G46,2)</f>
        <v/>
      </c>
      <c r="I46" s="374" t="n"/>
      <c r="J46" s="231" t="n"/>
      <c r="K46" s="230" t="n"/>
      <c r="M46" s="231" t="n"/>
    </row>
    <row r="47" ht="25.5" customHeight="1" s="371">
      <c r="A47" s="431" t="n">
        <v>34</v>
      </c>
      <c r="B47" s="398" t="n"/>
      <c r="C47" s="271" t="inlineStr">
        <is>
          <t>91.06.01-003</t>
        </is>
      </c>
      <c r="D47" s="272" t="inlineStr">
        <is>
          <t>Домкраты гидравлические, грузоподъемность 63-100 т</t>
        </is>
      </c>
      <c r="E47" s="431" t="inlineStr">
        <is>
          <t>маш.час</t>
        </is>
      </c>
      <c r="F47" s="271" t="n">
        <v>34.55</v>
      </c>
      <c r="G47" s="238" t="n">
        <v>0.9</v>
      </c>
      <c r="H47" s="270">
        <f>ROUND(F47*G47,2)</f>
        <v/>
      </c>
      <c r="I47" s="374" t="n"/>
      <c r="J47" s="231" t="n"/>
      <c r="K47" s="230" t="n"/>
      <c r="M47" s="231" t="n"/>
    </row>
    <row r="48" ht="25.5" customHeight="1" s="371">
      <c r="A48" s="431" t="n">
        <v>35</v>
      </c>
      <c r="B48" s="398" t="n"/>
      <c r="C48" s="271" t="inlineStr">
        <is>
          <t>91.18.01-508</t>
        </is>
      </c>
      <c r="D48" s="272" t="inlineStr">
        <is>
          <t>Компрессоры передвижные с электродвигателем, производительность до 5,0 м3/мин</t>
        </is>
      </c>
      <c r="E48" s="431" t="inlineStr">
        <is>
          <t>маш.час</t>
        </is>
      </c>
      <c r="F48" s="271" t="n">
        <v>0.54</v>
      </c>
      <c r="G48" s="238" t="n">
        <v>48.81</v>
      </c>
      <c r="H48" s="270">
        <f>ROUND(F48*G48,2)</f>
        <v/>
      </c>
      <c r="I48" s="374" t="n"/>
      <c r="J48" s="231" t="n"/>
      <c r="K48" s="230" t="n"/>
      <c r="M48" s="231" t="n"/>
    </row>
    <row r="49" ht="25.5" customHeight="1" s="371">
      <c r="A49" s="431" t="n">
        <v>36</v>
      </c>
      <c r="B49" s="398" t="n"/>
      <c r="C49" s="271" t="inlineStr">
        <is>
          <t>91.17.04-233</t>
        </is>
      </c>
      <c r="D49" s="272" t="inlineStr">
        <is>
          <t>Установки для сварки ручной дуговой (постоянного тока)</t>
        </is>
      </c>
      <c r="E49" s="431" t="inlineStr">
        <is>
          <t>маш.час</t>
        </is>
      </c>
      <c r="F49" s="271" t="n">
        <v>2.62</v>
      </c>
      <c r="G49" s="238" t="n">
        <v>8.1</v>
      </c>
      <c r="H49" s="270">
        <f>ROUND(F49*G49,2)</f>
        <v/>
      </c>
      <c r="I49" s="374" t="n"/>
      <c r="J49" s="231" t="n"/>
      <c r="K49" s="230" t="n"/>
      <c r="M49" s="231" t="n"/>
    </row>
    <row r="50">
      <c r="A50" s="431" t="n">
        <v>37</v>
      </c>
      <c r="B50" s="398" t="n"/>
      <c r="C50" s="271" t="inlineStr">
        <is>
          <t>91.14.02-002</t>
        </is>
      </c>
      <c r="D50" s="272" t="inlineStr">
        <is>
          <t>Автомобили бортовые, грузоподъемность до 8 т</t>
        </is>
      </c>
      <c r="E50" s="431" t="inlineStr">
        <is>
          <t>маш.час</t>
        </is>
      </c>
      <c r="F50" s="271" t="n">
        <v>0.06</v>
      </c>
      <c r="G50" s="238" t="n">
        <v>85.84</v>
      </c>
      <c r="H50" s="270">
        <f>ROUND(F50*G50,2)</f>
        <v/>
      </c>
      <c r="I50" s="374" t="n"/>
      <c r="J50" s="231" t="n"/>
      <c r="K50" s="230" t="n"/>
      <c r="M50" s="231" t="n"/>
    </row>
    <row r="51" ht="38.25" customHeight="1" s="371">
      <c r="A51" s="431" t="n">
        <v>38</v>
      </c>
      <c r="B51" s="398" t="n"/>
      <c r="C51" s="271" t="inlineStr">
        <is>
          <t>91.18.01-011</t>
        </is>
      </c>
      <c r="D51" s="272" t="inlineStr">
        <is>
          <t>Компрессоры передвижные с электродвигателем давление 600 кПа (6 ат), производительность 0,5 м3/мин</t>
        </is>
      </c>
      <c r="E51" s="431" t="inlineStr">
        <is>
          <t>маш.час</t>
        </is>
      </c>
      <c r="F51" s="271" t="n">
        <v>0.63</v>
      </c>
      <c r="G51" s="238" t="n">
        <v>3.7</v>
      </c>
      <c r="H51" s="270">
        <f>ROUND(F51*G51,2)</f>
        <v/>
      </c>
      <c r="I51" s="374" t="n"/>
      <c r="J51" s="231" t="n"/>
      <c r="K51" s="230" t="n"/>
      <c r="M51" s="231" t="n"/>
    </row>
    <row r="52">
      <c r="A52" s="431" t="n">
        <v>39</v>
      </c>
      <c r="B52" s="398" t="n"/>
      <c r="C52" s="271" t="inlineStr">
        <is>
          <t>91.21.01-016</t>
        </is>
      </c>
      <c r="D52" s="272" t="inlineStr">
        <is>
          <t>Агрегаты шпатлево-окрасочные</t>
        </is>
      </c>
      <c r="E52" s="431" t="inlineStr">
        <is>
          <t>маш.час</t>
        </is>
      </c>
      <c r="F52" s="271" t="n">
        <v>0.63</v>
      </c>
      <c r="G52" s="238" t="n">
        <v>2.7</v>
      </c>
      <c r="H52" s="270">
        <f>ROUND(F52*G52,2)</f>
        <v/>
      </c>
      <c r="I52" s="374" t="n"/>
      <c r="J52" s="231" t="n"/>
      <c r="K52" s="230" t="n"/>
      <c r="M52" s="231" t="n"/>
    </row>
    <row r="53" ht="25.5" customHeight="1" s="371">
      <c r="A53" s="431" t="n">
        <v>40</v>
      </c>
      <c r="B53" s="398" t="n"/>
      <c r="C53" s="271" t="inlineStr">
        <is>
          <t>91.21.10-003</t>
        </is>
      </c>
      <c r="D53" s="272" t="inlineStr">
        <is>
          <t>Молотки при работе от передвижных компрессорных станций отбойные пневматические</t>
        </is>
      </c>
      <c r="E53" s="431" t="inlineStr">
        <is>
          <t>маш.час</t>
        </is>
      </c>
      <c r="F53" s="271" t="n">
        <v>1.09</v>
      </c>
      <c r="G53" s="238" t="n">
        <v>1.53</v>
      </c>
      <c r="H53" s="270">
        <f>ROUND(F53*G53,2)</f>
        <v/>
      </c>
      <c r="I53" s="374" t="n"/>
      <c r="J53" s="231" t="n"/>
      <c r="K53" s="230" t="n"/>
      <c r="M53" s="231" t="n"/>
    </row>
    <row r="54">
      <c r="A54" s="397" t="inlineStr">
        <is>
          <t>Оборудование</t>
        </is>
      </c>
      <c r="B54" s="477" t="n"/>
      <c r="C54" s="477" t="n"/>
      <c r="D54" s="477" t="n"/>
      <c r="E54" s="478" t="n"/>
      <c r="F54" s="397" t="n"/>
      <c r="G54" s="193" t="n"/>
      <c r="H54" s="481">
        <f>SUM(H55:H69)</f>
        <v/>
      </c>
      <c r="I54" s="483" t="n"/>
      <c r="J54" s="231" t="n"/>
      <c r="K54" s="230" t="n"/>
      <c r="M54" s="231" t="n"/>
    </row>
    <row r="55">
      <c r="A55" s="431" t="n">
        <v>41</v>
      </c>
      <c r="B55" s="398" t="n"/>
      <c r="C55" s="271" t="inlineStr">
        <is>
          <t>Прайс из СД ОП</t>
        </is>
      </c>
      <c r="D55" s="272" t="inlineStr">
        <is>
          <t>Шкаф видеонаблюдения с обогревом ТШ</t>
        </is>
      </c>
      <c r="E55" s="431" t="inlineStr">
        <is>
          <t>комплект</t>
        </is>
      </c>
      <c r="F55" s="431" t="n">
        <v>13</v>
      </c>
      <c r="G55" s="270" t="n">
        <v>105113.31</v>
      </c>
      <c r="H55" s="270">
        <f>ROUND(F55*G55,2)</f>
        <v/>
      </c>
      <c r="I55" s="248" t="n"/>
      <c r="J55" s="231" t="n"/>
      <c r="K55" s="230" t="n"/>
      <c r="M55" s="231" t="n"/>
    </row>
    <row r="56" ht="191.25" customHeight="1" s="371">
      <c r="A56" s="431" t="n">
        <v>42</v>
      </c>
      <c r="B56" s="398" t="n"/>
      <c r="C56" s="271" t="inlineStr">
        <is>
          <t>Прайс из СД ОП</t>
        </is>
      </c>
      <c r="D56" s="272" t="inlineStr">
        <is>
          <t>Видеосервер с ПО "Интеллект" в составе:
Видеосервер,исполнение Rackmount 2U,  IPDROM Enterprise ITV-t1-RM-200313 1.1 - 1шт; ПО "Система защиты Guardant Sign"- 1шт; ПО Интеллект "Ядро системы" - 1шт; ПО Интеллект "Подключение видеоканала" - 25шт; ПО Интеллект "Подключение аудиоканала" - 5шт; ПО Интеллект ITV "Подключение датчика/исполнительного устройства" - 2шт; ПО Интеллект  "Подключение поворотного устройства" PTZ - 1шт; ПО Интеллект  "Трекер объектов (за видеоканал)" - 7шт; ПО Интеллект  "Бюро пропусков" - 1шт; ПО Интеллект  "Диспетчер событий"(Фотоидентификация) - 1 шт; ПО Интеллект  "Интеграция ОПС/СКУД" - 1шт; ПО Интеллект  "Подключение пульта управления" - 2шт</t>
        </is>
      </c>
      <c r="E56" s="431" t="inlineStr">
        <is>
          <t>компл</t>
        </is>
      </c>
      <c r="F56" s="431" t="n">
        <v>1</v>
      </c>
      <c r="G56" s="270" t="n">
        <v>984697.84</v>
      </c>
      <c r="H56" s="270">
        <f>ROUND(F56*G56,2)</f>
        <v/>
      </c>
      <c r="I56" s="248" t="n"/>
      <c r="J56" s="231" t="n"/>
      <c r="K56" s="230" t="n"/>
      <c r="M56" s="231" t="n"/>
    </row>
    <row r="57" ht="38.25" customHeight="1" s="371">
      <c r="A57" s="431" t="n">
        <v>43</v>
      </c>
      <c r="B57" s="398" t="n"/>
      <c r="C57" s="271" t="inlineStr">
        <is>
          <t>61.3.05.05-0003</t>
        </is>
      </c>
      <c r="D57" s="272" t="inlineStr">
        <is>
          <t>Станция оператора рабочая HP Z400 с программным обеспечением (прим. АРМ с ПО "Интеллект" в составе:)</t>
        </is>
      </c>
      <c r="E57" s="431" t="inlineStr">
        <is>
          <t>компл</t>
        </is>
      </c>
      <c r="F57" s="431" t="n">
        <v>2</v>
      </c>
      <c r="G57" s="270" t="n">
        <v>486562.4</v>
      </c>
      <c r="H57" s="270">
        <f>ROUND(F57*G57,2)</f>
        <v/>
      </c>
      <c r="I57" s="248" t="n"/>
      <c r="J57" s="231" t="n"/>
      <c r="K57" s="230" t="n"/>
      <c r="M57" s="231" t="n"/>
    </row>
    <row r="58" ht="38.25" customHeight="1" s="371">
      <c r="A58" s="431" t="n">
        <v>44</v>
      </c>
      <c r="B58" s="398" t="n"/>
      <c r="C58" s="271" t="inlineStr">
        <is>
          <t>Прайс из СД ОП</t>
        </is>
      </c>
      <c r="D58" s="272" t="inlineStr">
        <is>
          <t>Шкаф бесперебойного питания оборудования комплекса технических средств безопасности ИБП КТСБ</t>
        </is>
      </c>
      <c r="E58" s="431" t="inlineStr">
        <is>
          <t>комплект</t>
        </is>
      </c>
      <c r="F58" s="431" t="n">
        <v>1</v>
      </c>
      <c r="G58" s="270" t="n">
        <v>926453.24</v>
      </c>
      <c r="H58" s="270">
        <f>ROUND(F58*G58,2)</f>
        <v/>
      </c>
      <c r="I58" s="248" t="n"/>
      <c r="J58" s="231" t="n"/>
      <c r="K58" s="230" t="n"/>
      <c r="M58" s="231" t="n"/>
    </row>
    <row r="59" ht="38.25" customHeight="1" s="371">
      <c r="A59" s="431" t="n">
        <v>45</v>
      </c>
      <c r="B59" s="398" t="n"/>
      <c r="C59" s="271" t="inlineStr">
        <is>
          <t>61.3.01.01-0006</t>
        </is>
      </c>
      <c r="D59" s="272" t="inlineStr">
        <is>
          <t>Видеокамера интеллектуальная, высокоскоростная, купольная PTZ серии AutoDome 500i (прим. Сетевая PTZ камера 2Мп DS-2DF8242IX-AEL (C))</t>
        </is>
      </c>
      <c r="E59" s="431" t="inlineStr">
        <is>
          <t>шт</t>
        </is>
      </c>
      <c r="F59" s="431" t="n">
        <v>13</v>
      </c>
      <c r="G59" s="270" t="n">
        <v>42854.88</v>
      </c>
      <c r="H59" s="270">
        <f>ROUND(F59*G59,2)</f>
        <v/>
      </c>
      <c r="I59" s="248" t="n"/>
      <c r="J59" s="231" t="n"/>
      <c r="K59" s="230" t="n"/>
      <c r="M59" s="231" t="n"/>
    </row>
    <row r="60">
      <c r="A60" s="431" t="n">
        <v>46</v>
      </c>
      <c r="B60" s="398" t="n"/>
      <c r="C60" s="271" t="inlineStr">
        <is>
          <t>Прайс из СД ОП</t>
        </is>
      </c>
      <c r="D60" s="272" t="inlineStr">
        <is>
          <t>Шкаф системы видеонаблюдения КТСБ2</t>
        </is>
      </c>
      <c r="E60" s="431" t="inlineStr">
        <is>
          <t>комплект</t>
        </is>
      </c>
      <c r="F60" s="431" t="n">
        <v>1</v>
      </c>
      <c r="G60" s="270" t="n">
        <v>437744.6</v>
      </c>
      <c r="H60" s="270">
        <f>ROUND(F60*G60,2)</f>
        <v/>
      </c>
      <c r="I60" s="248" t="n"/>
      <c r="J60" s="231" t="n"/>
      <c r="K60" s="230" t="n"/>
      <c r="M60" s="231" t="n"/>
    </row>
    <row r="61" ht="25.5" customHeight="1" s="371">
      <c r="A61" s="431" t="n">
        <v>47</v>
      </c>
      <c r="B61" s="398" t="n"/>
      <c r="C61" s="271" t="inlineStr">
        <is>
          <t>Прайс из СД ОП</t>
        </is>
      </c>
      <c r="D61" s="272" t="inlineStr">
        <is>
          <t>2Мп уличная цилиндрическая Smart IP-камера с ИК-подсветкой  до 50 м  DS-2CD5A26G1-IZHS (2.8-12мм)</t>
        </is>
      </c>
      <c r="E61" s="431" t="inlineStr">
        <is>
          <t>шт</t>
        </is>
      </c>
      <c r="F61" s="431" t="n">
        <v>7</v>
      </c>
      <c r="G61" s="270" t="n">
        <v>41772.3</v>
      </c>
      <c r="H61" s="270">
        <f>ROUND(F61*G61,2)</f>
        <v/>
      </c>
      <c r="I61" s="248" t="n"/>
      <c r="J61" s="231" t="n"/>
      <c r="K61" s="230" t="n"/>
      <c r="M61" s="231" t="n"/>
    </row>
    <row r="62" ht="25.5" customHeight="1" s="371">
      <c r="A62" s="431" t="n">
        <v>48</v>
      </c>
      <c r="B62" s="398" t="n"/>
      <c r="C62" s="271" t="inlineStr">
        <is>
          <t>Прайс из СД ОП</t>
        </is>
      </c>
      <c r="D62" s="272" t="inlineStr">
        <is>
          <t>Шкаф  комплекса технических средств безопасности КТСБ1</t>
        </is>
      </c>
      <c r="E62" s="431" t="inlineStr">
        <is>
          <t>комплект</t>
        </is>
      </c>
      <c r="F62" s="431" t="n">
        <v>1</v>
      </c>
      <c r="G62" s="270" t="n">
        <v>214070.86</v>
      </c>
      <c r="H62" s="270">
        <f>ROUND(F62*G62,2)</f>
        <v/>
      </c>
      <c r="I62" s="248" t="n"/>
      <c r="J62" s="231" t="n"/>
      <c r="K62" s="230" t="n"/>
      <c r="M62" s="231" t="n"/>
    </row>
    <row r="63" ht="51" customHeight="1" s="371">
      <c r="A63" s="431" t="n">
        <v>49</v>
      </c>
      <c r="B63" s="398" t="n"/>
      <c r="C63" s="271" t="inlineStr">
        <is>
          <t>07.2.02.02-0211</t>
        </is>
      </c>
      <c r="D63" s="272" t="inlineStr">
        <is>
          <t>Кронштейн для подвесных светильников на трубчатые опоры, серия 10 («Солярис»), марка: 10.С4-1,8-1,8-/90-О5-ц (ТАНС.42.082.000) (прим. Крепление для монтажа на столбе DS-1604ZJ-BOX-POLE)</t>
        </is>
      </c>
      <c r="E63" s="431" t="inlineStr">
        <is>
          <t>шт</t>
        </is>
      </c>
      <c r="F63" s="431" t="n">
        <v>13</v>
      </c>
      <c r="G63" s="270" t="n">
        <v>9677.24</v>
      </c>
      <c r="H63" s="270">
        <f>ROUND(F63*G63,2)</f>
        <v/>
      </c>
      <c r="I63" s="248" t="n"/>
      <c r="J63" s="231" t="n"/>
      <c r="K63" s="230" t="n"/>
      <c r="M63" s="231" t="n"/>
    </row>
    <row r="64" ht="38.25" customHeight="1" s="371">
      <c r="A64" s="431" t="n">
        <v>50</v>
      </c>
      <c r="B64" s="398" t="n"/>
      <c r="C64" s="271" t="inlineStr">
        <is>
          <t>61.3.05.02-0002</t>
        </is>
      </c>
      <c r="D64" s="272" t="inlineStr">
        <is>
          <t>Монитор ЖК UML 202-90, диагональ 20 дюймов, расширение 1600х1200 пикселов (прим. Монитор LED цветной, профессиональный SMT-2233)</t>
        </is>
      </c>
      <c r="E64" s="431" t="inlineStr">
        <is>
          <t>шт</t>
        </is>
      </c>
      <c r="F64" s="431" t="n">
        <v>5</v>
      </c>
      <c r="G64" s="270" t="n">
        <v>11279.02</v>
      </c>
      <c r="H64" s="270">
        <f>ROUND(F64*G64,2)</f>
        <v/>
      </c>
      <c r="I64" s="374" t="n"/>
      <c r="J64" s="231" t="n"/>
      <c r="K64" s="230" t="n"/>
      <c r="M64" s="231" t="n"/>
    </row>
    <row r="65" ht="38.25" customHeight="1" s="371">
      <c r="A65" s="431" t="n">
        <v>51</v>
      </c>
      <c r="B65" s="398" t="n"/>
      <c r="C65" s="271" t="inlineStr">
        <is>
          <t>61.3.01.02-0031</t>
        </is>
      </c>
      <c r="D65" s="272" t="inlineStr">
        <is>
          <t>Видеорегистратор 8-ми канальный DVR-630-08A200 с комплектом расширения хранилища на 2 ТБ DVR XS200-A (прим. IP -видеорегистратор DS-9632NI-I16)</t>
        </is>
      </c>
      <c r="E65" s="431" t="inlineStr">
        <is>
          <t>компл</t>
        </is>
      </c>
      <c r="F65" s="431" t="n">
        <v>1</v>
      </c>
      <c r="G65" s="270" t="n">
        <v>43171.35</v>
      </c>
      <c r="H65" s="270">
        <f>ROUND(F65*G65,2)</f>
        <v/>
      </c>
      <c r="I65" s="374" t="n"/>
      <c r="J65" s="231" t="n"/>
      <c r="K65" s="230" t="n"/>
      <c r="M65" s="231" t="n"/>
    </row>
    <row r="66" ht="25.5" customHeight="1" s="371">
      <c r="A66" s="431" t="n">
        <v>52</v>
      </c>
      <c r="B66" s="398" t="n"/>
      <c r="C66" s="271" t="inlineStr">
        <is>
          <t>Прайс из СД ОП</t>
        </is>
      </c>
      <c r="D66" s="272" t="inlineStr">
        <is>
          <t>2Мп уличная компактная  IP-камера с EXIR-подсветкой  до 10 м  DS-2CD5232G0-IS</t>
        </is>
      </c>
      <c r="E66" s="431" t="inlineStr">
        <is>
          <t>шт</t>
        </is>
      </c>
      <c r="F66" s="431" t="n">
        <v>5</v>
      </c>
      <c r="G66" s="270" t="n">
        <v>3785.9</v>
      </c>
      <c r="H66" s="270">
        <f>ROUND(F66*G66,2)</f>
        <v/>
      </c>
      <c r="I66" s="374" t="n"/>
      <c r="J66" s="231" t="n"/>
      <c r="K66" s="230" t="n"/>
      <c r="M66" s="231" t="n"/>
    </row>
    <row r="67" ht="25.5" customHeight="1" s="371">
      <c r="A67" s="431" t="n">
        <v>53</v>
      </c>
      <c r="B67" s="398" t="n"/>
      <c r="C67" s="271" t="inlineStr">
        <is>
          <t>Прайс из СД ОП</t>
        </is>
      </c>
      <c r="D67" s="272" t="inlineStr">
        <is>
          <t>Программное обеспечение "Модуль управления ИСБ "Орион" исп.127"</t>
        </is>
      </c>
      <c r="E67" s="431" t="inlineStr">
        <is>
          <t>шт</t>
        </is>
      </c>
      <c r="F67" s="431" t="n">
        <v>1</v>
      </c>
      <c r="G67" s="270" t="n">
        <v>13814.93</v>
      </c>
      <c r="H67" s="270">
        <f>ROUND(F67*G67,2)</f>
        <v/>
      </c>
      <c r="I67" s="374" t="n"/>
      <c r="J67" s="231" t="n"/>
      <c r="K67" s="230" t="n"/>
      <c r="M67" s="231" t="n"/>
    </row>
    <row r="68" ht="51" customHeight="1" s="371">
      <c r="A68" s="431" t="n">
        <v>54</v>
      </c>
      <c r="B68" s="398" t="n"/>
      <c r="C68" s="271" t="inlineStr">
        <is>
          <t>61.3.05.01-0001</t>
        </is>
      </c>
      <c r="D68" s="272" t="inlineStr">
        <is>
          <t>Диск жесткий серверный типа HDD, объем памяти 2000 Гб, буферная память 64 Мб, внешняя скорость передачи данных 300 Мб/с (прим. Жесткий диск SATA-III, объем 6000GB (6ТВ)  WD60PURZ)</t>
        </is>
      </c>
      <c r="E68" s="431" t="inlineStr">
        <is>
          <t>шт</t>
        </is>
      </c>
      <c r="F68" s="431" t="n">
        <v>5</v>
      </c>
      <c r="G68" s="270" t="n">
        <v>925.45</v>
      </c>
      <c r="H68" s="270">
        <f>ROUND(F68*G68,2)</f>
        <v/>
      </c>
      <c r="I68" s="374" t="n"/>
      <c r="J68" s="231" t="n"/>
      <c r="K68" s="230" t="n"/>
      <c r="M68" s="231" t="n"/>
    </row>
    <row r="69" ht="51" customHeight="1" s="371">
      <c r="A69" s="431" t="n">
        <v>55</v>
      </c>
      <c r="B69" s="398" t="n"/>
      <c r="C69" s="271" t="inlineStr">
        <is>
          <t>61.3.01.02-0061</t>
        </is>
      </c>
      <c r="D69" s="272" t="inlineStr">
        <is>
          <t>Модуль интеграции "Интеллект-64" для системы безопасности (ОПС, СКУД, видеонаблюдение) (прим. Пульт управления системой видеонаблюдения DS 1100KI(B))</t>
        </is>
      </c>
      <c r="E69" s="431" t="inlineStr">
        <is>
          <t>10 шт</t>
        </is>
      </c>
      <c r="F69" s="431" t="n">
        <v>0.2</v>
      </c>
      <c r="G69" s="270" t="n">
        <v>23062.4</v>
      </c>
      <c r="H69" s="270">
        <f>ROUND(F69*G69,2)</f>
        <v/>
      </c>
      <c r="I69" s="374" t="n"/>
      <c r="J69" s="231" t="n"/>
      <c r="K69" s="230" t="n"/>
      <c r="M69" s="231" t="n"/>
    </row>
    <row r="70">
      <c r="A70" s="397" t="inlineStr">
        <is>
          <t>Материалы</t>
        </is>
      </c>
      <c r="B70" s="477" t="n"/>
      <c r="C70" s="477" t="n"/>
      <c r="D70" s="477" t="n"/>
      <c r="E70" s="478" t="n"/>
      <c r="F70" s="397" t="n"/>
      <c r="G70" s="193" t="n"/>
      <c r="H70" s="481">
        <f>SUM(H71:H172)</f>
        <v/>
      </c>
      <c r="I70" s="483" t="n"/>
    </row>
    <row r="71" ht="25.5" customHeight="1" s="371">
      <c r="A71" s="228" t="n">
        <v>56</v>
      </c>
      <c r="B71" s="398" t="n"/>
      <c r="C71" s="271" t="inlineStr">
        <is>
          <t>Прайс из СД ОП</t>
        </is>
      </c>
      <c r="D71" s="272" t="inlineStr">
        <is>
          <t>Опора видеонаблюдения наклонная  НТБМ.301329.021-02</t>
        </is>
      </c>
      <c r="E71" s="431" t="inlineStr">
        <is>
          <t>шт</t>
        </is>
      </c>
      <c r="F71" s="271" t="n">
        <v>13</v>
      </c>
      <c r="G71" s="270" t="n">
        <v>31261.02</v>
      </c>
      <c r="H71" s="270">
        <f>ROUND(F71*G71,2)</f>
        <v/>
      </c>
      <c r="I71" s="374" t="n"/>
      <c r="J71" s="232" t="n"/>
      <c r="L71" s="231" t="n"/>
    </row>
    <row r="72" ht="25.5" customHeight="1" s="371">
      <c r="A72" s="228" t="n">
        <v>57</v>
      </c>
      <c r="B72" s="398" t="n"/>
      <c r="C72" s="271" t="inlineStr">
        <is>
          <t>21.1.01.01-0001</t>
        </is>
      </c>
      <c r="D72" s="272" t="inlineStr">
        <is>
          <t>Кабель волоконно-оптический самонесущий биэлектрический ДСт-49-6z-6/32</t>
        </is>
      </c>
      <c r="E72" s="431" t="inlineStr">
        <is>
          <t>1000 м</t>
        </is>
      </c>
      <c r="F72" s="271" t="n">
        <v>1.7952</v>
      </c>
      <c r="G72" s="270" t="n">
        <v>45920.85</v>
      </c>
      <c r="H72" s="270">
        <f>ROUND(F72*G72,2)</f>
        <v/>
      </c>
      <c r="I72" s="374" t="n"/>
      <c r="J72" s="232" t="n"/>
    </row>
    <row r="73" ht="25.5" customHeight="1" s="371">
      <c r="A73" s="228" t="n">
        <v>58</v>
      </c>
      <c r="B73" s="398" t="n"/>
      <c r="C73" s="271" t="inlineStr">
        <is>
          <t>21.1.06.10-0241</t>
        </is>
      </c>
      <c r="D73" s="272" t="inlineStr">
        <is>
          <t>Кабель силовой с медными жилами ВВГнг-FRLS 3х6(ож)-1000</t>
        </is>
      </c>
      <c r="E73" s="431" t="inlineStr">
        <is>
          <t>1000 м</t>
        </is>
      </c>
      <c r="F73" s="271" t="n">
        <v>1.2138</v>
      </c>
      <c r="G73" s="270" t="n">
        <v>38389.84</v>
      </c>
      <c r="H73" s="270">
        <f>ROUND(F73*G73,2)</f>
        <v/>
      </c>
      <c r="I73" s="374" t="n"/>
      <c r="J73" s="232" t="n"/>
    </row>
    <row r="74" ht="102" customHeight="1" s="371">
      <c r="A74" s="228" t="n">
        <v>59</v>
      </c>
      <c r="B74" s="398" t="n"/>
      <c r="C74" s="271" t="inlineStr">
        <is>
          <t>21.1.08.01-0322</t>
        </is>
      </c>
      <c r="D74" s="272" t="inlineStr">
        <is>
          <t>Кабель для систем пожарной сигнализации с однопроволочными медными жилами, с изоляцией из огнестойкой кремнийорганической резины, скрученные совместно с полиимидной пленкой, в оболочке из ПВХ пластиката, не распространяющий горение, с низким дымо- и газовыделением марки КСБнг(А)-FRLS 4х2х0,98 (прим. КВПЭфнг(А)-LS-5е 4х2х0,52)</t>
        </is>
      </c>
      <c r="E74" s="431" t="inlineStr">
        <is>
          <t>1000 м</t>
        </is>
      </c>
      <c r="F74" s="271" t="n">
        <v>0.36822</v>
      </c>
      <c r="G74" s="270" t="n">
        <v>79653.57000000001</v>
      </c>
      <c r="H74" s="270">
        <f>ROUND(F74*G74,2)</f>
        <v/>
      </c>
      <c r="I74" s="374" t="n"/>
      <c r="J74" s="232" t="n"/>
    </row>
    <row r="75">
      <c r="A75" s="228" t="n">
        <v>60</v>
      </c>
      <c r="B75" s="398" t="n"/>
      <c r="C75" s="271" t="inlineStr">
        <is>
          <t>Прайс из СД ОП</t>
        </is>
      </c>
      <c r="D75" s="272" t="inlineStr">
        <is>
          <t>Комплект наращивания стойки  НТБМ.305651.114-01</t>
        </is>
      </c>
      <c r="E75" s="431" t="inlineStr">
        <is>
          <t>шт</t>
        </is>
      </c>
      <c r="F75" s="271" t="n">
        <v>13</v>
      </c>
      <c r="G75" s="270" t="n">
        <v>578.8099999999999</v>
      </c>
      <c r="H75" s="270">
        <f>ROUND(F75*G75,2)</f>
        <v/>
      </c>
      <c r="I75" s="374" t="n"/>
      <c r="J75" s="232" t="n"/>
    </row>
    <row r="76">
      <c r="A76" s="228" t="n">
        <v>61</v>
      </c>
      <c r="B76" s="398" t="n"/>
      <c r="C76" s="271" t="inlineStr">
        <is>
          <t>21.1.01.01-0160</t>
        </is>
      </c>
      <c r="D76" s="272" t="inlineStr">
        <is>
          <t>Кабель оптический ОКСТМ-62,5-02-0,7-64-(2,7)</t>
        </is>
      </c>
      <c r="E76" s="431" t="inlineStr">
        <is>
          <t>1000 м</t>
        </is>
      </c>
      <c r="F76" s="271" t="n">
        <v>0.065</v>
      </c>
      <c r="G76" s="270" t="n">
        <v>111628.34</v>
      </c>
      <c r="H76" s="270">
        <f>ROUND(F76*G76,2)</f>
        <v/>
      </c>
      <c r="I76" s="374" t="n"/>
      <c r="J76" s="232" t="n"/>
    </row>
    <row r="77" ht="38.25" customHeight="1" s="371">
      <c r="A77" s="228" t="n">
        <v>62</v>
      </c>
      <c r="B77" s="398" t="n"/>
      <c r="C77" s="271" t="inlineStr">
        <is>
          <t>21.1.08.05-0012</t>
        </is>
      </c>
      <c r="D77" s="272" t="inlineStr">
        <is>
          <t>Кабель управления КУППнг(A)-HF 4х2х0,8 (прим. Кабель витая пара СПЕЦЛАН F/UTP Cat5e ZH нг(А)-HF 4x2x0,48 Patch)</t>
        </is>
      </c>
      <c r="E77" s="431" t="inlineStr">
        <is>
          <t>1000 м</t>
        </is>
      </c>
      <c r="F77" s="271" t="n">
        <v>0.1989</v>
      </c>
      <c r="G77" s="270" t="n">
        <v>23255.29</v>
      </c>
      <c r="H77" s="270">
        <f>ROUND(F77*G77,2)</f>
        <v/>
      </c>
      <c r="I77" s="374" t="n"/>
      <c r="J77" s="232" t="n"/>
    </row>
    <row r="78" ht="25.5" customHeight="1" s="371">
      <c r="A78" s="228" t="n">
        <v>63</v>
      </c>
      <c r="B78" s="398" t="n"/>
      <c r="C78" s="271" t="inlineStr">
        <is>
          <t>21.1.06.10-0281</t>
        </is>
      </c>
      <c r="D78" s="272" t="inlineStr">
        <is>
          <t>Кабель силовой с медными жилами ВБбШвнг-FRLS 3х2,5-1000</t>
        </is>
      </c>
      <c r="E78" s="431" t="inlineStr">
        <is>
          <t>1000 м</t>
        </is>
      </c>
      <c r="F78" s="271" t="n">
        <v>0.153</v>
      </c>
      <c r="G78" s="270" t="n">
        <v>20095.37</v>
      </c>
      <c r="H78" s="270">
        <f>ROUND(F78*G78,2)</f>
        <v/>
      </c>
      <c r="I78" s="374" t="n"/>
      <c r="J78" s="232" t="n"/>
    </row>
    <row r="79">
      <c r="A79" s="228" t="n">
        <v>64</v>
      </c>
      <c r="B79" s="398" t="n"/>
      <c r="C79" s="271" t="inlineStr">
        <is>
          <t>21.1.05.01-0138</t>
        </is>
      </c>
      <c r="D79" s="272" t="inlineStr">
        <is>
          <t>Кабель силовой гибкий КГН 3х1,5-660</t>
        </is>
      </c>
      <c r="E79" s="431" t="inlineStr">
        <is>
          <t>1000 м</t>
        </is>
      </c>
      <c r="F79" s="271" t="n">
        <v>0.1989</v>
      </c>
      <c r="G79" s="270" t="n">
        <v>14783.63</v>
      </c>
      <c r="H79" s="270">
        <f>ROUND(F79*G79,2)</f>
        <v/>
      </c>
      <c r="I79" s="374" t="n"/>
      <c r="J79" s="232" t="n"/>
    </row>
    <row r="80" ht="25.5" customHeight="1" s="371">
      <c r="A80" s="228" t="n">
        <v>65</v>
      </c>
      <c r="B80" s="398" t="n"/>
      <c r="C80" s="271" t="inlineStr">
        <is>
          <t>01.2.03.03-0005</t>
        </is>
      </c>
      <c r="D80" s="272" t="inlineStr">
        <is>
          <t>Мастика Eliminator (Мастика для кабельных проходок МГКП)</t>
        </is>
      </c>
      <c r="E80" s="431" t="inlineStr">
        <is>
          <t>кг</t>
        </is>
      </c>
      <c r="F80" s="271" t="n">
        <v>10</v>
      </c>
      <c r="G80" s="270" t="n">
        <v>289.64</v>
      </c>
      <c r="H80" s="270">
        <f>ROUND(F80*G80,2)</f>
        <v/>
      </c>
      <c r="I80" s="374" t="n"/>
      <c r="J80" s="232" t="n"/>
    </row>
    <row r="81" ht="25.5" customHeight="1" s="371">
      <c r="A81" s="228" t="n">
        <v>66</v>
      </c>
      <c r="B81" s="398" t="n"/>
      <c r="C81" s="271" t="inlineStr">
        <is>
          <t>999-9950</t>
        </is>
      </c>
      <c r="D81" s="272" t="inlineStr">
        <is>
          <t>Вспомогательные ненормируемые ресурсы (2% от Оплаты труда рабочих)</t>
        </is>
      </c>
      <c r="E81" s="431" t="inlineStr">
        <is>
          <t>руб</t>
        </is>
      </c>
      <c r="F81" s="271" t="n">
        <v>2754.8850525</v>
      </c>
      <c r="G81" s="270" t="n">
        <v>1</v>
      </c>
      <c r="H81" s="270">
        <f>ROUND(F81*G81,2)</f>
        <v/>
      </c>
      <c r="I81" s="374" t="n"/>
      <c r="J81" s="232" t="n"/>
    </row>
    <row r="82" ht="25.5" customHeight="1" s="371">
      <c r="A82" s="228" t="n">
        <v>67</v>
      </c>
      <c r="B82" s="398" t="n"/>
      <c r="C82" s="271" t="inlineStr">
        <is>
          <t>21.1.06.10-0236</t>
        </is>
      </c>
      <c r="D82" s="272" t="inlineStr">
        <is>
          <t>Кабель силовой с медными жилами ВВГнг-FRLS 3х2,5-1000 (прим. ВВГЭнг(А)- LS- 3х2,5)</t>
        </is>
      </c>
      <c r="E82" s="431" t="inlineStr">
        <is>
          <t>1000 м</t>
        </is>
      </c>
      <c r="F82" s="271" t="n">
        <v>0.1836</v>
      </c>
      <c r="G82" s="270" t="n">
        <v>14843.6</v>
      </c>
      <c r="H82" s="270">
        <f>ROUND(F82*G82,2)</f>
        <v/>
      </c>
      <c r="I82" s="374" t="n"/>
      <c r="J82" s="232" t="n"/>
    </row>
    <row r="83">
      <c r="A83" s="228" t="n">
        <v>68</v>
      </c>
      <c r="B83" s="398" t="n"/>
      <c r="C83" s="271" t="inlineStr">
        <is>
          <t>20.3.01.01-0041</t>
        </is>
      </c>
      <c r="D83" s="272" t="inlineStr">
        <is>
          <t>Сальники ввертные</t>
        </is>
      </c>
      <c r="E83" s="431" t="inlineStr">
        <is>
          <t>100 шт</t>
        </is>
      </c>
      <c r="F83" s="271" t="n">
        <v>0.8</v>
      </c>
      <c r="G83" s="270" t="n">
        <v>2280</v>
      </c>
      <c r="H83" s="270">
        <f>ROUND(F83*G83,2)</f>
        <v/>
      </c>
      <c r="I83" s="374" t="n"/>
      <c r="J83" s="232" t="n"/>
    </row>
    <row r="84">
      <c r="A84" s="228" t="n">
        <v>69</v>
      </c>
      <c r="B84" s="398" t="n"/>
      <c r="C84" s="271" t="inlineStr">
        <is>
          <t>20.3.01.01-0041</t>
        </is>
      </c>
      <c r="D84" s="272" t="inlineStr">
        <is>
          <t>Сальники ввертные (прим. Сальник MG32,АО "КЭАЗ")</t>
        </is>
      </c>
      <c r="E84" s="431" t="inlineStr">
        <is>
          <t>100 шт</t>
        </is>
      </c>
      <c r="F84" s="271" t="n">
        <v>0.8</v>
      </c>
      <c r="G84" s="270" t="n">
        <v>2280</v>
      </c>
      <c r="H84" s="270">
        <f>ROUND(F84*G84,2)</f>
        <v/>
      </c>
      <c r="I84" s="374" t="n"/>
      <c r="J84" s="232" t="n"/>
    </row>
    <row r="85" ht="76.5" customHeight="1" s="371">
      <c r="A85" s="228" t="n">
        <v>70</v>
      </c>
      <c r="B85" s="398" t="n"/>
      <c r="C85" s="271" t="inlineStr">
        <is>
          <t>20.2.03.06-0063</t>
        </is>
      </c>
      <c r="D85" s="272" t="inlineStr">
        <is>
          <t>Крышка с заземлением на лоток основанием 150 мм, длина 3000 мм (прим. Крышка для лотка листового неперфорированного шириной 100 мм,длиной 3000мм,"быстрый монтаж", исполнение из холодостойкой стали 09Г2С  ,КLS 100,АРТ.430567  "Стандарт-Электрик")</t>
        </is>
      </c>
      <c r="E85" s="431" t="inlineStr">
        <is>
          <t>шт</t>
        </is>
      </c>
      <c r="F85" s="271" t="n">
        <v>15</v>
      </c>
      <c r="G85" s="270" t="n">
        <v>110.61</v>
      </c>
      <c r="H85" s="270">
        <f>ROUND(F85*G85,2)</f>
        <v/>
      </c>
      <c r="I85" s="374" t="n"/>
      <c r="J85" s="232" t="n"/>
    </row>
    <row r="86" ht="38.25" customHeight="1" s="371">
      <c r="A86" s="228" t="n">
        <v>71</v>
      </c>
      <c r="B86" s="398" t="n"/>
      <c r="C86" s="271" t="inlineStr">
        <is>
          <t>20.5.02.06-0038</t>
        </is>
      </c>
      <c r="D86" s="272" t="inlineStr">
        <is>
          <t>Коробка разветвительная У-257 (прим. Коробка ответвительная 167х125х82мм марки KF8100, Hensel })</t>
        </is>
      </c>
      <c r="E86" s="431" t="inlineStr">
        <is>
          <t>10 шт</t>
        </is>
      </c>
      <c r="F86" s="271" t="n">
        <v>1.1</v>
      </c>
      <c r="G86" s="270" t="n">
        <v>1245.5</v>
      </c>
      <c r="H86" s="270">
        <f>ROUND(F86*G86,2)</f>
        <v/>
      </c>
      <c r="I86" s="374" t="n"/>
      <c r="J86" s="232" t="n"/>
    </row>
    <row r="87" ht="25.5" customHeight="1" s="371">
      <c r="A87" s="228" t="n">
        <v>72</v>
      </c>
      <c r="B87" s="398" t="n"/>
      <c r="C87" s="271" t="inlineStr">
        <is>
          <t>22.1.02.06-0081</t>
        </is>
      </c>
      <c r="D87" s="272" t="inlineStr">
        <is>
          <t>Удлинитель (репитер) передаваемого сигнала версии HDMI 1.3b (прим. Кабель HDMI-HDMI, 2 метра)</t>
        </is>
      </c>
      <c r="E87" s="431" t="inlineStr">
        <is>
          <t>шт</t>
        </is>
      </c>
      <c r="F87" s="271" t="n">
        <v>3</v>
      </c>
      <c r="G87" s="270" t="n">
        <v>345.77</v>
      </c>
      <c r="H87" s="270">
        <f>ROUND(F87*G87,2)</f>
        <v/>
      </c>
      <c r="I87" s="374" t="n"/>
      <c r="J87" s="232" t="n"/>
    </row>
    <row r="88" ht="25.5" customHeight="1" s="371">
      <c r="A88" s="228" t="n">
        <v>73</v>
      </c>
      <c r="B88" s="398" t="n"/>
      <c r="C88" s="271" t="inlineStr">
        <is>
          <t>21.2.03.05-0074</t>
        </is>
      </c>
      <c r="D88" s="272" t="inlineStr">
        <is>
          <t>Провод силовой установочный с медными жилами ПуГВ 1х25-450 {ПуГВ 1х16}</t>
        </is>
      </c>
      <c r="E88" s="431" t="inlineStr">
        <is>
          <t>1000 м</t>
        </is>
      </c>
      <c r="F88" s="271" t="n">
        <v>0.03672</v>
      </c>
      <c r="G88" s="270" t="n">
        <v>19362.19</v>
      </c>
      <c r="H88" s="270">
        <f>ROUND(F88*G88,2)</f>
        <v/>
      </c>
      <c r="I88" s="374" t="n"/>
      <c r="J88" s="232" t="n"/>
    </row>
    <row r="89" ht="25.5" customHeight="1" s="371">
      <c r="A89" s="228" t="n">
        <v>74</v>
      </c>
      <c r="B89" s="398" t="n"/>
      <c r="C89" s="271" t="inlineStr">
        <is>
          <t>11.2.11.05-0002</t>
        </is>
      </c>
      <c r="D89" s="272" t="inlineStr">
        <is>
          <t>Фанера клееная обрезная, сорт В/ВВ, ФК, ФБА, толщина 4 мм</t>
        </is>
      </c>
      <c r="E89" s="431" t="inlineStr">
        <is>
          <t>м3</t>
        </is>
      </c>
      <c r="F89" s="271" t="n">
        <v>0.128</v>
      </c>
      <c r="G89" s="270" t="n">
        <v>4949.4</v>
      </c>
      <c r="H89" s="270">
        <f>ROUND(F89*G89,2)</f>
        <v/>
      </c>
      <c r="I89" s="374" t="n"/>
      <c r="J89" s="232" t="n"/>
    </row>
    <row r="90" ht="38.25" customHeight="1" s="371">
      <c r="A90" s="228" t="n">
        <v>75</v>
      </c>
      <c r="B90" s="398" t="n"/>
      <c r="C90" s="271" t="inlineStr">
        <is>
          <t>20.4.03.07-0001</t>
        </is>
      </c>
      <c r="D90" s="272" t="inlineStr">
        <is>
          <t>Блок электрических розеток 19" в пластиковом корпусе на 8 гнезд высотой 1U с фильтром (прим. Тройная розетка ,арт.45003,ДКС)</t>
        </is>
      </c>
      <c r="E90" s="431" t="inlineStr">
        <is>
          <t>шт</t>
        </is>
      </c>
      <c r="F90" s="271" t="n">
        <v>3</v>
      </c>
      <c r="G90" s="270" t="n">
        <v>209.93</v>
      </c>
      <c r="H90" s="270">
        <f>ROUND(F90*G90,2)</f>
        <v/>
      </c>
      <c r="I90" s="374" t="n"/>
      <c r="J90" s="232" t="n"/>
    </row>
    <row r="91" ht="51" customHeight="1" s="371">
      <c r="A91" s="228" t="n">
        <v>76</v>
      </c>
      <c r="B91" s="398" t="n"/>
      <c r="C91" s="271" t="inlineStr">
        <is>
          <t>20.2.05.04-0001</t>
        </is>
      </c>
      <c r="D91" s="272" t="inlineStr">
        <is>
          <t>Кабель-канал "Legrand" DLP 50х80 мм с крышкой (прим. Короб с крышкой с направляющими для установки разделителей 80х40 мм,длина 2000мм TA-GN 80x40 арт.01781,ДКС)</t>
        </is>
      </c>
      <c r="E91" s="431" t="inlineStr">
        <is>
          <t>100 м</t>
        </is>
      </c>
      <c r="F91" s="271" t="n">
        <v>0.12</v>
      </c>
      <c r="G91" s="270" t="n">
        <v>5031</v>
      </c>
      <c r="H91" s="270">
        <f>ROUND(F91*G91,2)</f>
        <v/>
      </c>
      <c r="I91" s="374" t="n"/>
      <c r="J91" s="232" t="n"/>
    </row>
    <row r="92" ht="38.25" customHeight="1" s="371">
      <c r="A92" s="228" t="n">
        <v>77</v>
      </c>
      <c r="B92" s="398" t="n"/>
      <c r="C92" s="271" t="inlineStr">
        <is>
          <t>20.2.07.06-0005</t>
        </is>
      </c>
      <c r="D92" s="272" t="inlineStr">
        <is>
          <t>Лоток кабельный проволочный, размер 100х100 мм, горячеоцинкованный (прим. Лоток листовой неперфорированный прямой 100х100)</t>
        </is>
      </c>
      <c r="E92" s="431" t="inlineStr">
        <is>
          <t>м</t>
        </is>
      </c>
      <c r="F92" s="271" t="n">
        <v>15</v>
      </c>
      <c r="G92" s="270" t="n">
        <v>35.98</v>
      </c>
      <c r="H92" s="270">
        <f>ROUND(F92*G92,2)</f>
        <v/>
      </c>
      <c r="I92" s="374" t="n"/>
      <c r="J92" s="232" t="n"/>
    </row>
    <row r="93" ht="25.5" customHeight="1" s="371">
      <c r="A93" s="228" t="n">
        <v>78</v>
      </c>
      <c r="B93" s="398" t="n"/>
      <c r="C93" s="271" t="inlineStr">
        <is>
          <t>21.1.06.09-0152</t>
        </is>
      </c>
      <c r="D93" s="272" t="inlineStr">
        <is>
          <t>Кабель силовой с медными жилами ВВГнг(A)-LS 3х2,5-660</t>
        </is>
      </c>
      <c r="E93" s="431" t="inlineStr">
        <is>
          <t>1000 м</t>
        </is>
      </c>
      <c r="F93" s="271" t="n">
        <v>0.07140000000000001</v>
      </c>
      <c r="G93" s="270" t="n">
        <v>6920.41</v>
      </c>
      <c r="H93" s="270">
        <f>ROUND(F93*G93,2)</f>
        <v/>
      </c>
      <c r="I93" s="374" t="n"/>
      <c r="J93" s="232" t="n"/>
    </row>
    <row r="94">
      <c r="A94" s="228" t="n">
        <v>79</v>
      </c>
      <c r="B94" s="398" t="n"/>
      <c r="C94" s="271" t="inlineStr">
        <is>
          <t>20.2.10.03-0006</t>
        </is>
      </c>
      <c r="D94" s="272" t="inlineStr">
        <is>
          <t>Наконечники кабельные медные соединительные</t>
        </is>
      </c>
      <c r="E94" s="431" t="inlineStr">
        <is>
          <t>100 шт</t>
        </is>
      </c>
      <c r="F94" s="271" t="n">
        <v>1.16</v>
      </c>
      <c r="G94" s="270" t="n">
        <v>365</v>
      </c>
      <c r="H94" s="270">
        <f>ROUND(F94*G94,2)</f>
        <v/>
      </c>
      <c r="I94" s="374" t="n"/>
      <c r="J94" s="232" t="n"/>
    </row>
    <row r="95" ht="51" customHeight="1" s="371">
      <c r="A95" s="228" t="n">
        <v>80</v>
      </c>
      <c r="B95" s="398" t="n"/>
      <c r="C95" s="271" t="inlineStr">
        <is>
          <t>20.2.10.04-0001</t>
        </is>
      </c>
      <c r="D95" s="272" t="inlineStr">
        <is>
          <t>Наконечники кабельные медные луженные ТМЛ-4 { Наконечник-гильза Е  1,5мм2 медный луженый   Е 1,5-08(1508)-100шт;Наконечник-гильза Е  0,5мм2 медный луженый   Е 0,5-08(0508)-300шт}</t>
        </is>
      </c>
      <c r="E95" s="431" t="inlineStr">
        <is>
          <t>100 шт</t>
        </is>
      </c>
      <c r="F95" s="271" t="n">
        <v>4</v>
      </c>
      <c r="G95" s="270" t="n">
        <v>100</v>
      </c>
      <c r="H95" s="270">
        <f>ROUND(F95*G95,2)</f>
        <v/>
      </c>
      <c r="I95" s="374" t="n"/>
      <c r="J95" s="232" t="n"/>
    </row>
    <row r="96" ht="25.5" customHeight="1" s="371">
      <c r="A96" s="228" t="n">
        <v>81</v>
      </c>
      <c r="B96" s="398" t="n"/>
      <c r="C96" s="271" t="inlineStr">
        <is>
          <t>10.3.02.03-0011</t>
        </is>
      </c>
      <c r="D96" s="272" t="inlineStr">
        <is>
          <t>Припои оловянно-свинцовые бессурьмянистые, марка ПОС30</t>
        </is>
      </c>
      <c r="E96" s="431" t="inlineStr">
        <is>
          <t>т</t>
        </is>
      </c>
      <c r="F96" s="271" t="n">
        <v>0.0058688</v>
      </c>
      <c r="G96" s="270" t="n">
        <v>68050</v>
      </c>
      <c r="H96" s="270">
        <f>ROUND(F96*G96,2)</f>
        <v/>
      </c>
      <c r="I96" s="374" t="n"/>
      <c r="J96" s="232" t="n"/>
    </row>
    <row r="97" ht="25.5" customHeight="1" s="371">
      <c r="A97" s="228" t="n">
        <v>82</v>
      </c>
      <c r="B97" s="398" t="n"/>
      <c r="C97" s="271" t="inlineStr">
        <is>
          <t>01.7.06.08-0012</t>
        </is>
      </c>
      <c r="D97" s="272" t="inlineStr">
        <is>
          <t>Лента сигнальная полиэтиленовая ЛСЭ-300, длина 100 м, ширина 300 мм</t>
        </is>
      </c>
      <c r="E97" s="431" t="inlineStr">
        <is>
          <t>шт</t>
        </is>
      </c>
      <c r="F97" s="271" t="n">
        <v>1</v>
      </c>
      <c r="G97" s="270" t="n">
        <v>376.94</v>
      </c>
      <c r="H97" s="270">
        <f>ROUND(F97*G97,2)</f>
        <v/>
      </c>
      <c r="I97" s="374" t="n"/>
      <c r="J97" s="232" t="n"/>
    </row>
    <row r="98" ht="38.25" customHeight="1" s="371">
      <c r="A98" s="228" t="n">
        <v>83</v>
      </c>
      <c r="B98" s="398" t="n"/>
      <c r="C98" s="271" t="inlineStr">
        <is>
          <t>22.1.02.04-0003</t>
        </is>
      </c>
      <c r="D98" s="272" t="inlineStr">
        <is>
          <t>Коннектор (джек) RJ-45 8P-8C CAT6 (со вставкой) REXANT{разъем для подключения кабеля "витая пара " RJ-45}</t>
        </is>
      </c>
      <c r="E98" s="431" t="inlineStr">
        <is>
          <t>100 шт</t>
        </is>
      </c>
      <c r="F98" s="271" t="n">
        <v>1</v>
      </c>
      <c r="G98" s="270" t="n">
        <v>343.28</v>
      </c>
      <c r="H98" s="270">
        <f>ROUND(F98*G98,2)</f>
        <v/>
      </c>
      <c r="I98" s="374" t="n"/>
      <c r="J98" s="232" t="n"/>
    </row>
    <row r="99">
      <c r="A99" s="228" t="n">
        <v>84</v>
      </c>
      <c r="B99" s="398" t="n"/>
      <c r="C99" s="271" t="inlineStr">
        <is>
          <t>01.7.11.07-0032</t>
        </is>
      </c>
      <c r="D99" s="272" t="inlineStr">
        <is>
          <t>Электроды сварочные Э42, диаметр 4 мм</t>
        </is>
      </c>
      <c r="E99" s="431" t="inlineStr">
        <is>
          <t>т</t>
        </is>
      </c>
      <c r="F99" s="271" t="n">
        <v>0.0320996</v>
      </c>
      <c r="G99" s="270" t="n">
        <v>10315.01</v>
      </c>
      <c r="H99" s="270">
        <f>ROUND(F99*G99,2)</f>
        <v/>
      </c>
      <c r="I99" s="374" t="n"/>
      <c r="J99" s="232" t="n"/>
    </row>
    <row r="100">
      <c r="A100" s="228" t="n">
        <v>85</v>
      </c>
      <c r="B100" s="398" t="n"/>
      <c r="C100" s="271" t="inlineStr">
        <is>
          <t>Прайс из СД ОП</t>
        </is>
      </c>
      <c r="D100" s="272" t="inlineStr">
        <is>
          <t>Компьютерная розетка RJ-45,Cat 5e,арт.45047,ДКС</t>
        </is>
      </c>
      <c r="E100" s="431" t="inlineStr">
        <is>
          <t>шт</t>
        </is>
      </c>
      <c r="F100" s="271" t="n">
        <v>2</v>
      </c>
      <c r="G100" s="270" t="n">
        <v>150.49</v>
      </c>
      <c r="H100" s="270">
        <f>ROUND(F100*G100,2)</f>
        <v/>
      </c>
      <c r="I100" s="374" t="n"/>
      <c r="J100" s="232" t="n"/>
    </row>
    <row r="101">
      <c r="A101" s="228" t="n">
        <v>86</v>
      </c>
      <c r="B101" s="398" t="n"/>
      <c r="C101" s="271" t="inlineStr">
        <is>
          <t>01.3.01.01-0001</t>
        </is>
      </c>
      <c r="D101" s="272" t="inlineStr">
        <is>
          <t>Бензин авиационный Б-70</t>
        </is>
      </c>
      <c r="E101" s="431" t="inlineStr">
        <is>
          <t>т</t>
        </is>
      </c>
      <c r="F101" s="271" t="n">
        <v>0.0576</v>
      </c>
      <c r="G101" s="270" t="n">
        <v>4488.4</v>
      </c>
      <c r="H101" s="270">
        <f>ROUND(F101*G101,2)</f>
        <v/>
      </c>
      <c r="I101" s="374" t="n"/>
      <c r="J101" s="232" t="n"/>
    </row>
    <row r="102">
      <c r="A102" s="228" t="n">
        <v>87</v>
      </c>
      <c r="B102" s="398" t="n"/>
      <c r="C102" s="271" t="inlineStr">
        <is>
          <t>25.2.01.01-0018</t>
        </is>
      </c>
      <c r="D102" s="272" t="inlineStr">
        <is>
          <t>Бирки маркировочные пластмассовые У134</t>
        </is>
      </c>
      <c r="E102" s="431" t="inlineStr">
        <is>
          <t>100 шт</t>
        </is>
      </c>
      <c r="F102" s="271" t="n">
        <v>2</v>
      </c>
      <c r="G102" s="270" t="n">
        <v>125</v>
      </c>
      <c r="H102" s="270">
        <f>ROUND(F102*G102,2)</f>
        <v/>
      </c>
      <c r="I102" s="374" t="n"/>
      <c r="J102" s="232" t="n"/>
    </row>
    <row r="103">
      <c r="A103" s="228" t="n">
        <v>88</v>
      </c>
      <c r="B103" s="398" t="n"/>
      <c r="C103" s="271" t="inlineStr">
        <is>
          <t>08.3.03.04-0014</t>
        </is>
      </c>
      <c r="D103" s="272" t="inlineStr">
        <is>
          <t>Проволока светлая, диаметр 3,0 мм</t>
        </is>
      </c>
      <c r="E103" s="431" t="inlineStr">
        <is>
          <t>т</t>
        </is>
      </c>
      <c r="F103" s="271" t="n">
        <v>0.0164</v>
      </c>
      <c r="G103" s="270" t="n">
        <v>13232</v>
      </c>
      <c r="H103" s="270">
        <f>ROUND(F103*G103,2)</f>
        <v/>
      </c>
      <c r="I103" s="374" t="n"/>
      <c r="J103" s="232" t="n"/>
    </row>
    <row r="104" ht="38.25" customHeight="1" s="371">
      <c r="A104" s="228" t="n">
        <v>89</v>
      </c>
      <c r="B104" s="398" t="n"/>
      <c r="C104" s="271" t="inlineStr">
        <is>
          <t>23.3.06.02-0004</t>
        </is>
      </c>
      <c r="D104" s="272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E104" s="431" t="inlineStr">
        <is>
          <t>м</t>
        </is>
      </c>
      <c r="F104" s="271" t="n">
        <v>5.15</v>
      </c>
      <c r="G104" s="270" t="n">
        <v>40.5</v>
      </c>
      <c r="H104" s="270">
        <f>ROUND(F104*G104,2)</f>
        <v/>
      </c>
      <c r="I104" s="374" t="n"/>
      <c r="J104" s="232" t="n"/>
    </row>
    <row r="105" ht="38.25" customHeight="1" s="371">
      <c r="A105" s="228" t="n">
        <v>90</v>
      </c>
      <c r="B105" s="398" t="n"/>
      <c r="C105" s="271" t="inlineStr">
        <is>
          <t>02.3.01.02-0016</t>
        </is>
      </c>
      <c r="D105" s="272" t="inlineStr">
        <is>
          <t>Песок природный для строительных: работ средний с крупностью зерен размером свыше 5 мм - до 5% по массе {для устройства постели}</t>
        </is>
      </c>
      <c r="E105" s="431" t="inlineStr">
        <is>
          <t>м3</t>
        </is>
      </c>
      <c r="F105" s="271" t="n">
        <v>3.6</v>
      </c>
      <c r="G105" s="270" t="n">
        <v>55.26</v>
      </c>
      <c r="H105" s="270">
        <f>ROUND(F105*G105,2)</f>
        <v/>
      </c>
      <c r="I105" s="374" t="n"/>
      <c r="J105" s="232" t="n"/>
    </row>
    <row r="106" ht="51" customHeight="1" s="371">
      <c r="A106" s="228" t="n">
        <v>91</v>
      </c>
      <c r="B106" s="398" t="n"/>
      <c r="C106" s="271" t="inlineStr">
        <is>
          <t>20.2.03.25-0005</t>
        </is>
      </c>
      <c r="D106" s="272" t="inlineStr">
        <is>
          <t>Угол вертикальный внешний 90 град. переходник левый к лотку шириной 100 мм (прим. Угол плоский (L-поворот) для короба  80x40 ,NPAN 80х40 арт.01740,ДКС)</t>
        </is>
      </c>
      <c r="E106" s="431" t="inlineStr">
        <is>
          <t>шт</t>
        </is>
      </c>
      <c r="F106" s="271" t="n">
        <v>1</v>
      </c>
      <c r="G106" s="270" t="n">
        <v>186.59</v>
      </c>
      <c r="H106" s="270">
        <f>ROUND(F106*G106,2)</f>
        <v/>
      </c>
      <c r="I106" s="374" t="n"/>
      <c r="J106" s="232" t="n"/>
    </row>
    <row r="107" ht="38.25" customHeight="1" s="371">
      <c r="A107" s="228" t="n">
        <v>92</v>
      </c>
      <c r="B107" s="398" t="n"/>
      <c r="C107" s="271" t="inlineStr">
        <is>
          <t>20.2.03.01-1086</t>
        </is>
      </c>
      <c r="D107" s="272" t="inlineStr">
        <is>
          <t>Заглушка торцевая сейсмостойкая из оцинкованной стали ЗТ-0,2/0,5 (прим. Заглушка короба 80х40 мм торцевая  LAN 80x40 арт.00871,ДКС)</t>
        </is>
      </c>
      <c r="E107" s="431" t="inlineStr">
        <is>
          <t>шт</t>
        </is>
      </c>
      <c r="F107" s="271" t="n">
        <v>2</v>
      </c>
      <c r="G107" s="270" t="n">
        <v>67.17</v>
      </c>
      <c r="H107" s="270">
        <f>ROUND(F107*G107,2)</f>
        <v/>
      </c>
      <c r="I107" s="374" t="n"/>
      <c r="J107" s="232" t="n"/>
    </row>
    <row r="108" ht="38.25" customHeight="1" s="371">
      <c r="A108" s="228" t="n">
        <v>93</v>
      </c>
      <c r="B108" s="398" t="n"/>
      <c r="C108" s="271" t="inlineStr">
        <is>
          <t>20.2.05.10-0001</t>
        </is>
      </c>
      <c r="D108" s="272" t="inlineStr">
        <is>
          <t>Рамка пластиковая на 2 модуля для монтажа на профиль 60х20 мм (прим. Рамка для ввода в стену/коробку/потолок RQM 80,арт.01775,ДКС)</t>
        </is>
      </c>
      <c r="E108" s="431" t="inlineStr">
        <is>
          <t>100 шт</t>
        </is>
      </c>
      <c r="F108" s="271" t="n">
        <v>0.04</v>
      </c>
      <c r="G108" s="270" t="n">
        <v>2671.41</v>
      </c>
      <c r="H108" s="270">
        <f>ROUND(F108*G108,2)</f>
        <v/>
      </c>
      <c r="I108" s="374" t="n"/>
      <c r="J108" s="232" t="n"/>
    </row>
    <row r="109">
      <c r="A109" s="228" t="n">
        <v>94</v>
      </c>
      <c r="B109" s="398" t="n"/>
      <c r="C109" s="271" t="inlineStr">
        <is>
          <t>14.4.03.03-0002</t>
        </is>
      </c>
      <c r="D109" s="272" t="inlineStr">
        <is>
          <t>Лак битумный БТ-123</t>
        </is>
      </c>
      <c r="E109" s="431" t="inlineStr">
        <is>
          <t>т</t>
        </is>
      </c>
      <c r="F109" s="271" t="n">
        <v>0.0129648</v>
      </c>
      <c r="G109" s="270" t="n">
        <v>7826.9</v>
      </c>
      <c r="H109" s="270">
        <f>ROUND(F109*G109,2)</f>
        <v/>
      </c>
      <c r="I109" s="374" t="n"/>
      <c r="J109" s="232" t="n"/>
    </row>
    <row r="110" ht="25.5" customHeight="1" s="371">
      <c r="A110" s="228" t="n">
        <v>95</v>
      </c>
      <c r="B110" s="398" t="n"/>
      <c r="C110" s="271" t="inlineStr">
        <is>
          <t>20.5.04.09-0002</t>
        </is>
      </c>
      <c r="D110" s="272" t="inlineStr">
        <is>
          <t>Сжимы типа У731М, для магистральных и ответвительных проводов и кабелей</t>
        </is>
      </c>
      <c r="E110" s="431" t="inlineStr">
        <is>
          <t>100 шт</t>
        </is>
      </c>
      <c r="F110" s="271" t="n">
        <v>0.33</v>
      </c>
      <c r="G110" s="270" t="n">
        <v>223.94</v>
      </c>
      <c r="H110" s="270">
        <f>ROUND(F110*G110,2)</f>
        <v/>
      </c>
      <c r="I110" s="374" t="n"/>
      <c r="J110" s="232" t="n"/>
    </row>
    <row r="111">
      <c r="A111" s="228" t="n">
        <v>96</v>
      </c>
      <c r="B111" s="398" t="n"/>
      <c r="C111" s="271" t="inlineStr">
        <is>
          <t>01.7.15.07-0014</t>
        </is>
      </c>
      <c r="D111" s="272" t="inlineStr">
        <is>
          <t>Дюбели распорные полипропиленовые</t>
        </is>
      </c>
      <c r="E111" s="431" t="inlineStr">
        <is>
          <t>100 шт</t>
        </is>
      </c>
      <c r="F111" s="271" t="n">
        <v>0.8568</v>
      </c>
      <c r="G111" s="270" t="n">
        <v>86</v>
      </c>
      <c r="H111" s="270">
        <f>ROUND(F111*G111,2)</f>
        <v/>
      </c>
      <c r="I111" s="374" t="n"/>
      <c r="J111" s="232" t="n"/>
    </row>
    <row r="112" ht="25.5" customHeight="1" s="371">
      <c r="A112" s="228" t="n">
        <v>97</v>
      </c>
      <c r="B112" s="398" t="n"/>
      <c r="C112" s="271" t="inlineStr">
        <is>
          <t>24.3.01.06-0043</t>
        </is>
      </c>
      <c r="D112" s="272" t="inlineStr">
        <is>
          <t>Трубы ПВХ, номинальный внутренний диаметр 25 мм {диам.23мм}</t>
        </is>
      </c>
      <c r="E112" s="431" t="inlineStr">
        <is>
          <t>м</t>
        </is>
      </c>
      <c r="F112" s="271" t="n">
        <v>20.4</v>
      </c>
      <c r="G112" s="270" t="n">
        <v>3.3</v>
      </c>
      <c r="H112" s="270">
        <f>ROUND(F112*G112,2)</f>
        <v/>
      </c>
      <c r="I112" s="374" t="n"/>
      <c r="J112" s="232" t="n"/>
    </row>
    <row r="113">
      <c r="A113" s="228" t="n">
        <v>98</v>
      </c>
      <c r="B113" s="398" t="n"/>
      <c r="C113" s="271" t="inlineStr">
        <is>
          <t>01.3.02.09-0022</t>
        </is>
      </c>
      <c r="D113" s="272" t="inlineStr">
        <is>
          <t>Пропан-бутан смесь техническая</t>
        </is>
      </c>
      <c r="E113" s="431" t="inlineStr">
        <is>
          <t>кг</t>
        </is>
      </c>
      <c r="F113" s="271" t="n">
        <v>10.8</v>
      </c>
      <c r="G113" s="270" t="n">
        <v>6.09</v>
      </c>
      <c r="H113" s="270">
        <f>ROUND(F113*G113,2)</f>
        <v/>
      </c>
      <c r="I113" s="374" t="n"/>
      <c r="J113" s="232" t="n"/>
    </row>
    <row r="114">
      <c r="A114" s="228" t="n">
        <v>99</v>
      </c>
      <c r="B114" s="398" t="n"/>
      <c r="C114" s="271" t="inlineStr">
        <is>
          <t>25.2.01.01-0017</t>
        </is>
      </c>
      <c r="D114" s="272" t="inlineStr">
        <is>
          <t>Бирки маркировочные пластмассовые</t>
        </is>
      </c>
      <c r="E114" s="431" t="inlineStr">
        <is>
          <t>100 шт</t>
        </is>
      </c>
      <c r="F114" s="271" t="n">
        <v>2.075</v>
      </c>
      <c r="G114" s="270" t="n">
        <v>30.74</v>
      </c>
      <c r="H114" s="270">
        <f>ROUND(F114*G114,2)</f>
        <v/>
      </c>
      <c r="I114" s="374" t="n"/>
      <c r="J114" s="232" t="n"/>
    </row>
    <row r="115">
      <c r="A115" s="228" t="n">
        <v>100</v>
      </c>
      <c r="B115" s="398" t="n"/>
      <c r="C115" s="271" t="inlineStr">
        <is>
          <t>01.7.06.07-0002</t>
        </is>
      </c>
      <c r="D115" s="272" t="inlineStr">
        <is>
          <t>Лента монтажная, тип ЛМ-5</t>
        </is>
      </c>
      <c r="E115" s="431" t="inlineStr">
        <is>
          <t>10 м</t>
        </is>
      </c>
      <c r="F115" s="271" t="n">
        <v>9.172700000000001</v>
      </c>
      <c r="G115" s="270" t="n">
        <v>6.9</v>
      </c>
      <c r="H115" s="270">
        <f>ROUND(F115*G115,2)</f>
        <v/>
      </c>
      <c r="I115" s="374" t="n"/>
      <c r="J115" s="232" t="n"/>
    </row>
    <row r="116" ht="25.5" customHeight="1" s="371">
      <c r="A116" s="228" t="n">
        <v>101</v>
      </c>
      <c r="B116" s="398" t="n"/>
      <c r="C116" s="271" t="inlineStr">
        <is>
          <t>01.7.15.03-0033</t>
        </is>
      </c>
      <c r="D116" s="272" t="inlineStr">
        <is>
          <t>Болты с гайками и шайбами оцинкованные, диаметр 10 мм</t>
        </is>
      </c>
      <c r="E116" s="431" t="inlineStr">
        <is>
          <t>кг</t>
        </is>
      </c>
      <c r="F116" s="271" t="n">
        <v>2.336</v>
      </c>
      <c r="G116" s="270" t="n">
        <v>26.32</v>
      </c>
      <c r="H116" s="270">
        <f>ROUND(F116*G116,2)</f>
        <v/>
      </c>
      <c r="I116" s="374" t="n"/>
      <c r="J116" s="232" t="n"/>
    </row>
    <row r="117">
      <c r="A117" s="228" t="n">
        <v>102</v>
      </c>
      <c r="B117" s="398" t="n"/>
      <c r="C117" s="271" t="inlineStr">
        <is>
          <t>01.7.20.03-0012</t>
        </is>
      </c>
      <c r="D117" s="272" t="inlineStr">
        <is>
          <t>Мешковина джутовая</t>
        </is>
      </c>
      <c r="E117" s="431" t="inlineStr">
        <is>
          <t>м2</t>
        </is>
      </c>
      <c r="F117" s="271" t="n">
        <v>7.2</v>
      </c>
      <c r="G117" s="270" t="n">
        <v>8.33</v>
      </c>
      <c r="H117" s="270">
        <f>ROUND(F117*G117,2)</f>
        <v/>
      </c>
      <c r="I117" s="374" t="n"/>
      <c r="J117" s="232" t="n"/>
    </row>
    <row r="118" ht="38.25" customHeight="1" s="371">
      <c r="A118" s="228" t="n">
        <v>103</v>
      </c>
      <c r="B118" s="398" t="n"/>
      <c r="C118" s="271" t="inlineStr">
        <is>
          <t>20.2.03.26-0012</t>
        </is>
      </c>
      <c r="D118" s="272" t="inlineStr">
        <is>
          <t>Накладка соединительная сейсмостойкая горячеоцинкованная НС-4 (прим. Накладка на стык крыши GAN 80,арт.00886,ДКС)</t>
        </is>
      </c>
      <c r="E118" s="431" t="inlineStr">
        <is>
          <t>шт</t>
        </is>
      </c>
      <c r="F118" s="271" t="n">
        <v>2</v>
      </c>
      <c r="G118" s="270" t="n">
        <v>29.34</v>
      </c>
      <c r="H118" s="270">
        <f>ROUND(F118*G118,2)</f>
        <v/>
      </c>
      <c r="I118" s="374" t="n"/>
      <c r="J118" s="232" t="n"/>
    </row>
    <row r="119" ht="38.25" customHeight="1" s="371">
      <c r="A119" s="228" t="n">
        <v>104</v>
      </c>
      <c r="B119" s="398" t="n"/>
      <c r="C119" s="271" t="inlineStr">
        <is>
          <t>20.2.10.04-0003</t>
        </is>
      </c>
      <c r="D119" s="272" t="inlineStr">
        <is>
          <t>Наконечники кабельные медные луженные ТМЛ-10 {Наконечник-гильза Е  16,0мм2 медный луженый (1 комплект-20 шт) ,  Е 16-12}</t>
        </is>
      </c>
      <c r="E119" s="431" t="inlineStr">
        <is>
          <t>100 шт</t>
        </is>
      </c>
      <c r="F119" s="271" t="n">
        <v>0.2</v>
      </c>
      <c r="G119" s="270" t="n">
        <v>231</v>
      </c>
      <c r="H119" s="270">
        <f>ROUND(F119*G119,2)</f>
        <v/>
      </c>
      <c r="I119" s="374" t="n"/>
      <c r="J119" s="232" t="n"/>
    </row>
    <row r="120" ht="25.5" customHeight="1" s="371">
      <c r="A120" s="228" t="n">
        <v>105</v>
      </c>
      <c r="B120" s="398" t="n"/>
      <c r="C120" s="271" t="inlineStr">
        <is>
          <t>20.2.03.01-0003</t>
        </is>
      </c>
      <c r="D120" s="272" t="inlineStr">
        <is>
          <t>Заглушка торцевая сейсмостойкая ЗТ 0,15/0,4 (прим. Заглушка на один модуль,арт.45016,ДКС)</t>
        </is>
      </c>
      <c r="E120" s="431" t="inlineStr">
        <is>
          <t>шт</t>
        </is>
      </c>
      <c r="F120" s="271" t="n">
        <v>2</v>
      </c>
      <c r="G120" s="270" t="n">
        <v>21.99</v>
      </c>
      <c r="H120" s="270">
        <f>ROUND(F120*G120,2)</f>
        <v/>
      </c>
      <c r="I120" s="374" t="n"/>
      <c r="J120" s="232" t="n"/>
    </row>
    <row r="121">
      <c r="A121" s="228" t="n">
        <v>106</v>
      </c>
      <c r="B121" s="398" t="n"/>
      <c r="C121" s="271" t="inlineStr">
        <is>
          <t>01.7.19.08-0012</t>
        </is>
      </c>
      <c r="D121" s="272" t="inlineStr">
        <is>
          <t>Рукав резиновый вентиляционный</t>
        </is>
      </c>
      <c r="E121" s="431" t="inlineStr">
        <is>
          <t>м</t>
        </is>
      </c>
      <c r="F121" s="271" t="n">
        <v>4</v>
      </c>
      <c r="G121" s="270" t="n">
        <v>10.7</v>
      </c>
      <c r="H121" s="270">
        <f>ROUND(F121*G121,2)</f>
        <v/>
      </c>
      <c r="I121" s="374" t="n"/>
      <c r="J121" s="232" t="n"/>
    </row>
    <row r="122" ht="38.25" customHeight="1" s="371">
      <c r="A122" s="228" t="n">
        <v>107</v>
      </c>
      <c r="B122" s="398" t="n"/>
      <c r="C122" s="271" t="inlineStr">
        <is>
          <t>20.4.03.02-0021</t>
        </is>
      </c>
      <c r="D122" s="272" t="inlineStr">
        <is>
          <t>Суппорт Mosaic (прим. Рамка-суппорт для монтажа электроустановочных изделий в короб 80Х40 под 6 модулей PDA-3DN80,арт.10343,ДКС)</t>
        </is>
      </c>
      <c r="E122" s="431" t="inlineStr">
        <is>
          <t>100 шт</t>
        </is>
      </c>
      <c r="F122" s="271" t="n">
        <v>0.03</v>
      </c>
      <c r="G122" s="270" t="n">
        <v>1405.17</v>
      </c>
      <c r="H122" s="270">
        <f>ROUND(F122*G122,2)</f>
        <v/>
      </c>
      <c r="I122" s="374" t="n"/>
      <c r="J122" s="232" t="n"/>
    </row>
    <row r="123" ht="25.5" customHeight="1" s="371">
      <c r="A123" s="228" t="n">
        <v>108</v>
      </c>
      <c r="B123" s="398" t="n"/>
      <c r="C123" s="271" t="inlineStr">
        <is>
          <t>25.2.01.01-0014</t>
        </is>
      </c>
      <c r="D123" s="272" t="inlineStr">
        <is>
          <t>Бирки кабельные маркировочные пластмассовые У136</t>
        </is>
      </c>
      <c r="E123" s="431" t="inlineStr">
        <is>
          <t>100 шт</t>
        </is>
      </c>
      <c r="F123" s="271" t="n">
        <v>2</v>
      </c>
      <c r="G123" s="270" t="n">
        <v>20</v>
      </c>
      <c r="H123" s="270">
        <f>ROUND(F123*G123,2)</f>
        <v/>
      </c>
      <c r="I123" s="374" t="n"/>
      <c r="J123" s="232" t="n"/>
    </row>
    <row r="124" ht="25.5" customHeight="1" s="371">
      <c r="A124" s="228" t="n">
        <v>109</v>
      </c>
      <c r="B124" s="398" t="n"/>
      <c r="C124" s="271" t="inlineStr">
        <is>
          <t>10.2.02.08-0001</t>
        </is>
      </c>
      <c r="D124" s="272" t="inlineStr">
        <is>
          <t>Проволока медная, круглая, мягкая, электротехническая, диаметр 1,0-3,0 мм и выше</t>
        </is>
      </c>
      <c r="E124" s="431" t="inlineStr">
        <is>
          <t>т</t>
        </is>
      </c>
      <c r="F124" s="271" t="n">
        <v>0.001</v>
      </c>
      <c r="G124" s="270" t="n">
        <v>37517</v>
      </c>
      <c r="H124" s="270">
        <f>ROUND(F124*G124,2)</f>
        <v/>
      </c>
      <c r="I124" s="374" t="n"/>
      <c r="J124" s="232" t="n"/>
    </row>
    <row r="125">
      <c r="A125" s="228" t="n">
        <v>110</v>
      </c>
      <c r="B125" s="398" t="n"/>
      <c r="C125" s="271" t="inlineStr">
        <is>
          <t>01.7.20.04-0003</t>
        </is>
      </c>
      <c r="D125" s="272" t="inlineStr">
        <is>
          <t>Нитки суровые</t>
        </is>
      </c>
      <c r="E125" s="431" t="inlineStr">
        <is>
          <t>кг</t>
        </is>
      </c>
      <c r="F125" s="271" t="n">
        <v>0.23226</v>
      </c>
      <c r="G125" s="270" t="n">
        <v>155</v>
      </c>
      <c r="H125" s="270">
        <f>ROUND(F125*G125,2)</f>
        <v/>
      </c>
      <c r="I125" s="374" t="n"/>
      <c r="J125" s="232" t="n"/>
    </row>
    <row r="126" ht="25.5" customHeight="1" s="371">
      <c r="A126" s="228" t="n">
        <v>111</v>
      </c>
      <c r="B126" s="398" t="n"/>
      <c r="C126" s="271" t="inlineStr">
        <is>
          <t>24.3.01.06-0041</t>
        </is>
      </c>
      <c r="D126" s="272" t="inlineStr">
        <is>
          <t>Трубы ПВХ, номинальный внутренний диаметр 16 мм {диам.17мм}</t>
        </is>
      </c>
      <c r="E126" s="431" t="inlineStr">
        <is>
          <t>м</t>
        </is>
      </c>
      <c r="F126" s="271" t="n">
        <v>16.32</v>
      </c>
      <c r="G126" s="270" t="n">
        <v>2.15</v>
      </c>
      <c r="H126" s="270">
        <f>ROUND(F126*G126,2)</f>
        <v/>
      </c>
      <c r="I126" s="374" t="n"/>
      <c r="J126" s="232" t="n"/>
    </row>
    <row r="127" ht="25.5" customHeight="1" s="371">
      <c r="A127" s="228" t="n">
        <v>112</v>
      </c>
      <c r="B127" s="398" t="n"/>
      <c r="C127" s="271" t="inlineStr">
        <is>
          <t>08.3.08.02-0052</t>
        </is>
      </c>
      <c r="D127" s="272" t="inlineStr">
        <is>
          <t>Уголок горячекатаный, марка стали ВСт3кп2, размер 50х50х5 мм</t>
        </is>
      </c>
      <c r="E127" s="431" t="inlineStr">
        <is>
          <t>т</t>
        </is>
      </c>
      <c r="F127" s="271" t="n">
        <v>0.006</v>
      </c>
      <c r="G127" s="270" t="n">
        <v>5763</v>
      </c>
      <c r="H127" s="270">
        <f>ROUND(F127*G127,2)</f>
        <v/>
      </c>
      <c r="I127" s="374" t="n"/>
      <c r="J127" s="232" t="n"/>
    </row>
    <row r="128">
      <c r="A128" s="228" t="n">
        <v>113</v>
      </c>
      <c r="B128" s="398" t="n"/>
      <c r="C128" s="271" t="inlineStr">
        <is>
          <t>01.7.02.07-0011</t>
        </is>
      </c>
      <c r="D128" s="272" t="inlineStr">
        <is>
          <t>Прессшпан листовой, марка А</t>
        </is>
      </c>
      <c r="E128" s="431" t="inlineStr">
        <is>
          <t>кг</t>
        </is>
      </c>
      <c r="F128" s="271" t="n">
        <v>0.6991000000000001</v>
      </c>
      <c r="G128" s="270" t="n">
        <v>47.57</v>
      </c>
      <c r="H128" s="270">
        <f>ROUND(F128*G128,2)</f>
        <v/>
      </c>
      <c r="I128" s="374" t="n"/>
      <c r="J128" s="232" t="n"/>
    </row>
    <row r="129">
      <c r="A129" s="228" t="n">
        <v>114</v>
      </c>
      <c r="B129" s="398" t="n"/>
      <c r="C129" s="271" t="inlineStr">
        <is>
          <t>01.7.20.04-0002</t>
        </is>
      </c>
      <c r="D129" s="272" t="inlineStr">
        <is>
          <t>Нитки капроновые</t>
        </is>
      </c>
      <c r="E129" s="431" t="inlineStr">
        <is>
          <t>кг</t>
        </is>
      </c>
      <c r="F129" s="271" t="n">
        <v>0.283</v>
      </c>
      <c r="G129" s="270" t="n">
        <v>112.57</v>
      </c>
      <c r="H129" s="270">
        <f>ROUND(F129*G129,2)</f>
        <v/>
      </c>
      <c r="I129" s="374" t="n"/>
      <c r="J129" s="232" t="n"/>
    </row>
    <row r="130" ht="25.5" customHeight="1" s="371">
      <c r="A130" s="228" t="n">
        <v>115</v>
      </c>
      <c r="B130" s="398" t="n"/>
      <c r="C130" s="271" t="inlineStr">
        <is>
          <t>10.3.02.03-0028</t>
        </is>
      </c>
      <c r="D130" s="272" t="inlineStr">
        <is>
          <t>Припои оловянно-свинцовые малосурьмянистые, марка ПОССу 61-0,5</t>
        </is>
      </c>
      <c r="E130" s="431" t="inlineStr">
        <is>
          <t>кг</t>
        </is>
      </c>
      <c r="F130" s="271" t="n">
        <v>0.24</v>
      </c>
      <c r="G130" s="270" t="n">
        <v>125.46</v>
      </c>
      <c r="H130" s="270">
        <f>ROUND(F130*G130,2)</f>
        <v/>
      </c>
      <c r="I130" s="374" t="n"/>
      <c r="J130" s="232" t="n"/>
    </row>
    <row r="131" ht="25.5" customHeight="1" s="371">
      <c r="A131" s="228" t="n">
        <v>116</v>
      </c>
      <c r="B131" s="398" t="n"/>
      <c r="C131" s="271" t="inlineStr">
        <is>
          <t>10.3.02.03-0013</t>
        </is>
      </c>
      <c r="D131" s="272" t="inlineStr">
        <is>
          <t>Припои оловянно-свинцовые бессурьмянистые, марка ПОС61</t>
        </is>
      </c>
      <c r="E131" s="431" t="inlineStr">
        <is>
          <t>т</t>
        </is>
      </c>
      <c r="F131" s="271" t="n">
        <v>0.0002524</v>
      </c>
      <c r="G131" s="270" t="n">
        <v>114220</v>
      </c>
      <c r="H131" s="270">
        <f>ROUND(F131*G131,2)</f>
        <v/>
      </c>
      <c r="I131" s="374" t="n"/>
      <c r="J131" s="232" t="n"/>
    </row>
    <row r="132">
      <c r="A132" s="228" t="n">
        <v>117</v>
      </c>
      <c r="B132" s="398" t="n"/>
      <c r="C132" s="271" t="inlineStr">
        <is>
          <t>20.1.02.18-0001</t>
        </is>
      </c>
      <c r="D132" s="272" t="inlineStr">
        <is>
          <t>Хомут-стяжка кабельная (бандаж), размер 3,6х200 мм</t>
        </is>
      </c>
      <c r="E132" s="431" t="inlineStr">
        <is>
          <t>100 шт</t>
        </is>
      </c>
      <c r="F132" s="271" t="n">
        <v>5</v>
      </c>
      <c r="G132" s="270" t="n">
        <v>5.73</v>
      </c>
      <c r="H132" s="270">
        <f>ROUND(F132*G132,2)</f>
        <v/>
      </c>
      <c r="I132" s="374" t="n"/>
      <c r="J132" s="232" t="n"/>
    </row>
    <row r="133" ht="25.5" customHeight="1" s="371">
      <c r="A133" s="228" t="n">
        <v>118</v>
      </c>
      <c r="B133" s="398" t="n"/>
      <c r="C133" s="271" t="inlineStr">
        <is>
          <t>20.2.03.08-0001</t>
        </is>
      </c>
      <c r="D133" s="272" t="inlineStr">
        <is>
          <t>Отвод Т-образный для лотка PNK 100 (прим. Тройник/отвод ,NTAN 80х40 арт.01756,ДКС)</t>
        </is>
      </c>
      <c r="E133" s="431" t="inlineStr">
        <is>
          <t>шт</t>
        </is>
      </c>
      <c r="F133" s="271" t="n">
        <v>1</v>
      </c>
      <c r="G133" s="270" t="n">
        <v>28.28</v>
      </c>
      <c r="H133" s="270">
        <f>ROUND(F133*G133,2)</f>
        <v/>
      </c>
      <c r="I133" s="374" t="n"/>
      <c r="J133" s="232" t="n"/>
    </row>
    <row r="134" ht="38.25" customHeight="1" s="371">
      <c r="A134" s="228" t="n">
        <v>119</v>
      </c>
      <c r="B134" s="398" t="n"/>
      <c r="C134" s="271" t="inlineStr">
        <is>
          <t>20.4.03.02-0021</t>
        </is>
      </c>
      <c r="D134" s="272" t="inlineStr">
        <is>
          <t>Суппорт Mosaic (прим. Рамка-суппорт для монтажа электроустановочных изделий в короб 80Х40 под 2 модуля PDA-DN80,арт.10043,ДКС)</t>
        </is>
      </c>
      <c r="E134" s="431" t="inlineStr">
        <is>
          <t>100 шт</t>
        </is>
      </c>
      <c r="F134" s="271" t="n">
        <v>0.02</v>
      </c>
      <c r="G134" s="270" t="n">
        <v>1405.17</v>
      </c>
      <c r="H134" s="270">
        <f>ROUND(F134*G134,2)</f>
        <v/>
      </c>
      <c r="I134" s="374" t="n"/>
      <c r="J134" s="232" t="n"/>
    </row>
    <row r="135">
      <c r="A135" s="228" t="n">
        <v>120</v>
      </c>
      <c r="B135" s="398" t="n"/>
      <c r="C135" s="271" t="inlineStr">
        <is>
          <t>14.4.03.11-0005</t>
        </is>
      </c>
      <c r="D135" s="272" t="inlineStr">
        <is>
          <t>Лак нитроцеллюлозный НЦ-62</t>
        </is>
      </c>
      <c r="E135" s="431" t="inlineStr">
        <is>
          <t>т</t>
        </is>
      </c>
      <c r="F135" s="271" t="n">
        <v>0.001</v>
      </c>
      <c r="G135" s="270" t="n">
        <v>27921.97</v>
      </c>
      <c r="H135" s="270">
        <f>ROUND(F135*G135,2)</f>
        <v/>
      </c>
      <c r="I135" s="374" t="n"/>
      <c r="J135" s="232" t="n"/>
    </row>
    <row r="136">
      <c r="A136" s="228" t="n">
        <v>121</v>
      </c>
      <c r="B136" s="398" t="n"/>
      <c r="C136" s="271" t="inlineStr">
        <is>
          <t>24.3.01.01-0002</t>
        </is>
      </c>
      <c r="D136" s="272" t="inlineStr">
        <is>
          <t>Трубка полихлорвиниловая</t>
        </is>
      </c>
      <c r="E136" s="431" t="inlineStr">
        <is>
          <t>кг</t>
        </is>
      </c>
      <c r="F136" s="271" t="n">
        <v>0.68</v>
      </c>
      <c r="G136" s="270" t="n">
        <v>35.7</v>
      </c>
      <c r="H136" s="270">
        <f>ROUND(F136*G136,2)</f>
        <v/>
      </c>
      <c r="I136" s="374" t="n"/>
      <c r="J136" s="232" t="n"/>
    </row>
    <row r="137">
      <c r="A137" s="228" t="n">
        <v>122</v>
      </c>
      <c r="B137" s="398" t="n"/>
      <c r="C137" s="271" t="inlineStr">
        <is>
          <t>01.7.19.04-0002</t>
        </is>
      </c>
      <c r="D137" s="272" t="inlineStr">
        <is>
          <t>Пластина резиновая рулонная вулканизированная</t>
        </is>
      </c>
      <c r="E137" s="431" t="inlineStr">
        <is>
          <t>кг</t>
        </is>
      </c>
      <c r="F137" s="271" t="n">
        <v>1.5</v>
      </c>
      <c r="G137" s="270" t="n">
        <v>13.56</v>
      </c>
      <c r="H137" s="270">
        <f>ROUND(F137*G137,2)</f>
        <v/>
      </c>
      <c r="I137" s="374" t="n"/>
      <c r="J137" s="232" t="n"/>
    </row>
    <row r="138">
      <c r="A138" s="228" t="n">
        <v>123</v>
      </c>
      <c r="B138" s="398" t="n"/>
      <c r="C138" s="271" t="inlineStr">
        <is>
          <t>01.7.15.14-0165</t>
        </is>
      </c>
      <c r="D138" s="272" t="inlineStr">
        <is>
          <t>Шурупы с полукруглой головкой 4х40 мм</t>
        </is>
      </c>
      <c r="E138" s="431" t="inlineStr">
        <is>
          <t>т</t>
        </is>
      </c>
      <c r="F138" s="271" t="n">
        <v>0.0012108</v>
      </c>
      <c r="G138" s="270" t="n">
        <v>12430</v>
      </c>
      <c r="H138" s="270">
        <f>ROUND(F138*G138,2)</f>
        <v/>
      </c>
      <c r="I138" s="374" t="n"/>
      <c r="J138" s="232" t="n"/>
    </row>
    <row r="139" ht="38.25" customHeight="1" s="371">
      <c r="A139" s="228" t="n">
        <v>124</v>
      </c>
      <c r="B139" s="398" t="n"/>
      <c r="C139" s="271" t="inlineStr">
        <is>
          <t>20.2.08.07-0047</t>
        </is>
      </c>
      <c r="D139" s="272" t="inlineStr">
        <is>
          <t>Скобы анодированные двухлапковые для крепления кабелей, проводов, труб к различным основаниям, СМД 25-26</t>
        </is>
      </c>
      <c r="E139" s="431" t="inlineStr">
        <is>
          <t>100 шт</t>
        </is>
      </c>
      <c r="F139" s="271" t="n">
        <v>0.2</v>
      </c>
      <c r="G139" s="270" t="n">
        <v>73.5</v>
      </c>
      <c r="H139" s="270">
        <f>ROUND(F139*G139,2)</f>
        <v/>
      </c>
      <c r="I139" s="374" t="n"/>
      <c r="J139" s="232" t="n"/>
    </row>
    <row r="140">
      <c r="A140" s="228" t="n">
        <v>125</v>
      </c>
      <c r="B140" s="398" t="n"/>
      <c r="C140" s="271" t="inlineStr">
        <is>
          <t>01.7.06.12-0004</t>
        </is>
      </c>
      <c r="D140" s="272" t="inlineStr">
        <is>
          <t>Лента киперная, ширина 40 мм</t>
        </is>
      </c>
      <c r="E140" s="431" t="inlineStr">
        <is>
          <t>100 м</t>
        </is>
      </c>
      <c r="F140" s="271" t="n">
        <v>0.1536</v>
      </c>
      <c r="G140" s="270" t="n">
        <v>94</v>
      </c>
      <c r="H140" s="270">
        <f>ROUND(F140*G140,2)</f>
        <v/>
      </c>
      <c r="I140" s="374" t="n"/>
      <c r="J140" s="232" t="n"/>
    </row>
    <row r="141">
      <c r="A141" s="228" t="n">
        <v>126</v>
      </c>
      <c r="B141" s="398" t="n"/>
      <c r="C141" s="271" t="inlineStr">
        <is>
          <t>01.7.07.29-0241</t>
        </is>
      </c>
      <c r="D141" s="272" t="inlineStr">
        <is>
          <t>Хомутик</t>
        </is>
      </c>
      <c r="E141" s="431" t="inlineStr">
        <is>
          <t>10 шт</t>
        </is>
      </c>
      <c r="F141" s="271" t="n">
        <v>0.2</v>
      </c>
      <c r="G141" s="270" t="n">
        <v>72</v>
      </c>
      <c r="H141" s="270">
        <f>ROUND(F141*G141,2)</f>
        <v/>
      </c>
      <c r="I141" s="374" t="n"/>
      <c r="J141" s="232" t="n"/>
    </row>
    <row r="142" ht="25.5" customHeight="1" s="371">
      <c r="A142" s="228" t="n">
        <v>127</v>
      </c>
      <c r="B142" s="398" t="n"/>
      <c r="C142" s="271" t="inlineStr">
        <is>
          <t>21.2.03.05-0066</t>
        </is>
      </c>
      <c r="D142" s="272" t="inlineStr">
        <is>
          <t>Провод силовой установочный с медными жилами ПуГВ 1х2,5-450</t>
        </is>
      </c>
      <c r="E142" s="431" t="inlineStr">
        <is>
          <t>1000 м</t>
        </is>
      </c>
      <c r="F142" s="271" t="n">
        <v>0.00618</v>
      </c>
      <c r="G142" s="270" t="n">
        <v>2291.15</v>
      </c>
      <c r="H142" s="270">
        <f>ROUND(F142*G142,2)</f>
        <v/>
      </c>
      <c r="I142" s="374" t="n"/>
      <c r="J142" s="232" t="n"/>
    </row>
    <row r="143">
      <c r="A143" s="228" t="n">
        <v>128</v>
      </c>
      <c r="B143" s="398" t="n"/>
      <c r="C143" s="271" t="inlineStr">
        <is>
          <t>01.7.11.06-0028</t>
        </is>
      </c>
      <c r="D143" s="272" t="inlineStr">
        <is>
          <t>Флюс ФКДТ</t>
        </is>
      </c>
      <c r="E143" s="431" t="inlineStr">
        <is>
          <t>кг</t>
        </is>
      </c>
      <c r="F143" s="271" t="n">
        <v>0.1</v>
      </c>
      <c r="G143" s="270" t="n">
        <v>138.76</v>
      </c>
      <c r="H143" s="270">
        <f>ROUND(F143*G143,2)</f>
        <v/>
      </c>
      <c r="I143" s="374" t="n"/>
      <c r="J143" s="232" t="n"/>
    </row>
    <row r="144">
      <c r="A144" s="228" t="n">
        <v>129</v>
      </c>
      <c r="B144" s="398" t="n"/>
      <c r="C144" s="271" t="inlineStr">
        <is>
          <t>20.2.10.03-0021</t>
        </is>
      </c>
      <c r="D144" s="272" t="inlineStr">
        <is>
          <t>Наконечники кабельные П6-4Д-МУЗ</t>
        </is>
      </c>
      <c r="E144" s="431" t="inlineStr">
        <is>
          <t>100 шт</t>
        </is>
      </c>
      <c r="F144" s="271" t="n">
        <v>0.02</v>
      </c>
      <c r="G144" s="270" t="n">
        <v>580</v>
      </c>
      <c r="H144" s="270">
        <f>ROUND(F144*G144,2)</f>
        <v/>
      </c>
      <c r="I144" s="374" t="n"/>
      <c r="J144" s="232" t="n"/>
    </row>
    <row r="145" ht="25.5" customHeight="1" s="371">
      <c r="A145" s="228" t="n">
        <v>130</v>
      </c>
      <c r="B145" s="398" t="n"/>
      <c r="C145" s="271" t="inlineStr">
        <is>
          <t>14.4.02.09-0402</t>
        </is>
      </c>
      <c r="D145" s="272" t="inlineStr">
        <is>
          <t>Краска маркировочная для электротехнических изделий</t>
        </is>
      </c>
      <c r="E145" s="431" t="inlineStr">
        <is>
          <t>кг</t>
        </is>
      </c>
      <c r="F145" s="271" t="n">
        <v>0.15</v>
      </c>
      <c r="G145" s="270" t="n">
        <v>68.87</v>
      </c>
      <c r="H145" s="270">
        <f>ROUND(F145*G145,2)</f>
        <v/>
      </c>
      <c r="I145" s="374" t="n"/>
      <c r="J145" s="232" t="n"/>
    </row>
    <row r="146">
      <c r="A146" s="228" t="n">
        <v>131</v>
      </c>
      <c r="B146" s="398" t="n"/>
      <c r="C146" s="271" t="inlineStr">
        <is>
          <t>01.7.15.07-0022</t>
        </is>
      </c>
      <c r="D146" s="272" t="inlineStr">
        <is>
          <t>Дюбели распорные полиэтиленовые, размер 6х40 мм</t>
        </is>
      </c>
      <c r="E146" s="431" t="inlineStr">
        <is>
          <t>1000 шт</t>
        </is>
      </c>
      <c r="F146" s="271" t="n">
        <v>0.048</v>
      </c>
      <c r="G146" s="270" t="n">
        <v>180</v>
      </c>
      <c r="H146" s="270">
        <f>ROUND(F146*G146,2)</f>
        <v/>
      </c>
      <c r="I146" s="374" t="n"/>
      <c r="J146" s="232" t="n"/>
    </row>
    <row r="147">
      <c r="A147" s="228" t="n">
        <v>132</v>
      </c>
      <c r="B147" s="398" t="n"/>
      <c r="C147" s="271" t="inlineStr">
        <is>
          <t>01.7.20.07-0002</t>
        </is>
      </c>
      <c r="D147" s="272" t="inlineStr">
        <is>
          <t>Шпагат из пенькового волокна</t>
        </is>
      </c>
      <c r="E147" s="431" t="inlineStr">
        <is>
          <t>кг</t>
        </is>
      </c>
      <c r="F147" s="271" t="n">
        <v>0.214</v>
      </c>
      <c r="G147" s="270" t="n">
        <v>37.6</v>
      </c>
      <c r="H147" s="270">
        <f>ROUND(F147*G147,2)</f>
        <v/>
      </c>
      <c r="I147" s="374" t="n"/>
      <c r="J147" s="232" t="n"/>
    </row>
    <row r="148" ht="25.5" customHeight="1" s="371">
      <c r="A148" s="228" t="n">
        <v>133</v>
      </c>
      <c r="B148" s="398" t="n"/>
      <c r="C148" s="271" t="inlineStr">
        <is>
          <t>01.7.19.04-0031</t>
        </is>
      </c>
      <c r="D148" s="272" t="inlineStr">
        <is>
          <t>Прокладки резиновые (пластина техническая прессованная)</t>
        </is>
      </c>
      <c r="E148" s="431" t="inlineStr">
        <is>
          <t>кг</t>
        </is>
      </c>
      <c r="F148" s="271" t="n">
        <v>0.316</v>
      </c>
      <c r="G148" s="270" t="n">
        <v>23.09</v>
      </c>
      <c r="H148" s="270">
        <f>ROUND(F148*G148,2)</f>
        <v/>
      </c>
      <c r="I148" s="374" t="n"/>
      <c r="J148" s="232" t="n"/>
    </row>
    <row r="149" ht="25.5" customHeight="1" s="371">
      <c r="A149" s="228" t="n">
        <v>134</v>
      </c>
      <c r="B149" s="398" t="n"/>
      <c r="C149" s="271" t="inlineStr">
        <is>
          <t>10.3.02.03-0012</t>
        </is>
      </c>
      <c r="D149" s="272" t="inlineStr">
        <is>
          <t>Припои оловянно-свинцовые бессурьмянистые, марка ПОС40</t>
        </is>
      </c>
      <c r="E149" s="431" t="inlineStr">
        <is>
          <t>т</t>
        </is>
      </c>
      <c r="F149" s="271" t="n">
        <v>0.00011</v>
      </c>
      <c r="G149" s="270" t="n">
        <v>65750</v>
      </c>
      <c r="H149" s="270">
        <f>ROUND(F149*G149,2)</f>
        <v/>
      </c>
      <c r="I149" s="374" t="n"/>
      <c r="J149" s="232" t="n"/>
    </row>
    <row r="150">
      <c r="A150" s="228" t="n">
        <v>135</v>
      </c>
      <c r="B150" s="398" t="n"/>
      <c r="C150" s="271" t="inlineStr">
        <is>
          <t>14.1.01.01-0003</t>
        </is>
      </c>
      <c r="D150" s="272" t="inlineStr">
        <is>
          <t>Клей столярный сухой</t>
        </is>
      </c>
      <c r="E150" s="431" t="inlineStr">
        <is>
          <t>кг</t>
        </is>
      </c>
      <c r="F150" s="271" t="n">
        <v>0.4</v>
      </c>
      <c r="G150" s="270" t="n">
        <v>16.95</v>
      </c>
      <c r="H150" s="270">
        <f>ROUND(F150*G150,2)</f>
        <v/>
      </c>
      <c r="I150" s="374" t="n"/>
      <c r="J150" s="232" t="n"/>
    </row>
    <row r="151">
      <c r="A151" s="228" t="n">
        <v>136</v>
      </c>
      <c r="B151" s="398" t="n"/>
      <c r="C151" s="271" t="inlineStr">
        <is>
          <t>01.3.01.05-0009</t>
        </is>
      </c>
      <c r="D151" s="272" t="inlineStr">
        <is>
          <t>Парафин нефтяной твердый Т-1</t>
        </is>
      </c>
      <c r="E151" s="431" t="inlineStr">
        <is>
          <t>т</t>
        </is>
      </c>
      <c r="F151" s="271" t="n">
        <v>0.00072</v>
      </c>
      <c r="G151" s="270" t="n">
        <v>8105.71</v>
      </c>
      <c r="H151" s="270">
        <f>ROUND(F151*G151,2)</f>
        <v/>
      </c>
      <c r="I151" s="374" t="n"/>
      <c r="J151" s="232" t="n"/>
    </row>
    <row r="152" ht="25.5" customHeight="1" s="371">
      <c r="A152" s="228" t="n">
        <v>137</v>
      </c>
      <c r="B152" s="398" t="n"/>
      <c r="C152" s="271" t="inlineStr">
        <is>
          <t>01.7.07.03-0007</t>
        </is>
      </c>
      <c r="D152" s="272" t="inlineStr">
        <is>
          <t>Воск полиэтиленовый неокисленный ПВ-25, ПВ-100, ПВ-200, ПВ-300, ПВ-500</t>
        </is>
      </c>
      <c r="E152" s="431" t="inlineStr">
        <is>
          <t>т</t>
        </is>
      </c>
      <c r="F152" s="271" t="n">
        <v>0.0002485</v>
      </c>
      <c r="G152" s="270" t="n">
        <v>22419</v>
      </c>
      <c r="H152" s="270">
        <f>ROUND(F152*G152,2)</f>
        <v/>
      </c>
      <c r="I152" s="374" t="n"/>
      <c r="J152" s="232" t="n"/>
    </row>
    <row r="153" ht="38.25" customHeight="1" s="371">
      <c r="A153" s="228" t="n">
        <v>138</v>
      </c>
      <c r="B153" s="398" t="n"/>
      <c r="C153" s="271" t="inlineStr">
        <is>
          <t>01.7.06.05-0042</t>
        </is>
      </c>
      <c r="D153" s="272" t="inlineStr">
        <is>
          <t>Лента липкая изоляционная на поликасиновом компаунде, ширина 20-30 мм, толщина от 0,14 до 0,19 мм</t>
        </is>
      </c>
      <c r="E153" s="431" t="inlineStr">
        <is>
          <t>кг</t>
        </is>
      </c>
      <c r="F153" s="271" t="n">
        <v>0.057</v>
      </c>
      <c r="G153" s="270" t="n">
        <v>91.29000000000001</v>
      </c>
      <c r="H153" s="270">
        <f>ROUND(F153*G153,2)</f>
        <v/>
      </c>
      <c r="I153" s="374" t="n"/>
      <c r="J153" s="232" t="n"/>
    </row>
    <row r="154">
      <c r="A154" s="228" t="n">
        <v>139</v>
      </c>
      <c r="B154" s="398" t="n"/>
      <c r="C154" s="271" t="inlineStr">
        <is>
          <t>01.7.15.07-0152</t>
        </is>
      </c>
      <c r="D154" s="272" t="inlineStr">
        <is>
          <t>Дюбели с шурупом, размер 6х35 мм</t>
        </is>
      </c>
      <c r="E154" s="431" t="inlineStr">
        <is>
          <t>100 шт</t>
        </is>
      </c>
      <c r="F154" s="271" t="n">
        <v>0.63</v>
      </c>
      <c r="G154" s="270" t="n">
        <v>8</v>
      </c>
      <c r="H154" s="270">
        <f>ROUND(F154*G154,2)</f>
        <v/>
      </c>
      <c r="I154" s="374" t="n"/>
      <c r="J154" s="232" t="n"/>
    </row>
    <row r="155" ht="25.5" customHeight="1" s="371">
      <c r="A155" s="228" t="n">
        <v>140</v>
      </c>
      <c r="B155" s="398" t="n"/>
      <c r="C155" s="271" t="inlineStr">
        <is>
          <t>01.7.06.05-0041</t>
        </is>
      </c>
      <c r="D155" s="272" t="inlineStr">
        <is>
          <t>Лента изоляционная прорезиненная односторонняя, ширина 20 мм, толщина 0,25-0,35 мм</t>
        </is>
      </c>
      <c r="E155" s="431" t="inlineStr">
        <is>
          <t>кг</t>
        </is>
      </c>
      <c r="F155" s="271" t="n">
        <v>0.164</v>
      </c>
      <c r="G155" s="270" t="n">
        <v>30.4</v>
      </c>
      <c r="H155" s="270">
        <f>ROUND(F155*G155,2)</f>
        <v/>
      </c>
      <c r="I155" s="374" t="n"/>
      <c r="J155" s="232" t="n"/>
    </row>
    <row r="156" ht="25.5" customHeight="1" s="371">
      <c r="A156" s="228" t="n">
        <v>141</v>
      </c>
      <c r="B156" s="398" t="n"/>
      <c r="C156" s="271" t="inlineStr">
        <is>
          <t>08.3.07.01-0076</t>
        </is>
      </c>
      <c r="D156" s="272" t="inlineStr">
        <is>
          <t>Прокат полосовой, горячекатаный, марка стали Ст3сп, ширина 50-200 мм, толщина 4-5 мм</t>
        </is>
      </c>
      <c r="E156" s="431" t="inlineStr">
        <is>
          <t>т</t>
        </is>
      </c>
      <c r="F156" s="271" t="n">
        <v>0.000888</v>
      </c>
      <c r="G156" s="270" t="n">
        <v>5000</v>
      </c>
      <c r="H156" s="270">
        <f>ROUND(F156*G156,2)</f>
        <v/>
      </c>
      <c r="I156" s="374" t="n"/>
      <c r="J156" s="232" t="n"/>
    </row>
    <row r="157">
      <c r="A157" s="228" t="n">
        <v>142</v>
      </c>
      <c r="B157" s="398" t="n"/>
      <c r="C157" s="271" t="inlineStr">
        <is>
          <t>14.4.02.09-0001</t>
        </is>
      </c>
      <c r="D157" s="272" t="inlineStr">
        <is>
          <t>Краска</t>
        </is>
      </c>
      <c r="E157" s="431" t="inlineStr">
        <is>
          <t>кг</t>
        </is>
      </c>
      <c r="F157" s="271" t="n">
        <v>0.15</v>
      </c>
      <c r="G157" s="270" t="n">
        <v>28.6</v>
      </c>
      <c r="H157" s="270">
        <f>ROUND(F157*G157,2)</f>
        <v/>
      </c>
      <c r="I157" s="374" t="n"/>
      <c r="J157" s="232" t="n"/>
    </row>
    <row r="158" ht="25.5" customHeight="1" s="371">
      <c r="A158" s="228" t="n">
        <v>143</v>
      </c>
      <c r="B158" s="398" t="n"/>
      <c r="C158" s="271" t="inlineStr">
        <is>
          <t>01.7.06.03-0004</t>
        </is>
      </c>
      <c r="D158" s="272" t="inlineStr">
        <is>
          <t>Лента поливинилхлоридная техническая с липким слоем, толщина 0,4 мм</t>
        </is>
      </c>
      <c r="E158" s="431" t="inlineStr">
        <is>
          <t>кг</t>
        </is>
      </c>
      <c r="F158" s="271" t="n">
        <v>0.2</v>
      </c>
      <c r="G158" s="270" t="n">
        <v>21.3</v>
      </c>
      <c r="H158" s="270">
        <f>ROUND(F158*G158,2)</f>
        <v/>
      </c>
      <c r="I158" s="374" t="n"/>
      <c r="J158" s="232" t="n"/>
    </row>
    <row r="159">
      <c r="A159" s="228" t="n">
        <v>144</v>
      </c>
      <c r="B159" s="398" t="n"/>
      <c r="C159" s="271" t="inlineStr">
        <is>
          <t>14.4.03.17-0011</t>
        </is>
      </c>
      <c r="D159" s="272" t="inlineStr">
        <is>
          <t>Лак электроизоляционный 318</t>
        </is>
      </c>
      <c r="E159" s="431" t="inlineStr">
        <is>
          <t>кг</t>
        </is>
      </c>
      <c r="F159" s="271" t="n">
        <v>0.114</v>
      </c>
      <c r="G159" s="270" t="n">
        <v>35.63</v>
      </c>
      <c r="H159" s="270">
        <f>ROUND(F159*G159,2)</f>
        <v/>
      </c>
      <c r="I159" s="374" t="n"/>
      <c r="J159" s="232" t="n"/>
    </row>
    <row r="160" ht="25.5" customHeight="1" s="371">
      <c r="A160" s="228" t="n">
        <v>145</v>
      </c>
      <c r="B160" s="398" t="n"/>
      <c r="C160" s="271" t="inlineStr">
        <is>
          <t>01.7.15.03-0031</t>
        </is>
      </c>
      <c r="D160" s="272" t="inlineStr">
        <is>
          <t>Болты с гайками и шайбами оцинкованные, диаметр 6 мм</t>
        </is>
      </c>
      <c r="E160" s="431" t="inlineStr">
        <is>
          <t>кг</t>
        </is>
      </c>
      <c r="F160" s="271" t="n">
        <v>0.1424</v>
      </c>
      <c r="G160" s="270" t="n">
        <v>28.22</v>
      </c>
      <c r="H160" s="270">
        <f>ROUND(F160*G160,2)</f>
        <v/>
      </c>
      <c r="I160" s="374" t="n"/>
      <c r="J160" s="232" t="n"/>
    </row>
    <row r="161">
      <c r="A161" s="228" t="n">
        <v>146</v>
      </c>
      <c r="B161" s="398" t="n"/>
      <c r="C161" s="271" t="inlineStr">
        <is>
          <t>01.7.11.07-0034</t>
        </is>
      </c>
      <c r="D161" s="272" t="inlineStr">
        <is>
          <t>Электроды сварочные Э42А, диаметр 4 мм</t>
        </is>
      </c>
      <c r="E161" s="431" t="inlineStr">
        <is>
          <t>кг</t>
        </is>
      </c>
      <c r="F161" s="271" t="n">
        <v>0.347632</v>
      </c>
      <c r="G161" s="270" t="n">
        <v>10.57</v>
      </c>
      <c r="H161" s="270">
        <f>ROUND(F161*G161,2)</f>
        <v/>
      </c>
      <c r="I161" s="374" t="n"/>
      <c r="J161" s="232" t="n"/>
    </row>
    <row r="162">
      <c r="A162" s="228" t="n">
        <v>147</v>
      </c>
      <c r="B162" s="398" t="n"/>
      <c r="C162" s="271" t="inlineStr">
        <is>
          <t>14.4.04.09-0017</t>
        </is>
      </c>
      <c r="D162" s="272" t="inlineStr">
        <is>
          <t>Эмаль ХВ-124, защитная, зеленая</t>
        </is>
      </c>
      <c r="E162" s="431" t="inlineStr">
        <is>
          <t>т</t>
        </is>
      </c>
      <c r="F162" s="271" t="n">
        <v>8.000000000000001e-05</v>
      </c>
      <c r="G162" s="270" t="n">
        <v>28300.4</v>
      </c>
      <c r="H162" s="270">
        <f>ROUND(F162*G162,2)</f>
        <v/>
      </c>
      <c r="I162" s="374" t="n"/>
      <c r="J162" s="232" t="n"/>
    </row>
    <row r="163">
      <c r="A163" s="228" t="n">
        <v>148</v>
      </c>
      <c r="B163" s="398" t="n"/>
      <c r="C163" s="271" t="inlineStr">
        <is>
          <t>01.7.15.03-0042</t>
        </is>
      </c>
      <c r="D163" s="272" t="inlineStr">
        <is>
          <t>Болты с гайками и шайбами строительные</t>
        </is>
      </c>
      <c r="E163" s="431" t="inlineStr">
        <is>
          <t>кг</t>
        </is>
      </c>
      <c r="F163" s="271" t="n">
        <v>0.203073</v>
      </c>
      <c r="G163" s="270" t="n">
        <v>9.039999999999999</v>
      </c>
      <c r="H163" s="270">
        <f>ROUND(F163*G163,2)</f>
        <v/>
      </c>
      <c r="I163" s="374" t="n"/>
      <c r="J163" s="232" t="n"/>
    </row>
    <row r="164" ht="38.25" customHeight="1" s="371">
      <c r="A164" s="228" t="n">
        <v>149</v>
      </c>
      <c r="B164" s="398" t="n"/>
      <c r="C164" s="271" t="inlineStr">
        <is>
          <t>01.7.15.14-0043</t>
        </is>
      </c>
      <c r="D164" s="272" t="inlineStr">
        <is>
          <t>Шурупы самонарезающий прокалывающий, для крепления металлических профилей или листовых деталей 3,5/11 мм</t>
        </is>
      </c>
      <c r="E164" s="431" t="inlineStr">
        <is>
          <t>100 шт</t>
        </is>
      </c>
      <c r="F164" s="271" t="n">
        <v>0.8568</v>
      </c>
      <c r="G164" s="270" t="n">
        <v>2</v>
      </c>
      <c r="H164" s="270">
        <f>ROUND(F164*G164,2)</f>
        <v/>
      </c>
      <c r="I164" s="374" t="n"/>
      <c r="J164" s="232" t="n"/>
    </row>
    <row r="165">
      <c r="A165" s="228" t="n">
        <v>150</v>
      </c>
      <c r="B165" s="398" t="n"/>
      <c r="C165" s="271" t="inlineStr">
        <is>
          <t>20.1.02.23-0082</t>
        </is>
      </c>
      <c r="D165" s="272" t="inlineStr">
        <is>
          <t>Перемычки гибкие, тип ПГС-50</t>
        </is>
      </c>
      <c r="E165" s="431" t="inlineStr">
        <is>
          <t>10 шт</t>
        </is>
      </c>
      <c r="F165" s="271" t="n">
        <v>0.03</v>
      </c>
      <c r="G165" s="270" t="n">
        <v>39</v>
      </c>
      <c r="H165" s="270">
        <f>ROUND(F165*G165,2)</f>
        <v/>
      </c>
      <c r="I165" s="374" t="n"/>
      <c r="J165" s="232" t="n"/>
    </row>
    <row r="166">
      <c r="A166" s="228" t="n">
        <v>151</v>
      </c>
      <c r="B166" s="398" t="n"/>
      <c r="C166" s="271" t="inlineStr">
        <is>
          <t>22.2.02.11-0051</t>
        </is>
      </c>
      <c r="D166" s="272" t="inlineStr">
        <is>
          <t>Гайки установочные заземляющие</t>
        </is>
      </c>
      <c r="E166" s="431" t="inlineStr">
        <is>
          <t>100 шт</t>
        </is>
      </c>
      <c r="F166" s="271" t="n">
        <v>0.0125</v>
      </c>
      <c r="G166" s="270" t="n">
        <v>88.5</v>
      </c>
      <c r="H166" s="270">
        <f>ROUND(F166*G166,2)</f>
        <v/>
      </c>
      <c r="I166" s="374" t="n"/>
      <c r="J166" s="232" t="n"/>
    </row>
    <row r="167">
      <c r="A167" s="228" t="n">
        <v>152</v>
      </c>
      <c r="B167" s="398" t="n"/>
      <c r="C167" s="271" t="inlineStr">
        <is>
          <t>20.2.02.02-0011</t>
        </is>
      </c>
      <c r="D167" s="272" t="inlineStr">
        <is>
          <t>Заглушки</t>
        </is>
      </c>
      <c r="E167" s="431" t="inlineStr">
        <is>
          <t>10 шт</t>
        </is>
      </c>
      <c r="F167" s="271" t="n">
        <v>0.051</v>
      </c>
      <c r="G167" s="270" t="n">
        <v>19.9</v>
      </c>
      <c r="H167" s="270">
        <f>ROUND(F167*G167,2)</f>
        <v/>
      </c>
      <c r="I167" s="374" t="n"/>
      <c r="J167" s="232" t="n"/>
    </row>
    <row r="168">
      <c r="A168" s="228" t="n">
        <v>153</v>
      </c>
      <c r="B168" s="398" t="n"/>
      <c r="C168" s="271" t="inlineStr">
        <is>
          <t>01.7.20.04-0004</t>
        </is>
      </c>
      <c r="D168" s="272" t="inlineStr">
        <is>
          <t>Нитки хлопчатобумажные швейные</t>
        </is>
      </c>
      <c r="E168" s="431" t="inlineStr">
        <is>
          <t>кг</t>
        </is>
      </c>
      <c r="F168" s="271" t="n">
        <v>0.01</v>
      </c>
      <c r="G168" s="270" t="n">
        <v>100.12</v>
      </c>
      <c r="H168" s="270">
        <f>ROUND(F168*G168,2)</f>
        <v/>
      </c>
      <c r="I168" s="374" t="n"/>
      <c r="J168" s="232" t="n"/>
    </row>
    <row r="169">
      <c r="A169" s="228" t="n">
        <v>154</v>
      </c>
      <c r="B169" s="398" t="n"/>
      <c r="C169" s="271" t="inlineStr">
        <is>
          <t>01.7.06.11-0021</t>
        </is>
      </c>
      <c r="D169" s="272" t="inlineStr">
        <is>
          <t>Лента ФУМ</t>
        </is>
      </c>
      <c r="E169" s="431" t="inlineStr">
        <is>
          <t>кг</t>
        </is>
      </c>
      <c r="F169" s="271" t="n">
        <v>0.0016</v>
      </c>
      <c r="G169" s="270" t="n">
        <v>444</v>
      </c>
      <c r="H169" s="270">
        <f>ROUND(F169*G169,2)</f>
        <v/>
      </c>
      <c r="I169" s="374" t="n"/>
      <c r="J169" s="232" t="n"/>
    </row>
    <row r="170">
      <c r="A170" s="228" t="n">
        <v>155</v>
      </c>
      <c r="B170" s="398" t="n"/>
      <c r="C170" s="271" t="inlineStr">
        <is>
          <t>01.7.06.03-0023</t>
        </is>
      </c>
      <c r="D170" s="272" t="inlineStr">
        <is>
          <t>Лента полиэтиленовая с липким слоем, марка А</t>
        </is>
      </c>
      <c r="E170" s="431" t="inlineStr">
        <is>
          <t>кг</t>
        </is>
      </c>
      <c r="F170" s="271" t="n">
        <v>0.0164</v>
      </c>
      <c r="G170" s="270" t="n">
        <v>39.02</v>
      </c>
      <c r="H170" s="270">
        <f>ROUND(F170*G170,2)</f>
        <v/>
      </c>
      <c r="I170" s="374" t="n"/>
      <c r="J170" s="232" t="n"/>
    </row>
    <row r="171">
      <c r="A171" s="228" t="n">
        <v>156</v>
      </c>
      <c r="B171" s="398" t="n"/>
      <c r="C171" s="271" t="inlineStr">
        <is>
          <t>01.7.03.04-0001</t>
        </is>
      </c>
      <c r="D171" s="272" t="inlineStr">
        <is>
          <t>Электроэнергия</t>
        </is>
      </c>
      <c r="E171" s="431" t="inlineStr">
        <is>
          <t>кВт-ч</t>
        </is>
      </c>
      <c r="F171" s="271" t="n">
        <v>0.6840000000000001</v>
      </c>
      <c r="G171" s="270" t="n">
        <v>0.4</v>
      </c>
      <c r="H171" s="270">
        <f>ROUND(F171*G171,2)</f>
        <v/>
      </c>
      <c r="I171" s="374" t="n"/>
      <c r="J171" s="232" t="n"/>
    </row>
    <row r="172">
      <c r="A172" s="228" t="n">
        <v>157</v>
      </c>
      <c r="B172" s="398" t="n"/>
      <c r="C172" s="271" t="inlineStr">
        <is>
          <t>01.7.15.04-0011</t>
        </is>
      </c>
      <c r="D172" s="272" t="inlineStr">
        <is>
          <t>Винты с полукруглой головкой, длина 50 мм</t>
        </is>
      </c>
      <c r="E172" s="431" t="inlineStr">
        <is>
          <t>т</t>
        </is>
      </c>
      <c r="F172" s="271" t="n">
        <v>4e-06</v>
      </c>
      <c r="G172" s="270" t="n">
        <v>12430</v>
      </c>
      <c r="H172" s="270">
        <f>ROUND(F172*G172,2)</f>
        <v/>
      </c>
      <c r="I172" s="374" t="n"/>
      <c r="J172" s="232" t="n"/>
    </row>
    <row r="175">
      <c r="B175" s="370" t="inlineStr">
        <is>
          <t>Составил ______________________     Е. М. Добровольская</t>
        </is>
      </c>
    </row>
    <row r="176">
      <c r="B176" s="235" t="inlineStr">
        <is>
          <t xml:space="preserve">                         (подпись, инициалы, фамилия)</t>
        </is>
      </c>
    </row>
    <row r="178">
      <c r="B178" s="370" t="inlineStr">
        <is>
          <t>Проверил ______________________        А.В. Костянецкая</t>
        </is>
      </c>
    </row>
    <row r="179">
      <c r="B179" s="235" t="inlineStr">
        <is>
          <t xml:space="preserve">                        (подпись, инициалы, фамилия)</t>
        </is>
      </c>
    </row>
  </sheetData>
  <mergeCells count="16">
    <mergeCell ref="A34:E34"/>
    <mergeCell ref="A3:H3"/>
    <mergeCell ref="A8:A9"/>
    <mergeCell ref="E8:E9"/>
    <mergeCell ref="C8:C9"/>
    <mergeCell ref="A54:E54"/>
    <mergeCell ref="F8:F9"/>
    <mergeCell ref="A2:H2"/>
    <mergeCell ref="A11:E11"/>
    <mergeCell ref="D8:D9"/>
    <mergeCell ref="B8:B9"/>
    <mergeCell ref="A32:E32"/>
    <mergeCell ref="C4:H4"/>
    <mergeCell ref="G8:H8"/>
    <mergeCell ref="A70:E70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2" sqref="E62:E63"/>
    </sheetView>
  </sheetViews>
  <sheetFormatPr baseColWidth="8" defaultRowHeight="15"/>
  <cols>
    <col width="4.140625" customWidth="1" style="371" min="1" max="1"/>
    <col width="36.28515625" customWidth="1" style="371" min="2" max="2"/>
    <col width="18.85546875" customWidth="1" style="371" min="3" max="3"/>
    <col width="18.28515625" customWidth="1" style="371" min="4" max="4"/>
    <col width="18.85546875" customWidth="1" style="371" min="5" max="5"/>
    <col width="9.140625" customWidth="1" style="371" min="6" max="6"/>
    <col width="13.42578125" customWidth="1" style="371" min="7" max="7"/>
    <col width="9.140625" customWidth="1" style="371" min="8" max="11"/>
    <col width="13.5703125" customWidth="1" style="371" min="12" max="12"/>
    <col width="9.140625" customWidth="1" style="371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26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378" t="inlineStr">
        <is>
          <t>Ресурсная модель</t>
        </is>
      </c>
    </row>
    <row r="6">
      <c r="B6" s="209" t="n"/>
      <c r="C6" s="331" t="n"/>
      <c r="D6" s="331" t="n"/>
      <c r="E6" s="331" t="n"/>
    </row>
    <row r="7" ht="25.5" customHeight="1" s="371">
      <c r="B7" s="391" t="inlineStr">
        <is>
          <t>Наименование разрабатываемого показателя УНЦ — Система видеоаналитики на 128 видеокамер</t>
        </is>
      </c>
    </row>
    <row r="8">
      <c r="B8" s="401" t="inlineStr">
        <is>
          <t>Единица измерения  — 1 система</t>
        </is>
      </c>
    </row>
    <row r="9">
      <c r="B9" s="209" t="n"/>
      <c r="C9" s="331" t="n"/>
      <c r="D9" s="331" t="n"/>
      <c r="E9" s="331" t="n"/>
    </row>
    <row r="10" ht="51" customHeight="1" s="371">
      <c r="B10" s="405" t="inlineStr">
        <is>
          <t>Наименование</t>
        </is>
      </c>
      <c r="C10" s="405" t="inlineStr">
        <is>
          <t>Сметная стоимость в ценах на 01.01.2023
 (руб.)</t>
        </is>
      </c>
      <c r="D10" s="405" t="inlineStr">
        <is>
          <t>Удельный вес, 
(в СМР)</t>
        </is>
      </c>
      <c r="E10" s="405" t="inlineStr">
        <is>
          <t>Удельный вес, % 
(от всего по РМ)</t>
        </is>
      </c>
    </row>
    <row r="11">
      <c r="B11" s="201" t="inlineStr">
        <is>
          <t>Оплата труда рабочих</t>
        </is>
      </c>
      <c r="C11" s="202">
        <f>'Прил.5 Расчет СМР и ОБ'!J18</f>
        <v/>
      </c>
      <c r="D11" s="203">
        <f>C11/$C$24</f>
        <v/>
      </c>
      <c r="E11" s="203">
        <f>C11/$C$40</f>
        <v/>
      </c>
    </row>
    <row r="12">
      <c r="B12" s="201" t="inlineStr">
        <is>
          <t>Эксплуатация машин основных</t>
        </is>
      </c>
      <c r="C12" s="202">
        <f>'Прил.5 Расчет СМР и ОБ'!J28</f>
        <v/>
      </c>
      <c r="D12" s="203">
        <f>C12/$C$24</f>
        <v/>
      </c>
      <c r="E12" s="203">
        <f>C12/$C$40</f>
        <v/>
      </c>
    </row>
    <row r="13">
      <c r="B13" s="201" t="inlineStr">
        <is>
          <t>Эксплуатация машин прочих</t>
        </is>
      </c>
      <c r="C13" s="202">
        <f>'Прил.5 Расчет СМР и ОБ'!J43</f>
        <v/>
      </c>
      <c r="D13" s="203">
        <f>C13/$C$24</f>
        <v/>
      </c>
      <c r="E13" s="203">
        <f>C13/$C$40</f>
        <v/>
      </c>
    </row>
    <row r="14">
      <c r="B14" s="201" t="inlineStr">
        <is>
          <t>ЭКСПЛУАТАЦИЯ МАШИН, ВСЕГО:</t>
        </is>
      </c>
      <c r="C14" s="202">
        <f>C13+C12</f>
        <v/>
      </c>
      <c r="D14" s="203">
        <f>C14/$C$24</f>
        <v/>
      </c>
      <c r="E14" s="203">
        <f>C14/$C$40</f>
        <v/>
      </c>
    </row>
    <row r="15">
      <c r="B15" s="201" t="inlineStr">
        <is>
          <t>в том числе зарплата машинистов</t>
        </is>
      </c>
      <c r="C15" s="202">
        <f>'Прил.5 Расчет СМР и ОБ'!J20</f>
        <v/>
      </c>
      <c r="D15" s="203">
        <f>C15/$C$24</f>
        <v/>
      </c>
      <c r="E15" s="203">
        <f>C15/$C$40</f>
        <v/>
      </c>
    </row>
    <row r="16">
      <c r="B16" s="201" t="inlineStr">
        <is>
          <t>Материалы основные</t>
        </is>
      </c>
      <c r="C16" s="202">
        <f>'Прил.5 Расчет СМР и ОБ'!J71</f>
        <v/>
      </c>
      <c r="D16" s="203">
        <f>C16/$C$24</f>
        <v/>
      </c>
      <c r="E16" s="203">
        <f>C16/$C$40</f>
        <v/>
      </c>
    </row>
    <row r="17">
      <c r="B17" s="201" t="inlineStr">
        <is>
          <t>Материалы прочие</t>
        </is>
      </c>
      <c r="C17" s="202">
        <f>'Прил.5 Расчет СМР и ОБ'!J171</f>
        <v/>
      </c>
      <c r="D17" s="203">
        <f>C17/$C$24</f>
        <v/>
      </c>
      <c r="E17" s="203">
        <f>C17/$C$40</f>
        <v/>
      </c>
      <c r="G17" s="488" t="n"/>
    </row>
    <row r="18">
      <c r="B18" s="201" t="inlineStr">
        <is>
          <t>МАТЕРИАЛЫ, ВСЕГО:</t>
        </is>
      </c>
      <c r="C18" s="202">
        <f>C17+C16</f>
        <v/>
      </c>
      <c r="D18" s="203">
        <f>C18/$C$24</f>
        <v/>
      </c>
      <c r="E18" s="203">
        <f>C18/$C$40</f>
        <v/>
      </c>
    </row>
    <row r="19">
      <c r="B19" s="201" t="inlineStr">
        <is>
          <t>ИТОГО</t>
        </is>
      </c>
      <c r="C19" s="202">
        <f>C18+C14+C11</f>
        <v/>
      </c>
      <c r="D19" s="203" t="n"/>
      <c r="E19" s="201" t="n"/>
    </row>
    <row r="20">
      <c r="B20" s="201" t="inlineStr">
        <is>
          <t>Сметная прибыль, руб.</t>
        </is>
      </c>
      <c r="C20" s="202">
        <f>ROUND(C21*(C11+C15),2)</f>
        <v/>
      </c>
      <c r="D20" s="203">
        <f>C20/$C$24</f>
        <v/>
      </c>
      <c r="E20" s="203">
        <f>C20/$C$40</f>
        <v/>
      </c>
    </row>
    <row r="21">
      <c r="B21" s="201" t="inlineStr">
        <is>
          <t>Сметная прибыль, %</t>
        </is>
      </c>
      <c r="C21" s="206">
        <f>'Прил.5 Расчет СМР и ОБ'!D175</f>
        <v/>
      </c>
      <c r="D21" s="203" t="n"/>
      <c r="E21" s="201" t="n"/>
    </row>
    <row r="22">
      <c r="B22" s="201" t="inlineStr">
        <is>
          <t>Накладные расходы, руб.</t>
        </is>
      </c>
      <c r="C22" s="202">
        <f>ROUND(C23*(C11+C15),2)</f>
        <v/>
      </c>
      <c r="D22" s="203">
        <f>C22/$C$24</f>
        <v/>
      </c>
      <c r="E22" s="203">
        <f>C22/$C$40</f>
        <v/>
      </c>
    </row>
    <row r="23">
      <c r="B23" s="201" t="inlineStr">
        <is>
          <t>Накладные расходы, %</t>
        </is>
      </c>
      <c r="C23" s="206">
        <f>'Прил.5 Расчет СМР и ОБ'!D174</f>
        <v/>
      </c>
      <c r="D23" s="203" t="n"/>
      <c r="E23" s="201" t="n"/>
    </row>
    <row r="24">
      <c r="B24" s="201" t="inlineStr">
        <is>
          <t>ВСЕГО СМР с НР и СП</t>
        </is>
      </c>
      <c r="C24" s="202">
        <f>C19+C20+C22</f>
        <v/>
      </c>
      <c r="D24" s="203">
        <f>C24/$C$24</f>
        <v/>
      </c>
      <c r="E24" s="203">
        <f>C24/$C$40</f>
        <v/>
      </c>
    </row>
    <row r="25" ht="25.5" customHeight="1" s="371">
      <c r="B25" s="201" t="inlineStr">
        <is>
          <t>ВСЕГО стоимость оборудования, в том числе</t>
        </is>
      </c>
      <c r="C25" s="202">
        <f>'Прил.5 Расчет СМР и ОБ'!J64</f>
        <v/>
      </c>
      <c r="D25" s="203" t="n"/>
      <c r="E25" s="203">
        <f>C25/$C$40</f>
        <v/>
      </c>
    </row>
    <row r="26" ht="25.5" customHeight="1" s="371">
      <c r="B26" s="201" t="inlineStr">
        <is>
          <t>стоимость оборудования технологического</t>
        </is>
      </c>
      <c r="C26" s="202">
        <f>'Прил.5 Расчет СМР и ОБ'!J65</f>
        <v/>
      </c>
      <c r="D26" s="203" t="n"/>
      <c r="E26" s="203">
        <f>C26/$C$40</f>
        <v/>
      </c>
    </row>
    <row r="27">
      <c r="B27" s="201" t="inlineStr">
        <is>
          <t>ИТОГО (СМР + ОБОРУДОВАНИЕ)</t>
        </is>
      </c>
      <c r="C27" s="205">
        <f>C24+C25</f>
        <v/>
      </c>
      <c r="D27" s="203" t="n"/>
      <c r="E27" s="203">
        <f>C27/$C$40</f>
        <v/>
      </c>
      <c r="G27" s="204" t="n"/>
    </row>
    <row r="28" ht="33" customHeight="1" s="371">
      <c r="B28" s="201" t="inlineStr">
        <is>
          <t>ПРОЧ. ЗАТР., УЧТЕННЫЕ ПОКАЗАТЕЛЕМ,  в том числе</t>
        </is>
      </c>
      <c r="C28" s="201" t="n"/>
      <c r="D28" s="201" t="n"/>
      <c r="E28" s="201" t="n"/>
    </row>
    <row r="29" ht="25.5" customHeight="1" s="371">
      <c r="B29" s="201" t="inlineStr">
        <is>
          <t>Временные здания и сооружения - 3,9%</t>
        </is>
      </c>
      <c r="C29" s="205">
        <f>ROUND(C24*3.3%,2)</f>
        <v/>
      </c>
      <c r="D29" s="201" t="n"/>
      <c r="E29" s="203" t="n">
        <v>0.039</v>
      </c>
    </row>
    <row r="30" ht="38.25" customHeight="1" s="371">
      <c r="B30" s="201" t="inlineStr">
        <is>
          <t>Дополнительные затраты при производстве строительно-монтажных работ в зимнее время - 2,1%</t>
        </is>
      </c>
      <c r="C30" s="205">
        <f>ROUND((C24+C29)*1%,2)</f>
        <v/>
      </c>
      <c r="D30" s="201" t="n"/>
      <c r="E30" s="203" t="n">
        <v>0.021</v>
      </c>
    </row>
    <row r="31">
      <c r="B31" s="201" t="inlineStr">
        <is>
          <t>Пусконаладочные работы</t>
        </is>
      </c>
      <c r="C31" s="205" t="n">
        <v>1025730</v>
      </c>
      <c r="D31" s="201" t="n"/>
      <c r="E31" s="203">
        <f>C31/$C$40</f>
        <v/>
      </c>
    </row>
    <row r="32" ht="25.5" customHeight="1" s="371">
      <c r="B32" s="201" t="inlineStr">
        <is>
          <t>Затраты по перевозке работников к месту работы и обратно</t>
        </is>
      </c>
      <c r="C32" s="205" t="n">
        <v>0</v>
      </c>
      <c r="D32" s="201" t="n"/>
      <c r="E32" s="203">
        <f>C32/$C$40</f>
        <v/>
      </c>
    </row>
    <row r="33" ht="25.5" customHeight="1" s="371">
      <c r="B33" s="201" t="inlineStr">
        <is>
          <t>Затраты, связанные с осуществлением работ вахтовым методом</t>
        </is>
      </c>
      <c r="C33" s="205">
        <f>ROUND(C27*0%,2)</f>
        <v/>
      </c>
      <c r="D33" s="201" t="n"/>
      <c r="E33" s="203">
        <f>C33/$C$40</f>
        <v/>
      </c>
    </row>
    <row r="34" ht="51" customHeight="1" s="371">
      <c r="B34" s="20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5" t="n">
        <v>0</v>
      </c>
      <c r="D34" s="201" t="n"/>
      <c r="E34" s="203">
        <f>C34/$C$40</f>
        <v/>
      </c>
    </row>
    <row r="35" ht="76.5" customHeight="1" s="371">
      <c r="B35" s="20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5">
        <f>ROUND(C27*0%,2)</f>
        <v/>
      </c>
      <c r="D35" s="201" t="n"/>
      <c r="E35" s="203">
        <f>C35/$C$40</f>
        <v/>
      </c>
    </row>
    <row r="36" ht="25.5" customHeight="1" s="371">
      <c r="B36" s="201" t="inlineStr">
        <is>
          <t>Строительный контроль и содержание службы заказчика - 2,14%</t>
        </is>
      </c>
      <c r="C36" s="205">
        <f>ROUND((C27+C32+C33+C34+C35+C29+C31+C30)*2.14%,2)</f>
        <v/>
      </c>
      <c r="D36" s="201" t="n"/>
      <c r="E36" s="203">
        <f>C36/$C$40</f>
        <v/>
      </c>
      <c r="G36" s="212" t="n"/>
      <c r="L36" s="204" t="n"/>
    </row>
    <row r="37">
      <c r="B37" s="201" t="inlineStr">
        <is>
          <t>Авторский надзор - 0,2%</t>
        </is>
      </c>
      <c r="C37" s="205">
        <f>ROUND((C27+C32+C33+C34+C35+C29+C31+C30)*0.2%,2)</f>
        <v/>
      </c>
      <c r="D37" s="201" t="n"/>
      <c r="E37" s="203">
        <f>C37/$C$40</f>
        <v/>
      </c>
      <c r="G37" s="169" t="n"/>
      <c r="L37" s="204" t="n"/>
    </row>
    <row r="38" ht="38.25" customHeight="1" s="371">
      <c r="B38" s="201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01" t="n"/>
      <c r="E38" s="203">
        <f>C38/$C$40</f>
        <v/>
      </c>
    </row>
    <row r="39" ht="13.5" customHeight="1" s="371">
      <c r="B39" s="201" t="inlineStr">
        <is>
          <t>Непредвиденные расходы</t>
        </is>
      </c>
      <c r="C39" s="202">
        <f>ROUND(C38*3%,2)</f>
        <v/>
      </c>
      <c r="D39" s="201" t="n"/>
      <c r="E39" s="203">
        <f>C39/$C$38</f>
        <v/>
      </c>
    </row>
    <row r="40">
      <c r="B40" s="201" t="inlineStr">
        <is>
          <t>ВСЕГО:</t>
        </is>
      </c>
      <c r="C40" s="202">
        <f>C39+C38</f>
        <v/>
      </c>
      <c r="D40" s="201" t="n"/>
      <c r="E40" s="203">
        <f>C40/$C$40</f>
        <v/>
      </c>
    </row>
    <row r="41">
      <c r="B41" s="201" t="inlineStr">
        <is>
          <t>ИТОГО ПОКАЗАТЕЛЬ НА ЕД. ИЗМ.</t>
        </is>
      </c>
      <c r="C41" s="202">
        <f>C40/'Прил.5 Расчет СМР и ОБ'!E178</f>
        <v/>
      </c>
      <c r="D41" s="201" t="n"/>
      <c r="E41" s="201" t="n"/>
    </row>
    <row r="42">
      <c r="B42" s="200" t="n"/>
      <c r="C42" s="331" t="n"/>
      <c r="D42" s="331" t="n"/>
      <c r="E42" s="331" t="n"/>
    </row>
    <row r="43">
      <c r="B43" s="200" t="inlineStr">
        <is>
          <t>Составил ____________________________  Е. М. Добровольская</t>
        </is>
      </c>
      <c r="C43" s="331" t="n"/>
      <c r="D43" s="331" t="n"/>
      <c r="E43" s="331" t="n"/>
    </row>
    <row r="44">
      <c r="B44" s="200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00" t="n"/>
      <c r="C45" s="331" t="n"/>
      <c r="D45" s="331" t="n"/>
      <c r="E45" s="331" t="n"/>
    </row>
    <row r="46">
      <c r="B46" s="200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401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84"/>
  <sheetViews>
    <sheetView view="pageBreakPreview" topLeftCell="A172" zoomScale="90" workbookViewId="0">
      <selection activeCell="G213" sqref="G212:G213"/>
    </sheetView>
  </sheetViews>
  <sheetFormatPr baseColWidth="8" defaultColWidth="9.140625" defaultRowHeight="15" outlineLevelRow="1"/>
  <cols>
    <col width="5.7109375" customWidth="1" style="332" min="1" max="1"/>
    <col width="22.5703125" customWidth="1" style="332" min="2" max="2"/>
    <col width="39.140625" customWidth="1" style="332" min="3" max="3"/>
    <col width="10.7109375" customWidth="1" style="332" min="4" max="4"/>
    <col width="14.5703125" customWidth="1" style="332" min="5" max="6"/>
    <col width="15.8554687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3.85546875" customWidth="1" style="332" min="11" max="12"/>
    <col width="9.140625" customWidth="1" style="371" min="13" max="13"/>
  </cols>
  <sheetData>
    <row r="1" s="371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75" customHeight="1" s="371">
      <c r="A2" s="332" t="n"/>
      <c r="B2" s="332" t="n"/>
      <c r="C2" s="332" t="n"/>
      <c r="D2" s="332" t="n"/>
      <c r="E2" s="332" t="n"/>
      <c r="F2" s="332" t="n"/>
      <c r="G2" s="332" t="n"/>
      <c r="H2" s="402" t="inlineStr">
        <is>
          <t>Приложение №5</t>
        </is>
      </c>
      <c r="K2" s="332" t="n"/>
      <c r="L2" s="332" t="n"/>
      <c r="M2" s="332" t="n"/>
      <c r="N2" s="332" t="n"/>
    </row>
    <row r="3" s="371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2.75" customFormat="1" customHeight="1" s="331">
      <c r="A4" s="378" t="inlineStr">
        <is>
          <t>Расчет стоимости СМР и оборудования</t>
        </is>
      </c>
    </row>
    <row r="5" ht="12.75" customFormat="1" customHeight="1" s="331">
      <c r="A5" s="378" t="n"/>
      <c r="B5" s="378" t="n"/>
      <c r="C5" s="434" t="n"/>
      <c r="D5" s="378" t="n"/>
      <c r="E5" s="378" t="n"/>
      <c r="F5" s="378" t="n"/>
      <c r="G5" s="378" t="n"/>
      <c r="H5" s="378" t="n"/>
      <c r="I5" s="378" t="n"/>
      <c r="J5" s="378" t="n"/>
    </row>
    <row r="6" ht="33.75" customFormat="1" customHeight="1" s="331">
      <c r="A6" s="254" t="inlineStr">
        <is>
          <t>Наименование разрабатываемого показателя УНЦ</t>
        </is>
      </c>
      <c r="B6" s="255" t="n"/>
      <c r="C6" s="255" t="n"/>
      <c r="D6" s="381" t="inlineStr">
        <is>
          <t>Система видеоаналитики на 128 видеокамер</t>
        </is>
      </c>
    </row>
    <row r="7" ht="12.75" customFormat="1" customHeight="1" s="331">
      <c r="A7" s="381" t="inlineStr">
        <is>
          <t>Единица измерения  — 1 система</t>
        </is>
      </c>
      <c r="I7" s="391" t="n"/>
      <c r="J7" s="391" t="n"/>
    </row>
    <row r="8" ht="13.5" customFormat="1" customHeight="1" s="331">
      <c r="A8" s="381" t="n"/>
    </row>
    <row r="9" ht="13.15" customFormat="1" customHeight="1" s="331"/>
    <row r="10" ht="27" customHeight="1" s="371">
      <c r="A10" s="405" t="inlineStr">
        <is>
          <t>№ пп.</t>
        </is>
      </c>
      <c r="B10" s="405" t="inlineStr">
        <is>
          <t>Код ресурса</t>
        </is>
      </c>
      <c r="C10" s="405" t="inlineStr">
        <is>
          <t>Наименование</t>
        </is>
      </c>
      <c r="D10" s="405" t="inlineStr">
        <is>
          <t>Ед. изм.</t>
        </is>
      </c>
      <c r="E10" s="405" t="inlineStr">
        <is>
          <t>Кол-во единиц по проектным данным</t>
        </is>
      </c>
      <c r="F10" s="405" t="inlineStr">
        <is>
          <t>Сметная стоимость в ценах на 01.01.2000 (руб.)</t>
        </is>
      </c>
      <c r="G10" s="478" t="n"/>
      <c r="H10" s="405" t="inlineStr">
        <is>
          <t>Удельный вес, %</t>
        </is>
      </c>
      <c r="I10" s="405" t="inlineStr">
        <is>
          <t>Сметная стоимость в ценах на 01.01.2023 (руб.)</t>
        </is>
      </c>
      <c r="J10" s="478" t="n"/>
      <c r="K10" s="332" t="n"/>
      <c r="L10" s="332" t="n"/>
      <c r="M10" s="332" t="n"/>
      <c r="N10" s="332" t="n"/>
    </row>
    <row r="11" ht="28.5" customHeight="1" s="371">
      <c r="A11" s="480" t="n"/>
      <c r="B11" s="480" t="n"/>
      <c r="C11" s="480" t="n"/>
      <c r="D11" s="480" t="n"/>
      <c r="E11" s="480" t="n"/>
      <c r="F11" s="405" t="inlineStr">
        <is>
          <t>на ед. изм.</t>
        </is>
      </c>
      <c r="G11" s="405" t="inlineStr">
        <is>
          <t>общая</t>
        </is>
      </c>
      <c r="H11" s="480" t="n"/>
      <c r="I11" s="405" t="inlineStr">
        <is>
          <t>на ед. изм.</t>
        </is>
      </c>
      <c r="J11" s="405" t="inlineStr">
        <is>
          <t>общая</t>
        </is>
      </c>
      <c r="K11" s="332" t="n"/>
      <c r="L11" s="332" t="n"/>
      <c r="M11" s="332" t="n"/>
      <c r="N11" s="332" t="n"/>
    </row>
    <row r="12" s="371">
      <c r="A12" s="405" t="n">
        <v>1</v>
      </c>
      <c r="B12" s="405" t="n">
        <v>2</v>
      </c>
      <c r="C12" s="405" t="n">
        <v>3</v>
      </c>
      <c r="D12" s="405" t="n">
        <v>4</v>
      </c>
      <c r="E12" s="405" t="n">
        <v>5</v>
      </c>
      <c r="F12" s="405" t="n">
        <v>6</v>
      </c>
      <c r="G12" s="405" t="n">
        <v>7</v>
      </c>
      <c r="H12" s="405" t="n">
        <v>8</v>
      </c>
      <c r="I12" s="406" t="n">
        <v>9</v>
      </c>
      <c r="J12" s="406" t="n">
        <v>10</v>
      </c>
      <c r="K12" s="332" t="n"/>
      <c r="L12" s="332" t="n"/>
      <c r="M12" s="332" t="n"/>
      <c r="N12" s="332" t="n"/>
    </row>
    <row r="13">
      <c r="A13" s="405" t="n"/>
      <c r="B13" s="396" t="inlineStr">
        <is>
          <t>Затраты труда рабочих-строителей</t>
        </is>
      </c>
      <c r="C13" s="477" t="n"/>
      <c r="D13" s="477" t="n"/>
      <c r="E13" s="477" t="n"/>
      <c r="F13" s="477" t="n"/>
      <c r="G13" s="477" t="n"/>
      <c r="H13" s="478" t="n"/>
      <c r="I13" s="292" t="n"/>
      <c r="J13" s="292" t="n"/>
    </row>
    <row r="14" ht="25.5" customHeight="1" s="371">
      <c r="A14" s="405" t="n">
        <v>1</v>
      </c>
      <c r="B14" s="304" t="inlineStr">
        <is>
          <t>1-5-7</t>
        </is>
      </c>
      <c r="C14" s="412" t="inlineStr">
        <is>
          <t>Затраты труда рабочих-строителей среднего разряда (5,7)</t>
        </is>
      </c>
      <c r="D14" s="405" t="inlineStr">
        <is>
          <t>чел.-ч.</t>
        </is>
      </c>
      <c r="E14" s="489" t="n">
        <v>39771.961196443</v>
      </c>
      <c r="F14" s="297" t="n">
        <v>12.37</v>
      </c>
      <c r="G14" s="297">
        <f>ROUND(E14*F14,2)</f>
        <v/>
      </c>
      <c r="H14" s="286">
        <f>G14/$G$18</f>
        <v/>
      </c>
      <c r="I14" s="297">
        <f>ФОТр.тек.!E13</f>
        <v/>
      </c>
      <c r="J14" s="297">
        <f>ROUND(I14*E14,2)</f>
        <v/>
      </c>
    </row>
    <row r="15">
      <c r="A15" s="405" t="n">
        <v>2</v>
      </c>
      <c r="B15" s="304" t="inlineStr">
        <is>
          <t>10-3-1</t>
        </is>
      </c>
      <c r="C15" s="412" t="inlineStr">
        <is>
          <t>Инженер I категории</t>
        </is>
      </c>
      <c r="D15" s="405" t="inlineStr">
        <is>
          <t>чел.-ч.</t>
        </is>
      </c>
      <c r="E15" s="489" t="n">
        <v>2080.9993544222</v>
      </c>
      <c r="F15" s="270" t="n">
        <v>15.49</v>
      </c>
      <c r="G15" s="297">
        <f>ROUND(E15*F15,2)</f>
        <v/>
      </c>
      <c r="H15" s="286">
        <f>G15/$G$18</f>
        <v/>
      </c>
      <c r="I15" s="297">
        <f>ФОТр.тек.!E21</f>
        <v/>
      </c>
      <c r="J15" s="297">
        <f>ROUND(I15*E15,2)</f>
        <v/>
      </c>
    </row>
    <row r="16">
      <c r="A16" s="405" t="n">
        <v>3</v>
      </c>
      <c r="B16" s="304" t="inlineStr">
        <is>
          <t>10-3-2</t>
        </is>
      </c>
      <c r="C16" s="412" t="inlineStr">
        <is>
          <t>Инженер II категории</t>
        </is>
      </c>
      <c r="D16" s="405" t="inlineStr">
        <is>
          <t>чел.-ч.</t>
        </is>
      </c>
      <c r="E16" s="489" t="n">
        <v>2000</v>
      </c>
      <c r="F16" s="270" t="n">
        <v>14.09</v>
      </c>
      <c r="G16" s="297">
        <f>ROUND(E16*F16,2)</f>
        <v/>
      </c>
      <c r="H16" s="286">
        <f>G16/$G$18</f>
        <v/>
      </c>
      <c r="I16" s="297">
        <f>ФОТр.тек.!E29</f>
        <v/>
      </c>
      <c r="J16" s="297">
        <f>ROUND(I16*E16,2)</f>
        <v/>
      </c>
    </row>
    <row r="17">
      <c r="A17" s="405" t="n">
        <v>4</v>
      </c>
      <c r="B17" s="271" t="inlineStr">
        <is>
          <t>10-2-1</t>
        </is>
      </c>
      <c r="C17" s="272" t="inlineStr">
        <is>
          <t>Ведущий инженер</t>
        </is>
      </c>
      <c r="D17" s="405" t="inlineStr">
        <is>
          <t>чел.-ч.</t>
        </is>
      </c>
      <c r="E17" s="489" t="n">
        <v>89.401063201418</v>
      </c>
      <c r="F17" s="270" t="n">
        <v>16.93</v>
      </c>
      <c r="G17" s="297">
        <f>ROUND(E17*F17,2)</f>
        <v/>
      </c>
      <c r="H17" s="286">
        <f>G17/$G$18</f>
        <v/>
      </c>
      <c r="I17" s="297">
        <f>ФОТр.тек.!E37</f>
        <v/>
      </c>
      <c r="J17" s="297">
        <f>ROUND(I17*E17,2)</f>
        <v/>
      </c>
    </row>
    <row r="18" ht="25.5" customFormat="1" customHeight="1" s="332">
      <c r="A18" s="405" t="n"/>
      <c r="B18" s="405" t="n"/>
      <c r="C18" s="396" t="inlineStr">
        <is>
          <t>Итого по разделу "Затраты труда рабочих-строителей"</t>
        </is>
      </c>
      <c r="D18" s="405" t="inlineStr">
        <is>
          <t>чел.-ч.</t>
        </is>
      </c>
      <c r="E18" s="489">
        <f>SUM(E14:E17)</f>
        <v/>
      </c>
      <c r="F18" s="297" t="n"/>
      <c r="G18" s="297">
        <f>SUM(G14:G17)</f>
        <v/>
      </c>
      <c r="H18" s="415" t="n">
        <v>1</v>
      </c>
      <c r="I18" s="292" t="n"/>
      <c r="J18" s="297">
        <f>SUM(J14:J17)</f>
        <v/>
      </c>
    </row>
    <row r="19" ht="14.25" customFormat="1" customHeight="1" s="332">
      <c r="A19" s="405" t="n"/>
      <c r="B19" s="412" t="inlineStr">
        <is>
          <t>Затраты труда машинистов</t>
        </is>
      </c>
      <c r="C19" s="477" t="n"/>
      <c r="D19" s="477" t="n"/>
      <c r="E19" s="477" t="n"/>
      <c r="F19" s="477" t="n"/>
      <c r="G19" s="477" t="n"/>
      <c r="H19" s="478" t="n"/>
      <c r="I19" s="292" t="n"/>
      <c r="J19" s="292" t="n"/>
    </row>
    <row r="20" ht="14.25" customFormat="1" customHeight="1" s="332">
      <c r="A20" s="405" t="n">
        <v>5</v>
      </c>
      <c r="B20" s="405" t="n">
        <v>2</v>
      </c>
      <c r="C20" s="412" t="inlineStr">
        <is>
          <t>Затраты труда машинистов</t>
        </is>
      </c>
      <c r="D20" s="405" t="inlineStr">
        <is>
          <t>чел.-ч.</t>
        </is>
      </c>
      <c r="E20" s="489" t="n">
        <v>276.16</v>
      </c>
      <c r="F20" s="297" t="n">
        <v>12.015643105446</v>
      </c>
      <c r="G20" s="297">
        <f>ROUND(E20*F20,2)</f>
        <v/>
      </c>
      <c r="H20" s="415" t="n">
        <v>1</v>
      </c>
      <c r="I20" s="297">
        <f>ROUND(F20*'Прил. 10'!D11,2)</f>
        <v/>
      </c>
      <c r="J20" s="297">
        <f>ROUND(I20*E20,2)</f>
        <v/>
      </c>
    </row>
    <row r="21" ht="14.25" customFormat="1" customHeight="1" s="332">
      <c r="A21" s="405" t="n"/>
      <c r="B21" s="396" t="inlineStr">
        <is>
          <t>Машины и механизмы</t>
        </is>
      </c>
      <c r="C21" s="477" t="n"/>
      <c r="D21" s="477" t="n"/>
      <c r="E21" s="477" t="n"/>
      <c r="F21" s="477" t="n"/>
      <c r="G21" s="477" t="n"/>
      <c r="H21" s="478" t="n"/>
      <c r="I21" s="292" t="n"/>
      <c r="J21" s="292" t="n"/>
    </row>
    <row r="22" ht="14.25" customFormat="1" customHeight="1" s="332">
      <c r="A22" s="405" t="n"/>
      <c r="B22" s="412" t="inlineStr">
        <is>
          <t>Основные машины и механизмы</t>
        </is>
      </c>
      <c r="C22" s="477" t="n"/>
      <c r="D22" s="477" t="n"/>
      <c r="E22" s="477" t="n"/>
      <c r="F22" s="477" t="n"/>
      <c r="G22" s="477" t="n"/>
      <c r="H22" s="478" t="n"/>
      <c r="I22" s="292" t="n"/>
      <c r="J22" s="292" t="n"/>
    </row>
    <row r="23" ht="38.25" customFormat="1" customHeight="1" s="332">
      <c r="A23" s="405" t="n">
        <v>6</v>
      </c>
      <c r="B23" s="304" t="inlineStr">
        <is>
          <t>91.11.01-012</t>
        </is>
      </c>
      <c r="C23" s="412" t="inlineStr">
        <is>
          <t>Машины монтажные для выполнения работ при прокладке и монтаже кабеля на базе автомобиля</t>
        </is>
      </c>
      <c r="D23" s="405" t="inlineStr">
        <is>
          <t>маш.час</t>
        </is>
      </c>
      <c r="E23" s="489" t="n">
        <v>134.72</v>
      </c>
      <c r="F23" s="414" t="n">
        <v>110.86</v>
      </c>
      <c r="G23" s="297">
        <f>ROUND(E23*F23,2)</f>
        <v/>
      </c>
      <c r="H23" s="286">
        <f>G23/$G$44</f>
        <v/>
      </c>
      <c r="I23" s="297">
        <f>ROUND(F23*'Прил. 10'!$D$12,2)</f>
        <v/>
      </c>
      <c r="J23" s="297">
        <f>ROUND(I23*E23,2)</f>
        <v/>
      </c>
    </row>
    <row r="24" ht="25.5" customFormat="1" customHeight="1" s="332">
      <c r="A24" s="405" t="n">
        <v>7</v>
      </c>
      <c r="B24" s="304" t="inlineStr">
        <is>
          <t>91.05.05-015</t>
        </is>
      </c>
      <c r="C24" s="412" t="inlineStr">
        <is>
          <t>Краны на автомобильном ходу, грузоподъемность 16 т</t>
        </is>
      </c>
      <c r="D24" s="405" t="inlineStr">
        <is>
          <t>маш.час</t>
        </is>
      </c>
      <c r="E24" s="489" t="n">
        <v>51</v>
      </c>
      <c r="F24" s="414" t="n">
        <v>115.4</v>
      </c>
      <c r="G24" s="297">
        <f>ROUND(E24*F24,2)</f>
        <v/>
      </c>
      <c r="H24" s="286">
        <f>G24/$G$44</f>
        <v/>
      </c>
      <c r="I24" s="297">
        <f>ROUND(F24*'Прил. 10'!$D$12,2)</f>
        <v/>
      </c>
      <c r="J24" s="297">
        <f>ROUND(I24*E24,2)</f>
        <v/>
      </c>
    </row>
    <row r="25" ht="14.25" customFormat="1" customHeight="1" s="332">
      <c r="A25" s="405" t="n">
        <v>8</v>
      </c>
      <c r="B25" s="304" t="inlineStr">
        <is>
          <t>91.06.09-001</t>
        </is>
      </c>
      <c r="C25" s="412" t="inlineStr">
        <is>
          <t>Вышки телескопические 25 м</t>
        </is>
      </c>
      <c r="D25" s="405" t="inlineStr">
        <is>
          <t>маш.час</t>
        </is>
      </c>
      <c r="E25" s="489" t="n">
        <v>29.96</v>
      </c>
      <c r="F25" s="414" t="n">
        <v>142.7</v>
      </c>
      <c r="G25" s="297">
        <f>ROUND(E25*F25,2)</f>
        <v/>
      </c>
      <c r="H25" s="286">
        <f>G25/$G$44</f>
        <v/>
      </c>
      <c r="I25" s="297">
        <f>ROUND(F25*'Прил. 10'!$D$12,2)</f>
        <v/>
      </c>
      <c r="J25" s="297">
        <f>ROUND(I25*E25,2)</f>
        <v/>
      </c>
    </row>
    <row r="26" ht="14.25" customFormat="1" customHeight="1" s="332">
      <c r="A26" s="405" t="n">
        <v>9</v>
      </c>
      <c r="B26" s="304" t="inlineStr">
        <is>
          <t>91.06.05-011</t>
        </is>
      </c>
      <c r="C26" s="412" t="inlineStr">
        <is>
          <t>Погрузчики, грузоподъемность 5 т</t>
        </is>
      </c>
      <c r="D26" s="405" t="inlineStr">
        <is>
          <t>маш.час</t>
        </is>
      </c>
      <c r="E26" s="489" t="n">
        <v>28.12</v>
      </c>
      <c r="F26" s="414" t="n">
        <v>89.98999999999999</v>
      </c>
      <c r="G26" s="297">
        <f>ROUND(E26*F26,2)</f>
        <v/>
      </c>
      <c r="H26" s="286">
        <f>G26/$G$44</f>
        <v/>
      </c>
      <c r="I26" s="297">
        <f>ROUND(F26*'Прил. 10'!$D$12,2)</f>
        <v/>
      </c>
      <c r="J26" s="297">
        <f>ROUND(I26*E26,2)</f>
        <v/>
      </c>
    </row>
    <row r="27" ht="25.5" customFormat="1" customHeight="1" s="332">
      <c r="A27" s="405" t="n">
        <v>10</v>
      </c>
      <c r="B27" s="304" t="inlineStr">
        <is>
          <t>91.14.02-001</t>
        </is>
      </c>
      <c r="C27" s="412" t="inlineStr">
        <is>
          <t>Автомобили бортовые, грузоподъемность до 5 т</t>
        </is>
      </c>
      <c r="D27" s="405" t="inlineStr">
        <is>
          <t>маш.час</t>
        </is>
      </c>
      <c r="E27" s="489" t="n">
        <v>29.92</v>
      </c>
      <c r="F27" s="414" t="n">
        <v>65.70999999999999</v>
      </c>
      <c r="G27" s="297">
        <f>ROUND(E27*F27,2)</f>
        <v/>
      </c>
      <c r="H27" s="286">
        <f>G27/$G$44</f>
        <v/>
      </c>
      <c r="I27" s="297">
        <f>ROUND(F27*'Прил. 10'!$D$12,2)</f>
        <v/>
      </c>
      <c r="J27" s="297">
        <f>ROUND(I27*E27,2)</f>
        <v/>
      </c>
    </row>
    <row r="28" ht="14.25" customFormat="1" customHeight="1" s="332">
      <c r="A28" s="405" t="n">
        <v>11</v>
      </c>
      <c r="B28" s="405" t="n"/>
      <c r="C28" s="412" t="inlineStr">
        <is>
          <t>Итого основные машины и механизмы</t>
        </is>
      </c>
      <c r="D28" s="405" t="n"/>
      <c r="E28" s="489" t="n"/>
      <c r="F28" s="297" t="n"/>
      <c r="G28" s="297">
        <f>SUM(G23:G27)</f>
        <v/>
      </c>
      <c r="H28" s="415">
        <f>G28/G44</f>
        <v/>
      </c>
      <c r="I28" s="298" t="n"/>
      <c r="J28" s="297">
        <f>SUM(J23:J27)</f>
        <v/>
      </c>
    </row>
    <row r="29" hidden="1" outlineLevel="1" ht="25.5" customFormat="1" customHeight="1" s="332">
      <c r="A29" s="405" t="n">
        <v>12</v>
      </c>
      <c r="B29" s="304" t="inlineStr">
        <is>
          <t>91.01.01-001</t>
        </is>
      </c>
      <c r="C29" s="412" t="inlineStr">
        <is>
          <t>Бульдозеры в составе кабелеукладочной колонны, мощность 128,7 кВт (175 л.с.)</t>
        </is>
      </c>
      <c r="D29" s="405" t="inlineStr">
        <is>
          <t>маш.час</t>
        </is>
      </c>
      <c r="E29" s="489" t="n">
        <v>2.2</v>
      </c>
      <c r="F29" s="414" t="n">
        <v>332.31</v>
      </c>
      <c r="G29" s="297">
        <f>ROUND(E29*F29,2)</f>
        <v/>
      </c>
      <c r="H29" s="286">
        <f>G29/$G$44</f>
        <v/>
      </c>
      <c r="I29" s="297">
        <f>ROUND(F29*'Прил. 10'!$D$12,2)</f>
        <v/>
      </c>
      <c r="J29" s="297">
        <f>ROUND(I29*E29,2)</f>
        <v/>
      </c>
    </row>
    <row r="30" hidden="1" outlineLevel="1" ht="14.25" customFormat="1" customHeight="1" s="332">
      <c r="A30" s="405" t="n">
        <v>13</v>
      </c>
      <c r="B30" s="304" t="inlineStr">
        <is>
          <t>91.21.22-341</t>
        </is>
      </c>
      <c r="C30" s="412" t="inlineStr">
        <is>
          <t>Рефлектометры</t>
        </is>
      </c>
      <c r="D30" s="405" t="inlineStr">
        <is>
          <t>маш.час</t>
        </is>
      </c>
      <c r="E30" s="489" t="n">
        <v>64.2</v>
      </c>
      <c r="F30" s="414" t="n">
        <v>10.62</v>
      </c>
      <c r="G30" s="297">
        <f>ROUND(E30*F30,2)</f>
        <v/>
      </c>
      <c r="H30" s="286">
        <f>G30/$G$44</f>
        <v/>
      </c>
      <c r="I30" s="297">
        <f>ROUND(F30*'Прил. 10'!$D$12,2)</f>
        <v/>
      </c>
      <c r="J30" s="297">
        <f>ROUND(I30*E30,2)</f>
        <v/>
      </c>
    </row>
    <row r="31" hidden="1" outlineLevel="1" ht="38.25" customFormat="1" customHeight="1" s="332">
      <c r="A31" s="405" t="n">
        <v>14</v>
      </c>
      <c r="B31" s="304" t="inlineStr">
        <is>
          <t>91.17.04-036</t>
        </is>
      </c>
      <c r="C31" s="412" t="inlineStr">
        <is>
          <t>Агрегаты сварочные передвижные с дизельным двигателем, номинальный сварочный ток 250-400 А</t>
        </is>
      </c>
      <c r="D31" s="405" t="inlineStr">
        <is>
          <t>маш.час</t>
        </is>
      </c>
      <c r="E31" s="489" t="n">
        <v>41.68</v>
      </c>
      <c r="F31" s="414" t="n">
        <v>14</v>
      </c>
      <c r="G31" s="297">
        <f>ROUND(E31*F31,2)</f>
        <v/>
      </c>
      <c r="H31" s="286">
        <f>G31/$G$44</f>
        <v/>
      </c>
      <c r="I31" s="297">
        <f>ROUND(F31*'Прил. 10'!$D$12,2)</f>
        <v/>
      </c>
      <c r="J31" s="297">
        <f>ROUND(I31*E31,2)</f>
        <v/>
      </c>
    </row>
    <row r="32" hidden="1" outlineLevel="1" ht="25.5" customFormat="1" customHeight="1" s="332">
      <c r="A32" s="405" t="n">
        <v>15</v>
      </c>
      <c r="B32" s="304" t="inlineStr">
        <is>
          <t>91.06.03-061</t>
        </is>
      </c>
      <c r="C32" s="412" t="inlineStr">
        <is>
          <t>Лебедки электрические тяговым усилием до 12,26 кН (1,25 т)</t>
        </is>
      </c>
      <c r="D32" s="405" t="inlineStr">
        <is>
          <t>маш.час</t>
        </is>
      </c>
      <c r="E32" s="489" t="n">
        <v>138.2</v>
      </c>
      <c r="F32" s="414" t="n">
        <v>3.28</v>
      </c>
      <c r="G32" s="297">
        <f>ROUND(E32*F32,2)</f>
        <v/>
      </c>
      <c r="H32" s="286">
        <f>G32/$G$44</f>
        <v/>
      </c>
      <c r="I32" s="297">
        <f>ROUND(F32*'Прил. 10'!$D$12,2)</f>
        <v/>
      </c>
      <c r="J32" s="297">
        <f>ROUND(I32*E32,2)</f>
        <v/>
      </c>
    </row>
    <row r="33" hidden="1" outlineLevel="1" ht="25.5" customFormat="1" customHeight="1" s="332">
      <c r="A33" s="405" t="n">
        <v>16</v>
      </c>
      <c r="B33" s="304" t="inlineStr">
        <is>
          <t>91.17.04-194</t>
        </is>
      </c>
      <c r="C33" s="412" t="inlineStr">
        <is>
          <t>Аппараты сварочные для сварки оптических кабелей со скалывателем</t>
        </is>
      </c>
      <c r="D33" s="405" t="inlineStr">
        <is>
          <t>маш.час</t>
        </is>
      </c>
      <c r="E33" s="489" t="n">
        <v>14.4</v>
      </c>
      <c r="F33" s="414" t="n">
        <v>12.14</v>
      </c>
      <c r="G33" s="297">
        <f>ROUND(E33*F33,2)</f>
        <v/>
      </c>
      <c r="H33" s="286">
        <f>G33/$G$44</f>
        <v/>
      </c>
      <c r="I33" s="297">
        <f>ROUND(F33*'Прил. 10'!$D$12,2)</f>
        <v/>
      </c>
      <c r="J33" s="297">
        <f>ROUND(I33*E33,2)</f>
        <v/>
      </c>
    </row>
    <row r="34" hidden="1" outlineLevel="1" ht="25.5" customFormat="1" customHeight="1" s="332">
      <c r="A34" s="405" t="n">
        <v>17</v>
      </c>
      <c r="B34" s="304" t="inlineStr">
        <is>
          <t>91.06.03-060</t>
        </is>
      </c>
      <c r="C34" s="412" t="inlineStr">
        <is>
          <t>Лебедки электрические тяговым усилием до 5,79 кН (0,59 т)</t>
        </is>
      </c>
      <c r="D34" s="405" t="inlineStr">
        <is>
          <t>маш.час</t>
        </is>
      </c>
      <c r="E34" s="489" t="n">
        <v>97.40000000000001</v>
      </c>
      <c r="F34" s="414" t="n">
        <v>1.7</v>
      </c>
      <c r="G34" s="297">
        <f>ROUND(E34*F34,2)</f>
        <v/>
      </c>
      <c r="H34" s="286">
        <f>G34/$G$44</f>
        <v/>
      </c>
      <c r="I34" s="297">
        <f>ROUND(F34*'Прил. 10'!$D$12,2)</f>
        <v/>
      </c>
      <c r="J34" s="297">
        <f>ROUND(I34*E34,2)</f>
        <v/>
      </c>
    </row>
    <row r="35" hidden="1" outlineLevel="1" ht="25.5" customFormat="1" customHeight="1" s="332">
      <c r="A35" s="405" t="n">
        <v>18</v>
      </c>
      <c r="B35" s="304" t="inlineStr">
        <is>
          <t>91.14.05-041</t>
        </is>
      </c>
      <c r="C35" s="412" t="inlineStr">
        <is>
          <t>Транспортеры прицепные кабельные, грузоподъемность до 7 т</t>
        </is>
      </c>
      <c r="D35" s="405" t="inlineStr">
        <is>
          <t>маш.час</t>
        </is>
      </c>
      <c r="E35" s="489" t="n">
        <v>2.2</v>
      </c>
      <c r="F35" s="414" t="n">
        <v>58.03</v>
      </c>
      <c r="G35" s="297">
        <f>ROUND(E35*F35,2)</f>
        <v/>
      </c>
      <c r="H35" s="286">
        <f>G35/$G$44</f>
        <v/>
      </c>
      <c r="I35" s="297">
        <f>ROUND(F35*'Прил. 10'!$D$12,2)</f>
        <v/>
      </c>
      <c r="J35" s="297">
        <f>ROUND(I35*E35,2)</f>
        <v/>
      </c>
    </row>
    <row r="36" hidden="1" outlineLevel="1" ht="25.5" customFormat="1" customHeight="1" s="332">
      <c r="A36" s="405" t="n">
        <v>19</v>
      </c>
      <c r="B36" s="304" t="inlineStr">
        <is>
          <t>91.06.01-003</t>
        </is>
      </c>
      <c r="C36" s="412" t="inlineStr">
        <is>
          <t>Домкраты гидравлические, грузоподъемность 63-100 т</t>
        </is>
      </c>
      <c r="D36" s="405" t="inlineStr">
        <is>
          <t>маш.час</t>
        </is>
      </c>
      <c r="E36" s="489" t="n">
        <v>138.2</v>
      </c>
      <c r="F36" s="414" t="n">
        <v>0.9</v>
      </c>
      <c r="G36" s="297">
        <f>ROUND(E36*F36,2)</f>
        <v/>
      </c>
      <c r="H36" s="286">
        <f>G36/$G$44</f>
        <v/>
      </c>
      <c r="I36" s="297">
        <f>ROUND(F36*'Прил. 10'!$D$12,2)</f>
        <v/>
      </c>
      <c r="J36" s="297">
        <f>ROUND(I36*E36,2)</f>
        <v/>
      </c>
    </row>
    <row r="37" hidden="1" outlineLevel="1" ht="38.25" customFormat="1" customHeight="1" s="332">
      <c r="A37" s="405" t="n">
        <v>20</v>
      </c>
      <c r="B37" s="304" t="inlineStr">
        <is>
          <t>91.18.01-508</t>
        </is>
      </c>
      <c r="C37" s="412" t="inlineStr">
        <is>
          <t>Компрессоры передвижные с электродвигателем, производительность до 5,0 м3/мин</t>
        </is>
      </c>
      <c r="D37" s="405" t="inlineStr">
        <is>
          <t>маш.час</t>
        </is>
      </c>
      <c r="E37" s="489" t="n">
        <v>2.16</v>
      </c>
      <c r="F37" s="414" t="n">
        <v>48.81</v>
      </c>
      <c r="G37" s="297">
        <f>ROUND(E37*F37,2)</f>
        <v/>
      </c>
      <c r="H37" s="286">
        <f>G37/$G$44</f>
        <v/>
      </c>
      <c r="I37" s="297">
        <f>ROUND(F37*'Прил. 10'!$D$12,2)</f>
        <v/>
      </c>
      <c r="J37" s="297">
        <f>ROUND(I37*E37,2)</f>
        <v/>
      </c>
    </row>
    <row r="38" hidden="1" outlineLevel="1" ht="25.5" customFormat="1" customHeight="1" s="332">
      <c r="A38" s="405" t="n">
        <v>21</v>
      </c>
      <c r="B38" s="304" t="inlineStr">
        <is>
          <t>91.17.04-233</t>
        </is>
      </c>
      <c r="C38" s="412" t="inlineStr">
        <is>
          <t>Установки для сварки ручной дуговой (постоянного тока)</t>
        </is>
      </c>
      <c r="D38" s="405" t="inlineStr">
        <is>
          <t>маш.час</t>
        </is>
      </c>
      <c r="E38" s="489" t="n">
        <v>10.48</v>
      </c>
      <c r="F38" s="414" t="n">
        <v>8.1</v>
      </c>
      <c r="G38" s="297">
        <f>ROUND(E38*F38,2)</f>
        <v/>
      </c>
      <c r="H38" s="286">
        <f>G38/$G$44</f>
        <v/>
      </c>
      <c r="I38" s="297">
        <f>ROUND(F38*'Прил. 10'!$D$12,2)</f>
        <v/>
      </c>
      <c r="J38" s="297">
        <f>ROUND(I38*E38,2)</f>
        <v/>
      </c>
    </row>
    <row r="39" hidden="1" outlineLevel="1" ht="25.5" customFormat="1" customHeight="1" s="332">
      <c r="A39" s="405" t="n">
        <v>22</v>
      </c>
      <c r="B39" s="304" t="inlineStr">
        <is>
          <t>91.14.02-002</t>
        </is>
      </c>
      <c r="C39" s="412" t="inlineStr">
        <is>
          <t>Автомобили бортовые, грузоподъемность до 8 т</t>
        </is>
      </c>
      <c r="D39" s="405" t="inlineStr">
        <is>
          <t>маш.час</t>
        </is>
      </c>
      <c r="E39" s="489" t="n">
        <v>0.24</v>
      </c>
      <c r="F39" s="414" t="n">
        <v>85.84</v>
      </c>
      <c r="G39" s="297">
        <f>ROUND(E39*F39,2)</f>
        <v/>
      </c>
      <c r="H39" s="286">
        <f>G39/$G$44</f>
        <v/>
      </c>
      <c r="I39" s="297">
        <f>ROUND(F39*'Прил. 10'!$D$12,2)</f>
        <v/>
      </c>
      <c r="J39" s="297">
        <f>ROUND(I39*E39,2)</f>
        <v/>
      </c>
    </row>
    <row r="40" hidden="1" outlineLevel="1" ht="38.25" customFormat="1" customHeight="1" s="332">
      <c r="A40" s="405" t="n">
        <v>23</v>
      </c>
      <c r="B40" s="304" t="inlineStr">
        <is>
          <t>91.18.01-011</t>
        </is>
      </c>
      <c r="C40" s="412" t="inlineStr">
        <is>
          <t>Компрессоры передвижные с электродвигателем давление 600 кПа (6 ат), производительность 0,5 м3/мин</t>
        </is>
      </c>
      <c r="D40" s="405" t="inlineStr">
        <is>
          <t>маш.час</t>
        </is>
      </c>
      <c r="E40" s="489" t="n">
        <v>2.52</v>
      </c>
      <c r="F40" s="414" t="n">
        <v>3.7</v>
      </c>
      <c r="G40" s="297">
        <f>ROUND(E40*F40,2)</f>
        <v/>
      </c>
      <c r="H40" s="286">
        <f>G40/$G$44</f>
        <v/>
      </c>
      <c r="I40" s="297">
        <f>ROUND(F40*'Прил. 10'!$D$12,2)</f>
        <v/>
      </c>
      <c r="J40" s="297">
        <f>ROUND(I40*E40,2)</f>
        <v/>
      </c>
    </row>
    <row r="41" hidden="1" outlineLevel="1" ht="14.25" customFormat="1" customHeight="1" s="332">
      <c r="A41" s="405" t="n">
        <v>24</v>
      </c>
      <c r="B41" s="304" t="inlineStr">
        <is>
          <t>91.21.01-016</t>
        </is>
      </c>
      <c r="C41" s="412" t="inlineStr">
        <is>
          <t>Агрегаты шпатлево-окрасочные</t>
        </is>
      </c>
      <c r="D41" s="405" t="inlineStr">
        <is>
          <t>маш.час</t>
        </is>
      </c>
      <c r="E41" s="489" t="n">
        <v>2.52</v>
      </c>
      <c r="F41" s="414" t="n">
        <v>2.7</v>
      </c>
      <c r="G41" s="297">
        <f>ROUND(E41*F41,2)</f>
        <v/>
      </c>
      <c r="H41" s="286">
        <f>G41/$G$44</f>
        <v/>
      </c>
      <c r="I41" s="297">
        <f>ROUND(F41*'Прил. 10'!$D$12,2)</f>
        <v/>
      </c>
      <c r="J41" s="297">
        <f>ROUND(I41*E41,2)</f>
        <v/>
      </c>
    </row>
    <row r="42" hidden="1" outlineLevel="1" ht="38.25" customFormat="1" customHeight="1" s="332">
      <c r="A42" s="405" t="n">
        <v>25</v>
      </c>
      <c r="B42" s="304" t="inlineStr">
        <is>
          <t>91.21.10-003</t>
        </is>
      </c>
      <c r="C42" s="412" t="inlineStr">
        <is>
          <t>Молотки при работе от передвижных компрессорных станций отбойные пневматические</t>
        </is>
      </c>
      <c r="D42" s="405" t="inlineStr">
        <is>
          <t>маш.час</t>
        </is>
      </c>
      <c r="E42" s="489" t="n">
        <v>4.36</v>
      </c>
      <c r="F42" s="414" t="n">
        <v>1.53</v>
      </c>
      <c r="G42" s="297">
        <f>ROUND(E42*F42,2)</f>
        <v/>
      </c>
      <c r="H42" s="286">
        <f>G42/$G$44</f>
        <v/>
      </c>
      <c r="I42" s="297">
        <f>ROUND(F42*'Прил. 10'!$D$12,2)</f>
        <v/>
      </c>
      <c r="J42" s="297">
        <f>ROUND(I42*E42,2)</f>
        <v/>
      </c>
    </row>
    <row r="43" collapsed="1" ht="14.25" customFormat="1" customHeight="1" s="332">
      <c r="A43" s="405" t="n"/>
      <c r="B43" s="405" t="n"/>
      <c r="C43" s="412" t="inlineStr">
        <is>
          <t>Итого прочие машины и механизмы</t>
        </is>
      </c>
      <c r="D43" s="405" t="n"/>
      <c r="E43" s="413" t="n"/>
      <c r="F43" s="297" t="n"/>
      <c r="G43" s="298">
        <f>SUM(G29:G42)</f>
        <v/>
      </c>
      <c r="H43" s="286">
        <f>G43/G44</f>
        <v/>
      </c>
      <c r="I43" s="297" t="n"/>
      <c r="J43" s="298">
        <f>SUM(J29:J42)</f>
        <v/>
      </c>
    </row>
    <row r="44" ht="25.5" customFormat="1" customHeight="1" s="332">
      <c r="A44" s="405" t="n"/>
      <c r="B44" s="405" t="n"/>
      <c r="C44" s="396" t="inlineStr">
        <is>
          <t>Итого по разделу «Машины и механизмы»</t>
        </is>
      </c>
      <c r="D44" s="405" t="n"/>
      <c r="E44" s="413" t="n"/>
      <c r="F44" s="297" t="n"/>
      <c r="G44" s="297">
        <f>G43+G28</f>
        <v/>
      </c>
      <c r="H44" s="288" t="n">
        <v>1</v>
      </c>
      <c r="I44" s="289" t="n"/>
      <c r="J44" s="312">
        <f>J43+J28</f>
        <v/>
      </c>
    </row>
    <row r="45" ht="14.25" customFormat="1" customHeight="1" s="332">
      <c r="A45" s="405" t="n"/>
      <c r="B45" s="396" t="inlineStr">
        <is>
          <t>Оборудование</t>
        </is>
      </c>
      <c r="C45" s="477" t="n"/>
      <c r="D45" s="477" t="n"/>
      <c r="E45" s="477" t="n"/>
      <c r="F45" s="477" t="n"/>
      <c r="G45" s="477" t="n"/>
      <c r="H45" s="478" t="n"/>
      <c r="I45" s="292" t="n"/>
      <c r="J45" s="292" t="n"/>
    </row>
    <row r="46" s="371">
      <c r="A46" s="405" t="n"/>
      <c r="B46" s="408" t="inlineStr">
        <is>
          <t>Основное оборудование</t>
        </is>
      </c>
      <c r="C46" s="490" t="n"/>
      <c r="D46" s="490" t="n"/>
      <c r="E46" s="490" t="n"/>
      <c r="F46" s="490" t="n"/>
      <c r="G46" s="490" t="n"/>
      <c r="H46" s="491" t="n"/>
      <c r="I46" s="292" t="n"/>
      <c r="J46" s="292" t="n"/>
      <c r="K46" s="332" t="n"/>
      <c r="L46" s="332" t="n"/>
    </row>
    <row r="47" ht="29.25" customHeight="1" s="371">
      <c r="A47" s="405" t="n">
        <v>26</v>
      </c>
      <c r="B47" s="304" t="inlineStr">
        <is>
          <t>Прайс из СД ОП</t>
        </is>
      </c>
      <c r="C47" s="412" t="inlineStr">
        <is>
          <t>Шкаф видеонаблюдения с обогревом ТШ</t>
        </is>
      </c>
      <c r="D47" s="405" t="inlineStr">
        <is>
          <t>комплект</t>
        </is>
      </c>
      <c r="E47" s="489" t="n">
        <v>52</v>
      </c>
      <c r="F47" s="297" t="n">
        <v>105113.31</v>
      </c>
      <c r="G47" s="297">
        <f>ROUND(E47*F47,2)</f>
        <v/>
      </c>
      <c r="H47" s="286">
        <f>G47/$G$64</f>
        <v/>
      </c>
      <c r="I47" s="297">
        <f>ROUND(F47*'Прил. 10'!$D$14,2)</f>
        <v/>
      </c>
      <c r="J47" s="297">
        <f>ROUND(I47*E47,2)</f>
        <v/>
      </c>
      <c r="K47" s="332" t="n"/>
      <c r="L47" s="332" t="n"/>
    </row>
    <row r="48" ht="249.75" customHeight="1" s="371">
      <c r="A48" s="405" t="n">
        <v>27</v>
      </c>
      <c r="B48" s="304" t="inlineStr">
        <is>
          <t>Прайс из СД ОП</t>
        </is>
      </c>
      <c r="C48" s="412" t="inlineStr">
        <is>
          <t>Видеосервер с ПО "Интеллект" в составе:
Видеосервер,исполнение Rackmount 2U,  IPDROM Enterprise ITV-t1-RM-200313 1.1 - 1шт; ПО "Система защиты Guardant Sign"- 1шт; ПО Интеллект "Ядро системы" - 1шт; ПО Интеллект "Подключение видеоканала" - 25шт; ПО Интеллект "Подключение аудиоканала" - 5шт; ПО Интеллект ITV "Подключение датчика/исполнительного устройства" - 2шт; ПО Интеллект  "Подключение поворотного устройства" PTZ - 1шт; ПО Интеллект  "Трекер объектов (за видеоканал)" - 7шт; ПО Интеллект  "Бюро пропусков" - 1шт; ПО Интеллект  "Диспетчер событий"(Фотоидентификация) - 1 шт; ПО Интеллект  "Интеграция ОПС/СКУД" - 1шт; ПО Интеллект  "Подключение пульта управления" - 2шт</t>
        </is>
      </c>
      <c r="D48" s="405" t="inlineStr">
        <is>
          <t>компл</t>
        </is>
      </c>
      <c r="E48" s="489" t="n">
        <v>4</v>
      </c>
      <c r="F48" s="297" t="n">
        <v>984697.84</v>
      </c>
      <c r="G48" s="297">
        <f>ROUND(E48*F48,2)</f>
        <v/>
      </c>
      <c r="H48" s="286">
        <f>G48/$G$64</f>
        <v/>
      </c>
      <c r="I48" s="297">
        <f>ROUND(F48*'Прил. 10'!$D$14,2)</f>
        <v/>
      </c>
      <c r="J48" s="297">
        <f>ROUND(I48*E48,2)</f>
        <v/>
      </c>
      <c r="K48" s="332" t="n"/>
      <c r="L48" s="332" t="n"/>
    </row>
    <row r="49" ht="38.25" customHeight="1" s="371">
      <c r="A49" s="405" t="n">
        <v>28</v>
      </c>
      <c r="B49" s="304" t="inlineStr">
        <is>
          <t>61.3.05.05-0003</t>
        </is>
      </c>
      <c r="C49" s="412" t="inlineStr">
        <is>
          <t>Станция оператора рабочая HP Z400 с программным обеспечением (прим. АРМ с ПО "Интеллект" в составе:)</t>
        </is>
      </c>
      <c r="D49" s="405" t="inlineStr">
        <is>
          <t>компл</t>
        </is>
      </c>
      <c r="E49" s="489" t="n">
        <v>8</v>
      </c>
      <c r="F49" s="297" t="n">
        <v>486562.4</v>
      </c>
      <c r="G49" s="297">
        <f>ROUND(E49*F49,2)</f>
        <v/>
      </c>
      <c r="H49" s="286">
        <f>G49/$G$64</f>
        <v/>
      </c>
      <c r="I49" s="297">
        <f>ROUND(F49*'Прил. 10'!$D$14,2)</f>
        <v/>
      </c>
      <c r="J49" s="297">
        <f>ROUND(I49*E49,2)</f>
        <v/>
      </c>
      <c r="K49" s="332" t="n"/>
      <c r="L49" s="332" t="n"/>
    </row>
    <row r="50" ht="38.25" customHeight="1" s="371">
      <c r="A50" s="405" t="n">
        <v>29</v>
      </c>
      <c r="B50" s="304" t="inlineStr">
        <is>
          <t>Прайс из СД ОП</t>
        </is>
      </c>
      <c r="C50" s="412" t="inlineStr">
        <is>
          <t>Шкаф бесперебойного питания оборудования комплекса технических средств безопасности ИБП КТСБ</t>
        </is>
      </c>
      <c r="D50" s="405" t="inlineStr">
        <is>
          <t>комплект</t>
        </is>
      </c>
      <c r="E50" s="489" t="n">
        <v>4</v>
      </c>
      <c r="F50" s="297" t="n">
        <v>926453.24</v>
      </c>
      <c r="G50" s="297">
        <f>ROUND(E50*F50,2)</f>
        <v/>
      </c>
      <c r="H50" s="286">
        <f>G50/$G$64</f>
        <v/>
      </c>
      <c r="I50" s="297">
        <f>ROUND(F50*'Прил. 10'!$D$14,2)</f>
        <v/>
      </c>
      <c r="J50" s="297">
        <f>ROUND(I50*E50,2)</f>
        <v/>
      </c>
      <c r="K50" s="332" t="n"/>
      <c r="L50" s="332" t="n"/>
    </row>
    <row r="51" ht="51" customHeight="1" s="371">
      <c r="A51" s="405" t="n">
        <v>30</v>
      </c>
      <c r="B51" s="304" t="inlineStr">
        <is>
          <t>61.3.01.01-0006</t>
        </is>
      </c>
      <c r="C51" s="412" t="inlineStr">
        <is>
          <t>Видеокамера интеллектуальная, высокоскоростная, купольная PTZ серии AutoDome 500i (прим. Сетевая PTZ камера 2Мп DS-2DF8242IX-AEL (C))</t>
        </is>
      </c>
      <c r="D51" s="405" t="inlineStr">
        <is>
          <t>шт</t>
        </is>
      </c>
      <c r="E51" s="489" t="n">
        <v>52</v>
      </c>
      <c r="F51" s="297" t="n">
        <v>42854.88</v>
      </c>
      <c r="G51" s="297">
        <f>ROUND(E51*F51,2)</f>
        <v/>
      </c>
      <c r="H51" s="286">
        <f>G51/$G$64</f>
        <v/>
      </c>
      <c r="I51" s="297">
        <f>ROUND(F51*'Прил. 10'!$D$14,2)</f>
        <v/>
      </c>
      <c r="J51" s="297">
        <f>ROUND(I51*E51,2)</f>
        <v/>
      </c>
      <c r="K51" s="332" t="n"/>
      <c r="L51" s="332" t="n"/>
    </row>
    <row r="52" s="371">
      <c r="A52" s="405" t="n">
        <v>31</v>
      </c>
      <c r="B52" s="304" t="inlineStr">
        <is>
          <t>Прайс из СД ОП</t>
        </is>
      </c>
      <c r="C52" s="412" t="inlineStr">
        <is>
          <t>Шкаф системы видеонаблюдения КТСБ2</t>
        </is>
      </c>
      <c r="D52" s="405" t="inlineStr">
        <is>
          <t>комплект</t>
        </is>
      </c>
      <c r="E52" s="489" t="n">
        <v>4</v>
      </c>
      <c r="F52" s="297" t="n">
        <v>437744.6</v>
      </c>
      <c r="G52" s="297">
        <f>ROUND(E52*F52,2)</f>
        <v/>
      </c>
      <c r="H52" s="286">
        <f>G52/$G$64</f>
        <v/>
      </c>
      <c r="I52" s="297">
        <f>ROUND(F52*'Прил. 10'!$D$14,2)</f>
        <v/>
      </c>
      <c r="J52" s="297">
        <f>ROUND(I52*E52,2)</f>
        <v/>
      </c>
      <c r="K52" s="332" t="n"/>
      <c r="L52" s="332" t="n"/>
    </row>
    <row r="53" s="371">
      <c r="A53" s="405" t="n">
        <v>32</v>
      </c>
      <c r="B53" s="405" t="n"/>
      <c r="C53" s="412" t="inlineStr">
        <is>
          <t>Итого основное оборудование</t>
        </is>
      </c>
      <c r="D53" s="405" t="n"/>
      <c r="E53" s="489" t="n">
        <v>0</v>
      </c>
      <c r="F53" s="414" t="n"/>
      <c r="G53" s="297">
        <f>SUM(G47:G52)</f>
        <v/>
      </c>
      <c r="H53" s="286">
        <f>G53/$G$64</f>
        <v/>
      </c>
      <c r="I53" s="298" t="n"/>
      <c r="J53" s="297">
        <f>SUM(J47:J52)</f>
        <v/>
      </c>
      <c r="K53" s="332" t="n"/>
      <c r="L53" s="332" t="n"/>
    </row>
    <row r="54" ht="38.25" customHeight="1" s="371">
      <c r="A54" s="405" t="n">
        <v>33</v>
      </c>
      <c r="B54" s="304" t="inlineStr">
        <is>
          <t>Прайс из СД ОП</t>
        </is>
      </c>
      <c r="C54" s="412" t="inlineStr">
        <is>
          <t>2Мп уличная цилиндрическая Smart IP-камера с ИК-подсветкой  до 50 м  DS-2CD5A26G1-IZHS (2.8-12мм)</t>
        </is>
      </c>
      <c r="D54" s="405" t="inlineStr">
        <is>
          <t>шт</t>
        </is>
      </c>
      <c r="E54" s="489" t="n">
        <v>44</v>
      </c>
      <c r="F54" s="297" t="n">
        <v>41772.3</v>
      </c>
      <c r="G54" s="297">
        <f>ROUND(E54*F54,2)</f>
        <v/>
      </c>
      <c r="H54" s="286">
        <f>G54/$G$64</f>
        <v/>
      </c>
      <c r="I54" s="297">
        <f>ROUND(F54*'Прил. 10'!$D$14,2)</f>
        <v/>
      </c>
      <c r="J54" s="297">
        <f>ROUND(I54*E54,2)</f>
        <v/>
      </c>
      <c r="K54" s="332" t="n"/>
      <c r="L54" s="332" t="n"/>
    </row>
    <row r="55" ht="25.5" customHeight="1" s="371">
      <c r="A55" s="405" t="n">
        <v>34</v>
      </c>
      <c r="B55" s="304" t="inlineStr">
        <is>
          <t>Прайс из СД ОП</t>
        </is>
      </c>
      <c r="C55" s="412" t="inlineStr">
        <is>
          <t>Шкаф  комплекса технических средств безопасности КТСБ1</t>
        </is>
      </c>
      <c r="D55" s="405" t="inlineStr">
        <is>
          <t>комплект</t>
        </is>
      </c>
      <c r="E55" s="489" t="n">
        <v>4</v>
      </c>
      <c r="F55" s="297" t="n">
        <v>214070.86</v>
      </c>
      <c r="G55" s="297">
        <f>ROUND(E55*F55,2)</f>
        <v/>
      </c>
      <c r="H55" s="286">
        <f>G55/$G$64</f>
        <v/>
      </c>
      <c r="I55" s="297">
        <f>ROUND(F55*'Прил. 10'!$D$14,2)</f>
        <v/>
      </c>
      <c r="J55" s="297">
        <f>ROUND(I55*E55,2)</f>
        <v/>
      </c>
      <c r="K55" s="332" t="n"/>
      <c r="L55" s="332" t="n"/>
    </row>
    <row r="56" ht="63.75" customHeight="1" s="371">
      <c r="A56" s="405" t="n">
        <v>35</v>
      </c>
      <c r="B56" s="304" t="inlineStr">
        <is>
          <t>07.2.02.02-0211</t>
        </is>
      </c>
      <c r="C56" s="412" t="inlineStr">
        <is>
          <t>Кронштейн для подвесных светильников на трубчатые опоры, серия 10 («Солярис»), марка: 10.С4-1,8-1,8-/90-О5-ц (ТАНС.42.082.000) (прим. Крепление для монтажа на столбе DS-1604ZJ-BOX-POLE)</t>
        </is>
      </c>
      <c r="D56" s="405" t="inlineStr">
        <is>
          <t>шт</t>
        </is>
      </c>
      <c r="E56" s="489" t="n">
        <v>52</v>
      </c>
      <c r="F56" s="297" t="n">
        <v>9677.24</v>
      </c>
      <c r="G56" s="297">
        <f>ROUND(E56*F56,2)</f>
        <v/>
      </c>
      <c r="H56" s="286">
        <f>G56/$G$64</f>
        <v/>
      </c>
      <c r="I56" s="297">
        <f>ROUND(F56*'Прил. 10'!$D$14,2)</f>
        <v/>
      </c>
      <c r="J56" s="297">
        <f>ROUND(I56*E56,2)</f>
        <v/>
      </c>
      <c r="K56" s="332" t="n"/>
      <c r="L56" s="332" t="n"/>
    </row>
    <row r="57" ht="51" customHeight="1" s="371">
      <c r="A57" s="405" t="n">
        <v>36</v>
      </c>
      <c r="B57" s="304" t="inlineStr">
        <is>
          <t>61.3.05.02-0002</t>
        </is>
      </c>
      <c r="C57" s="412" t="inlineStr">
        <is>
          <t>Монитор ЖК UML 202-90, диагональ 20 дюймов, расширение 1600х1200 пикселов (прим. Монитор LED цветной, профессиональный SMT-2233)</t>
        </is>
      </c>
      <c r="D57" s="405" t="inlineStr">
        <is>
          <t>шт</t>
        </is>
      </c>
      <c r="E57" s="489" t="n">
        <v>20</v>
      </c>
      <c r="F57" s="297" t="n">
        <v>11279.02</v>
      </c>
      <c r="G57" s="297">
        <f>ROUND(E57*F57,2)</f>
        <v/>
      </c>
      <c r="H57" s="286">
        <f>G57/$G$64</f>
        <v/>
      </c>
      <c r="I57" s="297">
        <f>ROUND(F57*'Прил. 10'!$D$14,2)</f>
        <v/>
      </c>
      <c r="J57" s="297">
        <f>ROUND(I57*E57,2)</f>
        <v/>
      </c>
      <c r="K57" s="332" t="n"/>
      <c r="L57" s="332" t="n"/>
    </row>
    <row r="58" ht="51" customHeight="1" s="371">
      <c r="A58" s="405" t="n">
        <v>37</v>
      </c>
      <c r="B58" s="304" t="inlineStr">
        <is>
          <t>61.3.01.02-0031</t>
        </is>
      </c>
      <c r="C58" s="412" t="inlineStr">
        <is>
          <t>Видеорегистратор 8-ми канальный DVR-630-08A200 с комплектом расширения хранилища на 2 ТБ DVR XS200-A (прим. IP -видеорегистратор DS-9632NI-I16)</t>
        </is>
      </c>
      <c r="D58" s="405" t="inlineStr">
        <is>
          <t>компл</t>
        </is>
      </c>
      <c r="E58" s="489" t="n">
        <v>4</v>
      </c>
      <c r="F58" s="297" t="n">
        <v>43171.35</v>
      </c>
      <c r="G58" s="297">
        <f>ROUND(E58*F58,2)</f>
        <v/>
      </c>
      <c r="H58" s="286">
        <f>G58/$G$64</f>
        <v/>
      </c>
      <c r="I58" s="297">
        <f>ROUND(F58*'Прил. 10'!$D$14,2)</f>
        <v/>
      </c>
      <c r="J58" s="297">
        <f>ROUND(I58*E58,2)</f>
        <v/>
      </c>
      <c r="K58" s="332" t="n"/>
      <c r="L58" s="332" t="n"/>
    </row>
    <row r="59" ht="50.25" customHeight="1" s="371">
      <c r="A59" s="405" t="n">
        <v>38</v>
      </c>
      <c r="B59" s="304" t="inlineStr">
        <is>
          <t>Прайс из СД ОП</t>
        </is>
      </c>
      <c r="C59" s="412" t="inlineStr">
        <is>
          <t>2Мп уличная компактная  IP-камера с EXIR-подсветкой  до 10 м  DS-2CD5232G0-IS</t>
        </is>
      </c>
      <c r="D59" s="405" t="inlineStr">
        <is>
          <t>шт</t>
        </is>
      </c>
      <c r="E59" s="489" t="n">
        <v>32</v>
      </c>
      <c r="F59" s="297" t="n">
        <v>3785.9</v>
      </c>
      <c r="G59" s="297">
        <f>ROUND(E59*F59,2)</f>
        <v/>
      </c>
      <c r="H59" s="286">
        <f>G59/$G$64</f>
        <v/>
      </c>
      <c r="I59" s="297">
        <f>ROUND(F59*'Прил. 10'!$D$14,2)</f>
        <v/>
      </c>
      <c r="J59" s="297">
        <f>ROUND(I59*E59,2)</f>
        <v/>
      </c>
      <c r="K59" s="332" t="n"/>
      <c r="L59" s="332" t="n"/>
    </row>
    <row r="60" ht="36" customHeight="1" s="371">
      <c r="A60" s="405" t="n">
        <v>39</v>
      </c>
      <c r="B60" s="304" t="inlineStr">
        <is>
          <t>Прайс из СД ОП</t>
        </is>
      </c>
      <c r="C60" s="412" t="inlineStr">
        <is>
          <t>Программное обеспечение "Модуль управления ИСБ "Орион" исп.127"</t>
        </is>
      </c>
      <c r="D60" s="405" t="inlineStr">
        <is>
          <t>шт</t>
        </is>
      </c>
      <c r="E60" s="489" t="n">
        <v>4</v>
      </c>
      <c r="F60" s="297" t="n">
        <v>13814.93</v>
      </c>
      <c r="G60" s="297">
        <f>ROUND(E60*F60,2)</f>
        <v/>
      </c>
      <c r="H60" s="286">
        <f>G60/$G$64</f>
        <v/>
      </c>
      <c r="I60" s="297">
        <f>ROUND(F60*'Прил. 10'!$D$14,2)</f>
        <v/>
      </c>
      <c r="J60" s="297">
        <f>ROUND(I60*E60,2)</f>
        <v/>
      </c>
      <c r="K60" s="332" t="n"/>
      <c r="L60" s="332" t="n"/>
    </row>
    <row r="61" ht="63.75" customHeight="1" s="371">
      <c r="A61" s="405" t="n">
        <v>40</v>
      </c>
      <c r="B61" s="304" t="inlineStr">
        <is>
          <t>61.3.05.01-0001</t>
        </is>
      </c>
      <c r="C61" s="412" t="inlineStr">
        <is>
          <t>Диск жесткий серверный типа HDD, объем памяти 2000 Гб, буферная память 64 Мб, внешняя скорость передачи данных 300 Мб/с (прим. Жесткий диск SATA-III, объем 6000GB (6ТВ)  WD60PURZ)</t>
        </is>
      </c>
      <c r="D61" s="405" t="inlineStr">
        <is>
          <t>шт</t>
        </is>
      </c>
      <c r="E61" s="489" t="n">
        <v>28</v>
      </c>
      <c r="F61" s="297" t="n">
        <v>925.45</v>
      </c>
      <c r="G61" s="297">
        <f>ROUND(E61*F61,2)</f>
        <v/>
      </c>
      <c r="H61" s="286">
        <f>G61/$G$64</f>
        <v/>
      </c>
      <c r="I61" s="297">
        <f>ROUND(F61*'Прил. 10'!$D$14,2)</f>
        <v/>
      </c>
      <c r="J61" s="297">
        <f>ROUND(I61*E61,2)</f>
        <v/>
      </c>
      <c r="K61" s="332" t="n"/>
      <c r="L61" s="332" t="n"/>
    </row>
    <row r="62" ht="63.75" customHeight="1" s="371">
      <c r="A62" s="405" t="n">
        <v>41</v>
      </c>
      <c r="B62" s="304" t="inlineStr">
        <is>
          <t>61.3.01.02-0061</t>
        </is>
      </c>
      <c r="C62" s="412" t="inlineStr">
        <is>
          <t>Модуль интеграции "Интеллект-64" для системы безопасности (ОПС, СКУД, видеонаблюдение) (прим. Пульт управления системой видеонаблюдения DS 1100KI(B))</t>
        </is>
      </c>
      <c r="D62" s="405" t="inlineStr">
        <is>
          <t>10 шт</t>
        </is>
      </c>
      <c r="E62" s="489" t="n">
        <v>0.8</v>
      </c>
      <c r="F62" s="297" t="n">
        <v>23062.4</v>
      </c>
      <c r="G62" s="297">
        <f>ROUND(E62*F62,2)</f>
        <v/>
      </c>
      <c r="H62" s="286">
        <f>G62/$G$64</f>
        <v/>
      </c>
      <c r="I62" s="297">
        <f>ROUND(F62*'Прил. 10'!$D$14,2)</f>
        <v/>
      </c>
      <c r="J62" s="297">
        <f>ROUND(I62*E62,2)</f>
        <v/>
      </c>
      <c r="K62" s="332" t="n"/>
      <c r="L62" s="332" t="n"/>
    </row>
    <row r="63" s="371">
      <c r="A63" s="405" t="n"/>
      <c r="B63" s="405" t="n"/>
      <c r="C63" s="412" t="inlineStr">
        <is>
          <t>Итого прочее оборудование</t>
        </is>
      </c>
      <c r="D63" s="405" t="n"/>
      <c r="E63" s="489" t="n"/>
      <c r="F63" s="414" t="n"/>
      <c r="G63" s="297">
        <f>SUM(G54:G62)</f>
        <v/>
      </c>
      <c r="H63" s="286">
        <f>G63/$G$64</f>
        <v/>
      </c>
      <c r="I63" s="298" t="n"/>
      <c r="J63" s="297">
        <f>SUM(J54:J62)</f>
        <v/>
      </c>
      <c r="K63" s="332" t="n"/>
      <c r="L63" s="332" t="n"/>
    </row>
    <row r="64" s="371">
      <c r="A64" s="405" t="n"/>
      <c r="B64" s="405" t="n"/>
      <c r="C64" s="396" t="inlineStr">
        <is>
          <t>Итого по разделу «Оборудование»</t>
        </is>
      </c>
      <c r="D64" s="405" t="n"/>
      <c r="E64" s="413" t="n"/>
      <c r="F64" s="414" t="n"/>
      <c r="G64" s="297">
        <f>G63+G53</f>
        <v/>
      </c>
      <c r="H64" s="415">
        <f>H63+H53</f>
        <v/>
      </c>
      <c r="I64" s="298" t="n"/>
      <c r="J64" s="297">
        <f>J63+J53</f>
        <v/>
      </c>
      <c r="K64" s="332" t="n"/>
      <c r="L64" s="332" t="n"/>
    </row>
    <row r="65" ht="25.5" customHeight="1" s="371">
      <c r="A65" s="405" t="n"/>
      <c r="B65" s="405" t="n"/>
      <c r="C65" s="412" t="inlineStr">
        <is>
          <t>в том числе технологическое оборудование</t>
        </is>
      </c>
      <c r="D65" s="405" t="n"/>
      <c r="E65" s="492" t="n"/>
      <c r="F65" s="414" t="n"/>
      <c r="G65" s="297">
        <f>G64</f>
        <v/>
      </c>
      <c r="H65" s="415" t="n"/>
      <c r="I65" s="298" t="n"/>
      <c r="J65" s="297">
        <f>J64</f>
        <v/>
      </c>
      <c r="K65" s="332" t="n"/>
      <c r="L65" s="332" t="n"/>
    </row>
    <row r="66" ht="14.25" customFormat="1" customHeight="1" s="332">
      <c r="A66" s="405" t="n"/>
      <c r="B66" s="396" t="inlineStr">
        <is>
          <t>Материалы</t>
        </is>
      </c>
      <c r="C66" s="477" t="n"/>
      <c r="D66" s="477" t="n"/>
      <c r="E66" s="477" t="n"/>
      <c r="F66" s="477" t="n"/>
      <c r="G66" s="477" t="n"/>
      <c r="H66" s="478" t="n"/>
      <c r="I66" s="292" t="n"/>
      <c r="J66" s="292" t="n"/>
    </row>
    <row r="67" ht="14.25" customFormat="1" customHeight="1" s="332">
      <c r="A67" s="405" t="n"/>
      <c r="B67" s="408" t="inlineStr">
        <is>
          <t>Основные материалы</t>
        </is>
      </c>
      <c r="C67" s="490" t="n"/>
      <c r="D67" s="490" t="n"/>
      <c r="E67" s="490" t="n"/>
      <c r="F67" s="490" t="n"/>
      <c r="G67" s="490" t="n"/>
      <c r="H67" s="491" t="n"/>
      <c r="I67" s="303" t="n"/>
      <c r="J67" s="303" t="n"/>
    </row>
    <row r="68" ht="27.75" customFormat="1" customHeight="1" s="332">
      <c r="A68" s="405" t="n">
        <v>42</v>
      </c>
      <c r="B68" s="304" t="inlineStr">
        <is>
          <t>Прайс из СД ОП</t>
        </is>
      </c>
      <c r="C68" s="412" t="inlineStr">
        <is>
          <t>Опора видеонаблюдения наклонная  НТБМ.301329.021-02</t>
        </is>
      </c>
      <c r="D68" s="405" t="inlineStr">
        <is>
          <t>шт</t>
        </is>
      </c>
      <c r="E68" s="489" t="n">
        <v>52</v>
      </c>
      <c r="F68" s="414" t="n">
        <v>31261.02</v>
      </c>
      <c r="G68" s="297">
        <f>ROUND(E68*F68,2)</f>
        <v/>
      </c>
      <c r="H68" s="286">
        <f>G68/$G$172</f>
        <v/>
      </c>
      <c r="I68" s="297">
        <f>ROUND(F68*'Прил. 10'!$D$13,2)</f>
        <v/>
      </c>
      <c r="J68" s="297">
        <f>ROUND(I68*E68,2)</f>
        <v/>
      </c>
    </row>
    <row r="69" ht="38.25" customFormat="1" customHeight="1" s="332">
      <c r="A69" s="405" t="n">
        <v>43</v>
      </c>
      <c r="B69" s="304" t="inlineStr">
        <is>
          <t>21.1.01.01-0001</t>
        </is>
      </c>
      <c r="C69" s="412" t="inlineStr">
        <is>
          <t>Кабель волоконно-оптический самонесущий биэлектрический ДСт-49-6z-6/32</t>
        </is>
      </c>
      <c r="D69" s="405" t="inlineStr">
        <is>
          <t>1000 м</t>
        </is>
      </c>
      <c r="E69" s="489" t="n">
        <v>9.192</v>
      </c>
      <c r="F69" s="414" t="n">
        <v>45920.85</v>
      </c>
      <c r="G69" s="297">
        <f>ROUND(E69*F69,2)</f>
        <v/>
      </c>
      <c r="H69" s="286">
        <f>G69/$G$172</f>
        <v/>
      </c>
      <c r="I69" s="297">
        <f>ROUND(F69*'Прил. 10'!$D$13,2)</f>
        <v/>
      </c>
      <c r="J69" s="297">
        <f>ROUND(I69*E69,2)</f>
        <v/>
      </c>
    </row>
    <row r="70" ht="25.5" customFormat="1" customHeight="1" s="332">
      <c r="A70" s="405" t="n">
        <v>44</v>
      </c>
      <c r="B70" s="304" t="inlineStr">
        <is>
          <t>21.1.06.10-0241</t>
        </is>
      </c>
      <c r="C70" s="412" t="inlineStr">
        <is>
          <t>Кабель силовой с медными жилами ВВГнг-FRLS 3х6(ож)-1000</t>
        </is>
      </c>
      <c r="D70" s="405" t="inlineStr">
        <is>
          <t>1000 м</t>
        </is>
      </c>
      <c r="E70" s="489" t="n">
        <v>6.212</v>
      </c>
      <c r="F70" s="414" t="n">
        <v>38389.84</v>
      </c>
      <c r="G70" s="297">
        <f>ROUND(E70*F70,2)</f>
        <v/>
      </c>
      <c r="H70" s="286">
        <f>G70/$G$172</f>
        <v/>
      </c>
      <c r="I70" s="297">
        <f>ROUND(F70*'Прил. 10'!$D$13,2)</f>
        <v/>
      </c>
      <c r="J70" s="297">
        <f>ROUND(I70*E70,2)</f>
        <v/>
      </c>
    </row>
    <row r="71" ht="14.25" customFormat="1" customHeight="1" s="332">
      <c r="A71" s="405" t="n">
        <v>45</v>
      </c>
      <c r="B71" s="308" t="n"/>
      <c r="C71" s="309" t="inlineStr">
        <is>
          <t>Итого основные материалы</t>
        </is>
      </c>
      <c r="D71" s="407" t="n"/>
      <c r="E71" s="489" t="n"/>
      <c r="F71" s="312" t="n"/>
      <c r="G71" s="312">
        <f>SUM(G68:G70)</f>
        <v/>
      </c>
      <c r="H71" s="286">
        <f>G71/$G$172</f>
        <v/>
      </c>
      <c r="I71" s="297" t="n"/>
      <c r="J71" s="312">
        <f>SUM(J68:J70)</f>
        <v/>
      </c>
    </row>
    <row r="72" hidden="1" outlineLevel="1" ht="127.5" customFormat="1" customHeight="1" s="332">
      <c r="A72" s="405" t="n">
        <v>46</v>
      </c>
      <c r="B72" s="304" t="inlineStr">
        <is>
          <t>21.1.08.01-0322</t>
        </is>
      </c>
      <c r="C72" s="412" t="inlineStr">
        <is>
          <t>Кабель для систем пожарной сигнализации с однопроволочными медными жилами, с изоляцией из огнестойкой кремнийорганической резины, скрученные совместно с полиимидной пленкой, в оболочке из ПВХ пластиката, не распространяющий горение, с низким дымо- и газовыделением марки КСБнг(А)-FRLS 4х2х0,98 (прим. КВПЭфнг(А)-LS-5е 4х2х0,52)</t>
        </is>
      </c>
      <c r="D72" s="405" t="inlineStr">
        <is>
          <t>1000 м</t>
        </is>
      </c>
      <c r="E72" s="489" t="n">
        <v>1.884</v>
      </c>
      <c r="F72" s="414" t="n">
        <v>79653.57000000001</v>
      </c>
      <c r="G72" s="297">
        <f>ROUND(E72*F72,2)</f>
        <v/>
      </c>
      <c r="H72" s="286">
        <f>G72/$G$172</f>
        <v/>
      </c>
      <c r="I72" s="297">
        <f>ROUND(F72*'Прил. 10'!$D$13,2)</f>
        <v/>
      </c>
      <c r="J72" s="297">
        <f>ROUND(I72*E72,2)</f>
        <v/>
      </c>
    </row>
    <row r="73" hidden="1" outlineLevel="1" ht="25.5" customFormat="1" customHeight="1" s="332">
      <c r="A73" s="405" t="n">
        <v>47</v>
      </c>
      <c r="B73" s="304" t="inlineStr">
        <is>
          <t>Прайс из СД ОП</t>
        </is>
      </c>
      <c r="C73" s="412" t="inlineStr">
        <is>
          <t>Комплект наращивания стойки  НТБМ.305651.114-01</t>
        </is>
      </c>
      <c r="D73" s="405" t="inlineStr">
        <is>
          <t>шт</t>
        </is>
      </c>
      <c r="E73" s="489" t="n">
        <v>52</v>
      </c>
      <c r="F73" s="414" t="n">
        <v>578.8099999999999</v>
      </c>
      <c r="G73" s="297">
        <f>ROUND(E73*F73,2)</f>
        <v/>
      </c>
      <c r="H73" s="286">
        <f>G73/$G$172</f>
        <v/>
      </c>
      <c r="I73" s="297">
        <f>ROUND(F73*'Прил. 10'!$D$13,2)</f>
        <v/>
      </c>
      <c r="J73" s="297">
        <f>ROUND(I73*E73,2)</f>
        <v/>
      </c>
    </row>
    <row r="74" hidden="1" outlineLevel="1" ht="25.5" customFormat="1" customHeight="1" s="332">
      <c r="A74" s="405" t="n">
        <v>48</v>
      </c>
      <c r="B74" s="304" t="inlineStr">
        <is>
          <t>21.1.01.01-0160</t>
        </is>
      </c>
      <c r="C74" s="412" t="inlineStr">
        <is>
          <t>Кабель оптический ОКСТМ-62,5-02-0,7-64-(2,7)</t>
        </is>
      </c>
      <c r="D74" s="405" t="inlineStr">
        <is>
          <t>1000 м</t>
        </is>
      </c>
      <c r="E74" s="489" t="n">
        <v>0.32</v>
      </c>
      <c r="F74" s="414" t="n">
        <v>111628.34</v>
      </c>
      <c r="G74" s="297">
        <f>ROUND(E74*F74,2)</f>
        <v/>
      </c>
      <c r="H74" s="286">
        <f>G74/$G$172</f>
        <v/>
      </c>
      <c r="I74" s="297">
        <f>ROUND(F74*'Прил. 10'!$D$13,2)</f>
        <v/>
      </c>
      <c r="J74" s="297">
        <f>ROUND(I74*E74,2)</f>
        <v/>
      </c>
    </row>
    <row r="75" hidden="1" outlineLevel="1" ht="38.25" customFormat="1" customHeight="1" s="332">
      <c r="A75" s="405" t="n">
        <v>49</v>
      </c>
      <c r="B75" s="304" t="inlineStr">
        <is>
          <t>21.1.08.05-0012</t>
        </is>
      </c>
      <c r="C75" s="412" t="inlineStr">
        <is>
          <t>Кабель управления КУППнг(A)-HF 4х2х0,8 (прим. Кабель витая пара СПЕЦЛАН F/UTP Cat5e ZH нг(А)-HF 4x2x0,48 Patch)</t>
        </is>
      </c>
      <c r="D75" s="405" t="inlineStr">
        <is>
          <t>1000 м</t>
        </is>
      </c>
      <c r="E75" s="489" t="n">
        <v>1.016</v>
      </c>
      <c r="F75" s="414" t="n">
        <v>23255.29</v>
      </c>
      <c r="G75" s="297">
        <f>ROUND(E75*F75,2)</f>
        <v/>
      </c>
      <c r="H75" s="286">
        <f>G75/$G$172</f>
        <v/>
      </c>
      <c r="I75" s="297">
        <f>ROUND(F75*'Прил. 10'!$D$13,2)</f>
        <v/>
      </c>
      <c r="J75" s="297">
        <f>ROUND(I75*E75,2)</f>
        <v/>
      </c>
    </row>
    <row r="76" hidden="1" outlineLevel="1" ht="25.5" customFormat="1" customHeight="1" s="332">
      <c r="A76" s="405" t="n">
        <v>50</v>
      </c>
      <c r="B76" s="304" t="inlineStr">
        <is>
          <t>21.1.06.10-0281</t>
        </is>
      </c>
      <c r="C76" s="412" t="inlineStr">
        <is>
          <t>Кабель силовой с медными жилами ВБбШвнг-FRLS 3х2,5-1000</t>
        </is>
      </c>
      <c r="D76" s="405" t="inlineStr">
        <is>
          <t>1000 м</t>
        </is>
      </c>
      <c r="E76" s="489" t="n">
        <v>0.78</v>
      </c>
      <c r="F76" s="414" t="n">
        <v>20095.37</v>
      </c>
      <c r="G76" s="297">
        <f>ROUND(E76*F76,2)</f>
        <v/>
      </c>
      <c r="H76" s="286">
        <f>G76/$G$172</f>
        <v/>
      </c>
      <c r="I76" s="297">
        <f>ROUND(F76*'Прил. 10'!$D$13,2)</f>
        <v/>
      </c>
      <c r="J76" s="297">
        <f>ROUND(I76*E76,2)</f>
        <v/>
      </c>
    </row>
    <row r="77" hidden="1" outlineLevel="1" ht="14.25" customFormat="1" customHeight="1" s="332">
      <c r="A77" s="405" t="n">
        <v>51</v>
      </c>
      <c r="B77" s="304" t="inlineStr">
        <is>
          <t>21.1.05.01-0138</t>
        </is>
      </c>
      <c r="C77" s="412" t="inlineStr">
        <is>
          <t>Кабель силовой гибкий КГН 3х1,5-660</t>
        </is>
      </c>
      <c r="D77" s="405" t="inlineStr">
        <is>
          <t>1000 м</t>
        </is>
      </c>
      <c r="E77" s="489" t="n">
        <v>1.016</v>
      </c>
      <c r="F77" s="414" t="n">
        <v>14783.63</v>
      </c>
      <c r="G77" s="297">
        <f>ROUND(E77*F77,2)</f>
        <v/>
      </c>
      <c r="H77" s="286">
        <f>G77/$G$172</f>
        <v/>
      </c>
      <c r="I77" s="297">
        <f>ROUND(F77*'Прил. 10'!$D$13,2)</f>
        <v/>
      </c>
      <c r="J77" s="297">
        <f>ROUND(I77*E77,2)</f>
        <v/>
      </c>
    </row>
    <row r="78" hidden="1" outlineLevel="1" ht="25.5" customFormat="1" customHeight="1" s="332">
      <c r="A78" s="405" t="n">
        <v>52</v>
      </c>
      <c r="B78" s="304" t="inlineStr">
        <is>
          <t>01.2.03.03-0005</t>
        </is>
      </c>
      <c r="C78" s="412" t="inlineStr">
        <is>
          <t>Мастика Eliminator (Мастика для кабельных проходок МГКП)</t>
        </is>
      </c>
      <c r="D78" s="405" t="inlineStr">
        <is>
          <t>кг</t>
        </is>
      </c>
      <c r="E78" s="489" t="n">
        <v>40</v>
      </c>
      <c r="F78" s="414" t="n">
        <v>289.64</v>
      </c>
      <c r="G78" s="297">
        <f>ROUND(E78*F78,2)</f>
        <v/>
      </c>
      <c r="H78" s="286">
        <f>G78/$G$172</f>
        <v/>
      </c>
      <c r="I78" s="297">
        <f>ROUND(F78*'Прил. 10'!$D$13,2)</f>
        <v/>
      </c>
      <c r="J78" s="297">
        <f>ROUND(I78*E78,2)</f>
        <v/>
      </c>
    </row>
    <row r="79" hidden="1" outlineLevel="1" ht="25.5" customFormat="1" customHeight="1" s="332">
      <c r="A79" s="405" t="n">
        <v>53</v>
      </c>
      <c r="B79" s="304" t="inlineStr">
        <is>
          <t>999-9950</t>
        </is>
      </c>
      <c r="C79" s="412" t="inlineStr">
        <is>
          <t>Вспомогательные ненормируемые ресурсы (2% от Оплаты труда рабочих)</t>
        </is>
      </c>
      <c r="D79" s="405" t="inlineStr">
        <is>
          <t>руб</t>
        </is>
      </c>
      <c r="E79" s="489" t="n">
        <v>11019.54021</v>
      </c>
      <c r="F79" s="414" t="n">
        <v>1</v>
      </c>
      <c r="G79" s="297">
        <f>ROUND(E79*F79,2)</f>
        <v/>
      </c>
      <c r="H79" s="286">
        <f>G79/$G$172</f>
        <v/>
      </c>
      <c r="I79" s="297">
        <f>ROUND(F79*'Прил. 10'!$D$13,2)</f>
        <v/>
      </c>
      <c r="J79" s="297">
        <f>ROUND(I79*E79,2)</f>
        <v/>
      </c>
    </row>
    <row r="80" hidden="1" outlineLevel="1" ht="38.25" customFormat="1" customHeight="1" s="332">
      <c r="A80" s="405" t="n">
        <v>54</v>
      </c>
      <c r="B80" s="304" t="inlineStr">
        <is>
          <t>21.1.06.10-0236</t>
        </is>
      </c>
      <c r="C80" s="412" t="inlineStr">
        <is>
          <t>Кабель силовой с медными жилами ВВГнг-FRLS 3х2,5-1000 (прим. ВВГЭнг(А)- LS- 3х2,5)</t>
        </is>
      </c>
      <c r="D80" s="405" t="inlineStr">
        <is>
          <t>1000 м</t>
        </is>
      </c>
      <c r="E80" s="489" t="n">
        <v>0.9399999999999999</v>
      </c>
      <c r="F80" s="414" t="n">
        <v>14843.6</v>
      </c>
      <c r="G80" s="297">
        <f>ROUND(E80*F80,2)</f>
        <v/>
      </c>
      <c r="H80" s="286">
        <f>G80/$G$172</f>
        <v/>
      </c>
      <c r="I80" s="297">
        <f>ROUND(F80*'Прил. 10'!$D$13,2)</f>
        <v/>
      </c>
      <c r="J80" s="297">
        <f>ROUND(I80*E80,2)</f>
        <v/>
      </c>
    </row>
    <row r="81" hidden="1" outlineLevel="1" ht="14.25" customFormat="1" customHeight="1" s="332">
      <c r="A81" s="405" t="n">
        <v>55</v>
      </c>
      <c r="B81" s="304" t="inlineStr">
        <is>
          <t>20.3.01.01-0041</t>
        </is>
      </c>
      <c r="C81" s="412" t="inlineStr">
        <is>
          <t>Сальники ввертные</t>
        </is>
      </c>
      <c r="D81" s="405" t="inlineStr">
        <is>
          <t>100 шт</t>
        </is>
      </c>
      <c r="E81" s="489" t="n">
        <v>3.2</v>
      </c>
      <c r="F81" s="414" t="n">
        <v>2280</v>
      </c>
      <c r="G81" s="297">
        <f>ROUND(E81*F81,2)</f>
        <v/>
      </c>
      <c r="H81" s="286">
        <f>G81/$G$172</f>
        <v/>
      </c>
      <c r="I81" s="297">
        <f>ROUND(F81*'Прил. 10'!$D$13,2)</f>
        <v/>
      </c>
      <c r="J81" s="297">
        <f>ROUND(I81*E81,2)</f>
        <v/>
      </c>
    </row>
    <row r="82" hidden="1" outlineLevel="1" ht="25.5" customFormat="1" customHeight="1" s="332">
      <c r="A82" s="405" t="n">
        <v>56</v>
      </c>
      <c r="B82" s="304" t="inlineStr">
        <is>
          <t>20.3.01.01-0041</t>
        </is>
      </c>
      <c r="C82" s="412" t="inlineStr">
        <is>
          <t>Сальники ввертные (прим. Сальник MG32,АО "КЭАЗ")</t>
        </is>
      </c>
      <c r="D82" s="405" t="inlineStr">
        <is>
          <t>100 шт</t>
        </is>
      </c>
      <c r="E82" s="489" t="n">
        <v>3.2</v>
      </c>
      <c r="F82" s="414" t="n">
        <v>2280</v>
      </c>
      <c r="G82" s="297">
        <f>ROUND(E82*F82,2)</f>
        <v/>
      </c>
      <c r="H82" s="286">
        <f>G82/$G$172</f>
        <v/>
      </c>
      <c r="I82" s="297">
        <f>ROUND(F82*'Прил. 10'!$D$13,2)</f>
        <v/>
      </c>
      <c r="J82" s="297">
        <f>ROUND(I82*E82,2)</f>
        <v/>
      </c>
    </row>
    <row r="83" hidden="1" outlineLevel="1" ht="102" customFormat="1" customHeight="1" s="332">
      <c r="A83" s="405" t="n">
        <v>57</v>
      </c>
      <c r="B83" s="304" t="inlineStr">
        <is>
          <t>20.2.03.06-0063</t>
        </is>
      </c>
      <c r="C83" s="412" t="inlineStr">
        <is>
          <t>Крышка с заземлением на лоток основанием 150 мм, длина 3000 мм (прим. Крышка для лотка листового неперфорированного шириной 100 мм,длиной 3000мм,"быстрый монтаж", исполнение из холодостойкой стали 09Г2С  ,КLS 100,АРТ.430567  "Стандарт-Электрик")</t>
        </is>
      </c>
      <c r="D83" s="405" t="inlineStr">
        <is>
          <t>шт</t>
        </is>
      </c>
      <c r="E83" s="489" t="n">
        <v>60</v>
      </c>
      <c r="F83" s="414" t="n">
        <v>110.61</v>
      </c>
      <c r="G83" s="297">
        <f>ROUND(E83*F83,2)</f>
        <v/>
      </c>
      <c r="H83" s="286">
        <f>G83/$G$172</f>
        <v/>
      </c>
      <c r="I83" s="297">
        <f>ROUND(F83*'Прил. 10'!$D$13,2)</f>
        <v/>
      </c>
      <c r="J83" s="297">
        <f>ROUND(I83*E83,2)</f>
        <v/>
      </c>
    </row>
    <row r="84" hidden="1" outlineLevel="1" ht="38.25" customFormat="1" customHeight="1" s="332">
      <c r="A84" s="405" t="n">
        <v>58</v>
      </c>
      <c r="B84" s="304" t="inlineStr">
        <is>
          <t>20.5.02.06-0038</t>
        </is>
      </c>
      <c r="C84" s="412" t="inlineStr">
        <is>
          <t>Коробка разветвительная У-257 (прим. Коробка ответвительная 167х125х82мм марки KF8100, Hensel })</t>
        </is>
      </c>
      <c r="D84" s="405" t="inlineStr">
        <is>
          <t>10 шт</t>
        </is>
      </c>
      <c r="E84" s="489" t="n">
        <v>4.4</v>
      </c>
      <c r="F84" s="414" t="n">
        <v>1245.5</v>
      </c>
      <c r="G84" s="297">
        <f>ROUND(E84*F84,2)</f>
        <v/>
      </c>
      <c r="H84" s="286">
        <f>G84/$G$172</f>
        <v/>
      </c>
      <c r="I84" s="297">
        <f>ROUND(F84*'Прил. 10'!$D$13,2)</f>
        <v/>
      </c>
      <c r="J84" s="297">
        <f>ROUND(I84*E84,2)</f>
        <v/>
      </c>
    </row>
    <row r="85" hidden="1" outlineLevel="1" ht="38.25" customFormat="1" customHeight="1" s="332">
      <c r="A85" s="405" t="n">
        <v>59</v>
      </c>
      <c r="B85" s="304" t="inlineStr">
        <is>
          <t>22.1.02.06-0081</t>
        </is>
      </c>
      <c r="C85" s="412" t="inlineStr">
        <is>
          <t>Удлинитель (репитер) передаваемого сигнала версии HDMI 1.3b (прим. Кабель HDMI-HDMI, 2 метра)</t>
        </is>
      </c>
      <c r="D85" s="405" t="inlineStr">
        <is>
          <t>шт</t>
        </is>
      </c>
      <c r="E85" s="489" t="n">
        <v>12</v>
      </c>
      <c r="F85" s="414" t="n">
        <v>345.77</v>
      </c>
      <c r="G85" s="297">
        <f>ROUND(E85*F85,2)</f>
        <v/>
      </c>
      <c r="H85" s="286">
        <f>G85/$G$172</f>
        <v/>
      </c>
      <c r="I85" s="297">
        <f>ROUND(F85*'Прил. 10'!$D$13,2)</f>
        <v/>
      </c>
      <c r="J85" s="297">
        <f>ROUND(I85*E85,2)</f>
        <v/>
      </c>
    </row>
    <row r="86" hidden="1" outlineLevel="1" ht="25.5" customFormat="1" customHeight="1" s="332">
      <c r="A86" s="405" t="n">
        <v>60</v>
      </c>
      <c r="B86" s="304" t="inlineStr">
        <is>
          <t>21.2.03.05-0074</t>
        </is>
      </c>
      <c r="C86" s="412" t="inlineStr">
        <is>
          <t>Провод силовой установочный с медными жилами ПуГВ 1х25-450 {ПуГВ 1х16}</t>
        </is>
      </c>
      <c r="D86" s="405" t="inlineStr">
        <is>
          <t>1000 м</t>
        </is>
      </c>
      <c r="E86" s="489" t="n">
        <v>0.14688</v>
      </c>
      <c r="F86" s="414" t="n">
        <v>19362.19</v>
      </c>
      <c r="G86" s="297">
        <f>ROUND(E86*F86,2)</f>
        <v/>
      </c>
      <c r="H86" s="286">
        <f>G86/$G$172</f>
        <v/>
      </c>
      <c r="I86" s="297">
        <f>ROUND(F86*'Прил. 10'!$D$13,2)</f>
        <v/>
      </c>
      <c r="J86" s="297">
        <f>ROUND(I86*E86,2)</f>
        <v/>
      </c>
    </row>
    <row r="87" hidden="1" outlineLevel="1" ht="25.5" customFormat="1" customHeight="1" s="332">
      <c r="A87" s="405" t="n">
        <v>61</v>
      </c>
      <c r="B87" s="304" t="inlineStr">
        <is>
          <t>11.2.11.05-0002</t>
        </is>
      </c>
      <c r="C87" s="412" t="inlineStr">
        <is>
          <t>Фанера клееная обрезная, сорт В/ВВ, ФК, ФБА, толщина 4 мм</t>
        </is>
      </c>
      <c r="D87" s="405" t="inlineStr">
        <is>
          <t>м3</t>
        </is>
      </c>
      <c r="E87" s="489" t="n">
        <v>0.512</v>
      </c>
      <c r="F87" s="414" t="n">
        <v>4949.4</v>
      </c>
      <c r="G87" s="297">
        <f>ROUND(E87*F87,2)</f>
        <v/>
      </c>
      <c r="H87" s="286">
        <f>G87/$G$172</f>
        <v/>
      </c>
      <c r="I87" s="297">
        <f>ROUND(F87*'Прил. 10'!$D$13,2)</f>
        <v/>
      </c>
      <c r="J87" s="297">
        <f>ROUND(I87*E87,2)</f>
        <v/>
      </c>
    </row>
    <row r="88" hidden="1" outlineLevel="1" ht="51" customFormat="1" customHeight="1" s="332">
      <c r="A88" s="405" t="n">
        <v>62</v>
      </c>
      <c r="B88" s="304" t="inlineStr">
        <is>
          <t>20.4.03.07-0001</t>
        </is>
      </c>
      <c r="C88" s="412" t="inlineStr">
        <is>
          <t>Блок электрических розеток 19" в пластиковом корпусе на 8 гнезд высотой 1U с фильтром (прим. Тройная розетка ,арт.45003,ДКС)</t>
        </is>
      </c>
      <c r="D88" s="405" t="inlineStr">
        <is>
          <t>шт</t>
        </is>
      </c>
      <c r="E88" s="489" t="n">
        <v>12</v>
      </c>
      <c r="F88" s="414" t="n">
        <v>209.93</v>
      </c>
      <c r="G88" s="297">
        <f>ROUND(E88*F88,2)</f>
        <v/>
      </c>
      <c r="H88" s="286">
        <f>G88/$G$172</f>
        <v/>
      </c>
      <c r="I88" s="297">
        <f>ROUND(F88*'Прил. 10'!$D$13,2)</f>
        <v/>
      </c>
      <c r="J88" s="297">
        <f>ROUND(I88*E88,2)</f>
        <v/>
      </c>
    </row>
    <row r="89" hidden="1" outlineLevel="1" ht="63.75" customFormat="1" customHeight="1" s="332">
      <c r="A89" s="405" t="n">
        <v>63</v>
      </c>
      <c r="B89" s="304" t="inlineStr">
        <is>
          <t>20.2.05.04-0001</t>
        </is>
      </c>
      <c r="C89" s="412" t="inlineStr">
        <is>
          <t>Кабель-канал "Legrand" DLP 50х80 мм с крышкой (прим. Короб с крышкой с направляющими для установки разделителей 80х40 мм,длина 2000мм TA-GN 80x40 арт.01781,ДКС)</t>
        </is>
      </c>
      <c r="D89" s="405" t="inlineStr">
        <is>
          <t>100 м</t>
        </is>
      </c>
      <c r="E89" s="489" t="n">
        <v>0.48</v>
      </c>
      <c r="F89" s="414" t="n">
        <v>5031</v>
      </c>
      <c r="G89" s="297">
        <f>ROUND(E89*F89,2)</f>
        <v/>
      </c>
      <c r="H89" s="286">
        <f>G89/$G$172</f>
        <v/>
      </c>
      <c r="I89" s="297">
        <f>ROUND(F89*'Прил. 10'!$D$13,2)</f>
        <v/>
      </c>
      <c r="J89" s="297">
        <f>ROUND(I89*E89,2)</f>
        <v/>
      </c>
    </row>
    <row r="90" hidden="1" outlineLevel="1" ht="51" customFormat="1" customHeight="1" s="332">
      <c r="A90" s="405" t="n">
        <v>64</v>
      </c>
      <c r="B90" s="304" t="inlineStr">
        <is>
          <t>20.2.07.06-0005</t>
        </is>
      </c>
      <c r="C90" s="412" t="inlineStr">
        <is>
          <t>Лоток кабельный проволочный, размер 100х100 мм, горячеоцинкованный (прим. Лоток листовой неперфорированный прямой 100х100)</t>
        </is>
      </c>
      <c r="D90" s="405" t="inlineStr">
        <is>
          <t>м</t>
        </is>
      </c>
      <c r="E90" s="489" t="n">
        <v>60</v>
      </c>
      <c r="F90" s="414" t="n">
        <v>35.98</v>
      </c>
      <c r="G90" s="297">
        <f>ROUND(E90*F90,2)</f>
        <v/>
      </c>
      <c r="H90" s="286">
        <f>G90/$G$172</f>
        <v/>
      </c>
      <c r="I90" s="297">
        <f>ROUND(F90*'Прил. 10'!$D$13,2)</f>
        <v/>
      </c>
      <c r="J90" s="297">
        <f>ROUND(I90*E90,2)</f>
        <v/>
      </c>
    </row>
    <row r="91" hidden="1" outlineLevel="1" ht="25.5" customFormat="1" customHeight="1" s="332">
      <c r="A91" s="405" t="n">
        <v>65</v>
      </c>
      <c r="B91" s="304" t="inlineStr">
        <is>
          <t>21.1.06.09-0152</t>
        </is>
      </c>
      <c r="C91" s="412" t="inlineStr">
        <is>
          <t>Кабель силовой с медными жилами ВВГнг(A)-LS 3х2,5-660</t>
        </is>
      </c>
      <c r="D91" s="405" t="inlineStr">
        <is>
          <t>1000 м</t>
        </is>
      </c>
      <c r="E91" s="489" t="n">
        <v>0.2856</v>
      </c>
      <c r="F91" s="414" t="n">
        <v>6920.41</v>
      </c>
      <c r="G91" s="297">
        <f>ROUND(E91*F91,2)</f>
        <v/>
      </c>
      <c r="H91" s="286">
        <f>G91/$G$172</f>
        <v/>
      </c>
      <c r="I91" s="297">
        <f>ROUND(F91*'Прил. 10'!$D$13,2)</f>
        <v/>
      </c>
      <c r="J91" s="297">
        <f>ROUND(I91*E91,2)</f>
        <v/>
      </c>
    </row>
    <row r="92" hidden="1" outlineLevel="1" ht="25.5" customFormat="1" customHeight="1" s="332">
      <c r="A92" s="405" t="n">
        <v>66</v>
      </c>
      <c r="B92" s="304" t="inlineStr">
        <is>
          <t>20.2.10.03-0006</t>
        </is>
      </c>
      <c r="C92" s="412" t="inlineStr">
        <is>
          <t>Наконечники кабельные медные соединительные</t>
        </is>
      </c>
      <c r="D92" s="405" t="inlineStr">
        <is>
          <t>100 шт</t>
        </is>
      </c>
      <c r="E92" s="489" t="n">
        <v>4.64</v>
      </c>
      <c r="F92" s="414" t="n">
        <v>365</v>
      </c>
      <c r="G92" s="297">
        <f>ROUND(E92*F92,2)</f>
        <v/>
      </c>
      <c r="H92" s="286">
        <f>G92/$G$172</f>
        <v/>
      </c>
      <c r="I92" s="297">
        <f>ROUND(F92*'Прил. 10'!$D$13,2)</f>
        <v/>
      </c>
      <c r="J92" s="297">
        <f>ROUND(I92*E92,2)</f>
        <v/>
      </c>
    </row>
    <row r="93" hidden="1" outlineLevel="1" ht="63.75" customFormat="1" customHeight="1" s="332">
      <c r="A93" s="405" t="n">
        <v>67</v>
      </c>
      <c r="B93" s="304" t="inlineStr">
        <is>
          <t>20.2.10.04-0001</t>
        </is>
      </c>
      <c r="C93" s="412" t="inlineStr">
        <is>
          <t>Наконечники кабельные медные луженные ТМЛ-4 { Наконечник-гильза Е  1,5мм2 медный луженый   Е 1,5-08(1508)-100шт;Наконечник-гильза Е  0,5мм2 медный луженый   Е 0,5-08(0508)-300шт}</t>
        </is>
      </c>
      <c r="D93" s="405" t="inlineStr">
        <is>
          <t>100 шт</t>
        </is>
      </c>
      <c r="E93" s="489" t="n">
        <v>16</v>
      </c>
      <c r="F93" s="414" t="n">
        <v>100</v>
      </c>
      <c r="G93" s="297">
        <f>ROUND(E93*F93,2)</f>
        <v/>
      </c>
      <c r="H93" s="286">
        <f>G93/$G$172</f>
        <v/>
      </c>
      <c r="I93" s="297">
        <f>ROUND(F93*'Прил. 10'!$D$13,2)</f>
        <v/>
      </c>
      <c r="J93" s="297">
        <f>ROUND(I93*E93,2)</f>
        <v/>
      </c>
    </row>
    <row r="94" hidden="1" outlineLevel="1" ht="25.5" customFormat="1" customHeight="1" s="332">
      <c r="A94" s="405" t="n">
        <v>68</v>
      </c>
      <c r="B94" s="304" t="inlineStr">
        <is>
          <t>10.3.02.03-0011</t>
        </is>
      </c>
      <c r="C94" s="412" t="inlineStr">
        <is>
          <t>Припои оловянно-свинцовые бессурьмянистые, марка ПОС30</t>
        </is>
      </c>
      <c r="D94" s="405" t="inlineStr">
        <is>
          <t>т</t>
        </is>
      </c>
      <c r="E94" s="489" t="n">
        <v>0.0234752</v>
      </c>
      <c r="F94" s="414" t="n">
        <v>68050</v>
      </c>
      <c r="G94" s="297">
        <f>ROUND(E94*F94,2)</f>
        <v/>
      </c>
      <c r="H94" s="286">
        <f>G94/$G$172</f>
        <v/>
      </c>
      <c r="I94" s="297">
        <f>ROUND(F94*'Прил. 10'!$D$13,2)</f>
        <v/>
      </c>
      <c r="J94" s="297">
        <f>ROUND(I94*E94,2)</f>
        <v/>
      </c>
    </row>
    <row r="95" hidden="1" outlineLevel="1" ht="25.5" customFormat="1" customHeight="1" s="332">
      <c r="A95" s="405" t="n">
        <v>69</v>
      </c>
      <c r="B95" s="304" t="inlineStr">
        <is>
          <t>01.7.06.08-0012</t>
        </is>
      </c>
      <c r="C95" s="412" t="inlineStr">
        <is>
          <t>Лента сигнальная полиэтиленовая ЛСЭ-300, длина 100 м, ширина 300 мм</t>
        </is>
      </c>
      <c r="D95" s="405" t="inlineStr">
        <is>
          <t>шт</t>
        </is>
      </c>
      <c r="E95" s="489" t="n">
        <v>4</v>
      </c>
      <c r="F95" s="414" t="n">
        <v>376.94</v>
      </c>
      <c r="G95" s="297">
        <f>ROUND(E95*F95,2)</f>
        <v/>
      </c>
      <c r="H95" s="286">
        <f>G95/$G$172</f>
        <v/>
      </c>
      <c r="I95" s="297">
        <f>ROUND(F95*'Прил. 10'!$D$13,2)</f>
        <v/>
      </c>
      <c r="J95" s="297">
        <f>ROUND(I95*E95,2)</f>
        <v/>
      </c>
    </row>
    <row r="96" hidden="1" outlineLevel="1" ht="38.25" customFormat="1" customHeight="1" s="332">
      <c r="A96" s="405" t="n">
        <v>70</v>
      </c>
      <c r="B96" s="304" t="inlineStr">
        <is>
          <t>22.1.02.04-0003</t>
        </is>
      </c>
      <c r="C96" s="412" t="inlineStr">
        <is>
          <t>Коннектор (джек) RJ-45 8P-8C CAT6 (со вставкой) REXANT{разъем для подключения кабеля "витая пара " RJ-45}</t>
        </is>
      </c>
      <c r="D96" s="405" t="inlineStr">
        <is>
          <t>100 шт</t>
        </is>
      </c>
      <c r="E96" s="489" t="n">
        <v>4</v>
      </c>
      <c r="F96" s="414" t="n">
        <v>343.28</v>
      </c>
      <c r="G96" s="297">
        <f>ROUND(E96*F96,2)</f>
        <v/>
      </c>
      <c r="H96" s="286">
        <f>G96/$G$172</f>
        <v/>
      </c>
      <c r="I96" s="297">
        <f>ROUND(F96*'Прил. 10'!$D$13,2)</f>
        <v/>
      </c>
      <c r="J96" s="297">
        <f>ROUND(I96*E96,2)</f>
        <v/>
      </c>
    </row>
    <row r="97" hidden="1" outlineLevel="1" ht="14.25" customFormat="1" customHeight="1" s="332">
      <c r="A97" s="405" t="n">
        <v>71</v>
      </c>
      <c r="B97" s="304" t="inlineStr">
        <is>
          <t>01.7.11.07-0032</t>
        </is>
      </c>
      <c r="C97" s="412" t="inlineStr">
        <is>
          <t>Электроды сварочные Э42, диаметр 4 мм</t>
        </is>
      </c>
      <c r="D97" s="405" t="inlineStr">
        <is>
          <t>т</t>
        </is>
      </c>
      <c r="E97" s="489" t="n">
        <v>0.1283984</v>
      </c>
      <c r="F97" s="414" t="n">
        <v>10315.01</v>
      </c>
      <c r="G97" s="297">
        <f>ROUND(E97*F97,2)</f>
        <v/>
      </c>
      <c r="H97" s="286">
        <f>G97/$G$172</f>
        <v/>
      </c>
      <c r="I97" s="297">
        <f>ROUND(F97*'Прил. 10'!$D$13,2)</f>
        <v/>
      </c>
      <c r="J97" s="297">
        <f>ROUND(I97*E97,2)</f>
        <v/>
      </c>
    </row>
    <row r="98" hidden="1" outlineLevel="1" ht="25.5" customFormat="1" customHeight="1" s="332">
      <c r="A98" s="405" t="n">
        <v>72</v>
      </c>
      <c r="B98" s="304" t="inlineStr">
        <is>
          <t>Прайс из СД ОП</t>
        </is>
      </c>
      <c r="C98" s="412" t="inlineStr">
        <is>
          <t>Компьютерная розетка RJ-45,Cat 5e,арт.45047,ДКС</t>
        </is>
      </c>
      <c r="D98" s="405" t="inlineStr">
        <is>
          <t>шт</t>
        </is>
      </c>
      <c r="E98" s="489" t="n">
        <v>8</v>
      </c>
      <c r="F98" s="414" t="n">
        <v>150.49</v>
      </c>
      <c r="G98" s="297">
        <f>ROUND(E98*F98,2)</f>
        <v/>
      </c>
      <c r="H98" s="286">
        <f>G98/$G$172</f>
        <v/>
      </c>
      <c r="I98" s="297">
        <f>ROUND(F98*'Прил. 10'!$D$13,2)</f>
        <v/>
      </c>
      <c r="J98" s="297">
        <f>ROUND(I98*E98,2)</f>
        <v/>
      </c>
    </row>
    <row r="99" hidden="1" outlineLevel="1" ht="14.25" customFormat="1" customHeight="1" s="332">
      <c r="A99" s="405" t="n">
        <v>73</v>
      </c>
      <c r="B99" s="304" t="inlineStr">
        <is>
          <t>01.3.01.01-0001</t>
        </is>
      </c>
      <c r="C99" s="412" t="inlineStr">
        <is>
          <t>Бензин авиационный Б-70</t>
        </is>
      </c>
      <c r="D99" s="405" t="inlineStr">
        <is>
          <t>т</t>
        </is>
      </c>
      <c r="E99" s="489" t="n">
        <v>0.2304</v>
      </c>
      <c r="F99" s="414" t="n">
        <v>4488.4</v>
      </c>
      <c r="G99" s="297">
        <f>ROUND(E99*F99,2)</f>
        <v/>
      </c>
      <c r="H99" s="286">
        <f>G99/$G$172</f>
        <v/>
      </c>
      <c r="I99" s="297">
        <f>ROUND(F99*'Прил. 10'!$D$13,2)</f>
        <v/>
      </c>
      <c r="J99" s="297">
        <f>ROUND(I99*E99,2)</f>
        <v/>
      </c>
    </row>
    <row r="100" hidden="1" outlineLevel="1" ht="25.5" customFormat="1" customHeight="1" s="332">
      <c r="A100" s="405" t="n">
        <v>74</v>
      </c>
      <c r="B100" s="304" t="inlineStr">
        <is>
          <t>25.2.01.01-0018</t>
        </is>
      </c>
      <c r="C100" s="412" t="inlineStr">
        <is>
          <t>Бирки маркировочные пластмассовые У134</t>
        </is>
      </c>
      <c r="D100" s="405" t="inlineStr">
        <is>
          <t>100 шт</t>
        </is>
      </c>
      <c r="E100" s="489" t="n">
        <v>8</v>
      </c>
      <c r="F100" s="414" t="n">
        <v>125</v>
      </c>
      <c r="G100" s="297">
        <f>ROUND(E100*F100,2)</f>
        <v/>
      </c>
      <c r="H100" s="286">
        <f>G100/$G$172</f>
        <v/>
      </c>
      <c r="I100" s="297">
        <f>ROUND(F100*'Прил. 10'!$D$13,2)</f>
        <v/>
      </c>
      <c r="J100" s="297">
        <f>ROUND(I100*E100,2)</f>
        <v/>
      </c>
    </row>
    <row r="101" hidden="1" outlineLevel="1" ht="14.25" customFormat="1" customHeight="1" s="332">
      <c r="A101" s="405" t="n">
        <v>75</v>
      </c>
      <c r="B101" s="304" t="inlineStr">
        <is>
          <t>08.3.03.04-0014</t>
        </is>
      </c>
      <c r="C101" s="412" t="inlineStr">
        <is>
          <t>Проволока светлая, диаметр 3,0 мм</t>
        </is>
      </c>
      <c r="D101" s="405" t="inlineStr">
        <is>
          <t>т</t>
        </is>
      </c>
      <c r="E101" s="489" t="n">
        <v>0.06560000000000001</v>
      </c>
      <c r="F101" s="414" t="n">
        <v>13232</v>
      </c>
      <c r="G101" s="297">
        <f>ROUND(E101*F101,2)</f>
        <v/>
      </c>
      <c r="H101" s="286">
        <f>G101/$G$172</f>
        <v/>
      </c>
      <c r="I101" s="297">
        <f>ROUND(F101*'Прил. 10'!$D$13,2)</f>
        <v/>
      </c>
      <c r="J101" s="297">
        <f>ROUND(I101*E101,2)</f>
        <v/>
      </c>
    </row>
    <row r="102" hidden="1" outlineLevel="1" ht="51" customFormat="1" customHeight="1" s="332">
      <c r="A102" s="405" t="n">
        <v>76</v>
      </c>
      <c r="B102" s="304" t="inlineStr">
        <is>
          <t>23.3.06.02-0004</t>
        </is>
      </c>
      <c r="C102" s="412" t="inlineStr">
        <is>
          <t>Трубы стальные сварные оцинкованные водогазопроводные с резьбой, обыкновенные, номинальный диаметр 32 мм, толщина стенки 3,2 мм</t>
        </is>
      </c>
      <c r="D102" s="405" t="inlineStr">
        <is>
          <t>м</t>
        </is>
      </c>
      <c r="E102" s="489" t="n">
        <v>20.6</v>
      </c>
      <c r="F102" s="414" t="n">
        <v>40.5</v>
      </c>
      <c r="G102" s="297">
        <f>ROUND(E102*F102,2)</f>
        <v/>
      </c>
      <c r="H102" s="286">
        <f>G102/$G$172</f>
        <v/>
      </c>
      <c r="I102" s="297">
        <f>ROUND(F102*'Прил. 10'!$D$13,2)</f>
        <v/>
      </c>
      <c r="J102" s="297">
        <f>ROUND(I102*E102,2)</f>
        <v/>
      </c>
    </row>
    <row r="103" hidden="1" outlineLevel="1" ht="51" customFormat="1" customHeight="1" s="332">
      <c r="A103" s="405" t="n">
        <v>77</v>
      </c>
      <c r="B103" s="304" t="inlineStr">
        <is>
          <t>02.3.01.02-0016</t>
        </is>
      </c>
      <c r="C103" s="412" t="inlineStr">
        <is>
          <t>Песок природный для строительных: работ средний с крупностью зерен размером свыше 5 мм - до 5% по массе {для устройства постели}</t>
        </is>
      </c>
      <c r="D103" s="405" t="inlineStr">
        <is>
          <t>м3</t>
        </is>
      </c>
      <c r="E103" s="489" t="n">
        <v>14.4</v>
      </c>
      <c r="F103" s="414" t="n">
        <v>55.26</v>
      </c>
      <c r="G103" s="297">
        <f>ROUND(E103*F103,2)</f>
        <v/>
      </c>
      <c r="H103" s="286">
        <f>G103/$G$172</f>
        <v/>
      </c>
      <c r="I103" s="297">
        <f>ROUND(F103*'Прил. 10'!$D$13,2)</f>
        <v/>
      </c>
      <c r="J103" s="297">
        <f>ROUND(I103*E103,2)</f>
        <v/>
      </c>
    </row>
    <row r="104" hidden="1" outlineLevel="1" ht="63.75" customFormat="1" customHeight="1" s="332">
      <c r="A104" s="405" t="n">
        <v>78</v>
      </c>
      <c r="B104" s="304" t="inlineStr">
        <is>
          <t>20.2.03.25-0005</t>
        </is>
      </c>
      <c r="C104" s="412" t="inlineStr">
        <is>
          <t>Угол вертикальный внешний 90 град. переходник левый к лотку шириной 100 мм (прим. Угол плоский (L-поворот) для короба  80x40 ,NPAN 80х40 арт.01740,ДКС)</t>
        </is>
      </c>
      <c r="D104" s="405" t="inlineStr">
        <is>
          <t>шт</t>
        </is>
      </c>
      <c r="E104" s="489" t="n">
        <v>4</v>
      </c>
      <c r="F104" s="414" t="n">
        <v>186.59</v>
      </c>
      <c r="G104" s="297">
        <f>ROUND(E104*F104,2)</f>
        <v/>
      </c>
      <c r="H104" s="286">
        <f>G104/$G$172</f>
        <v/>
      </c>
      <c r="I104" s="297">
        <f>ROUND(F104*'Прил. 10'!$D$13,2)</f>
        <v/>
      </c>
      <c r="J104" s="297">
        <f>ROUND(I104*E104,2)</f>
        <v/>
      </c>
    </row>
    <row r="105" hidden="1" outlineLevel="1" ht="51" customFormat="1" customHeight="1" s="332">
      <c r="A105" s="405" t="n">
        <v>79</v>
      </c>
      <c r="B105" s="304" t="inlineStr">
        <is>
          <t>20.2.03.01-1086</t>
        </is>
      </c>
      <c r="C105" s="412" t="inlineStr">
        <is>
          <t>Заглушка торцевая сейсмостойкая из оцинкованной стали ЗТ-0,2/0,5 (прим. Заглушка короба 80х40 мм торцевая  LAN 80x40 арт.00871,ДКС)</t>
        </is>
      </c>
      <c r="D105" s="405" t="inlineStr">
        <is>
          <t>шт</t>
        </is>
      </c>
      <c r="E105" s="489" t="n">
        <v>8</v>
      </c>
      <c r="F105" s="414" t="n">
        <v>67.17</v>
      </c>
      <c r="G105" s="297">
        <f>ROUND(E105*F105,2)</f>
        <v/>
      </c>
      <c r="H105" s="286">
        <f>G105/$G$172</f>
        <v/>
      </c>
      <c r="I105" s="297">
        <f>ROUND(F105*'Прил. 10'!$D$13,2)</f>
        <v/>
      </c>
      <c r="J105" s="297">
        <f>ROUND(I105*E105,2)</f>
        <v/>
      </c>
    </row>
    <row r="106" hidden="1" outlineLevel="1" ht="51" customFormat="1" customHeight="1" s="332">
      <c r="A106" s="405" t="n">
        <v>80</v>
      </c>
      <c r="B106" s="304" t="inlineStr">
        <is>
          <t>20.2.05.10-0001</t>
        </is>
      </c>
      <c r="C106" s="412" t="inlineStr">
        <is>
          <t>Рамка пластиковая на 2 модуля для монтажа на профиль 60х20 мм (прим. Рамка для ввода в стену/коробку/потолок RQM 80,арт.01775,ДКС)</t>
        </is>
      </c>
      <c r="D106" s="405" t="inlineStr">
        <is>
          <t>100 шт</t>
        </is>
      </c>
      <c r="E106" s="489" t="n">
        <v>0.16</v>
      </c>
      <c r="F106" s="414" t="n">
        <v>2671.41</v>
      </c>
      <c r="G106" s="297">
        <f>ROUND(E106*F106,2)</f>
        <v/>
      </c>
      <c r="H106" s="286">
        <f>G106/$G$172</f>
        <v/>
      </c>
      <c r="I106" s="297">
        <f>ROUND(F106*'Прил. 10'!$D$13,2)</f>
        <v/>
      </c>
      <c r="J106" s="297">
        <f>ROUND(I106*E106,2)</f>
        <v/>
      </c>
    </row>
    <row r="107" hidden="1" outlineLevel="1" ht="14.25" customFormat="1" customHeight="1" s="332">
      <c r="A107" s="405" t="n">
        <v>81</v>
      </c>
      <c r="B107" s="304" t="inlineStr">
        <is>
          <t>14.4.03.03-0002</t>
        </is>
      </c>
      <c r="C107" s="412" t="inlineStr">
        <is>
          <t>Лак битумный БТ-123</t>
        </is>
      </c>
      <c r="D107" s="405" t="inlineStr">
        <is>
          <t>т</t>
        </is>
      </c>
      <c r="E107" s="489" t="n">
        <v>0.0518592</v>
      </c>
      <c r="F107" s="414" t="n">
        <v>7826.9</v>
      </c>
      <c r="G107" s="297">
        <f>ROUND(E107*F107,2)</f>
        <v/>
      </c>
      <c r="H107" s="286">
        <f>G107/$G$172</f>
        <v/>
      </c>
      <c r="I107" s="297">
        <f>ROUND(F107*'Прил. 10'!$D$13,2)</f>
        <v/>
      </c>
      <c r="J107" s="297">
        <f>ROUND(I107*E107,2)</f>
        <v/>
      </c>
    </row>
    <row r="108" hidden="1" outlineLevel="1" ht="25.5" customFormat="1" customHeight="1" s="332">
      <c r="A108" s="405" t="n">
        <v>82</v>
      </c>
      <c r="B108" s="304" t="inlineStr">
        <is>
          <t>20.5.04.09-0002</t>
        </is>
      </c>
      <c r="C108" s="412" t="inlineStr">
        <is>
          <t>Сжимы типа У731М, для магистральных и ответвительных проводов и кабелей</t>
        </is>
      </c>
      <c r="D108" s="405" t="inlineStr">
        <is>
          <t>100 шт</t>
        </is>
      </c>
      <c r="E108" s="489" t="n">
        <v>1.32</v>
      </c>
      <c r="F108" s="414" t="n">
        <v>223.94</v>
      </c>
      <c r="G108" s="297">
        <f>ROUND(E108*F108,2)</f>
        <v/>
      </c>
      <c r="H108" s="286">
        <f>G108/$G$172</f>
        <v/>
      </c>
      <c r="I108" s="297">
        <f>ROUND(F108*'Прил. 10'!$D$13,2)</f>
        <v/>
      </c>
      <c r="J108" s="297">
        <f>ROUND(I108*E108,2)</f>
        <v/>
      </c>
    </row>
    <row r="109" hidden="1" outlineLevel="1" ht="14.25" customFormat="1" customHeight="1" s="332">
      <c r="A109" s="405" t="n">
        <v>83</v>
      </c>
      <c r="B109" s="304" t="inlineStr">
        <is>
          <t>01.7.15.07-0014</t>
        </is>
      </c>
      <c r="C109" s="412" t="inlineStr">
        <is>
          <t>Дюбели распорные полипропиленовые</t>
        </is>
      </c>
      <c r="D109" s="405" t="inlineStr">
        <is>
          <t>100 шт</t>
        </is>
      </c>
      <c r="E109" s="489" t="n">
        <v>3.4272</v>
      </c>
      <c r="F109" s="414" t="n">
        <v>86</v>
      </c>
      <c r="G109" s="297">
        <f>ROUND(E109*F109,2)</f>
        <v/>
      </c>
      <c r="H109" s="286">
        <f>G109/$G$172</f>
        <v/>
      </c>
      <c r="I109" s="297">
        <f>ROUND(F109*'Прил. 10'!$D$13,2)</f>
        <v/>
      </c>
      <c r="J109" s="297">
        <f>ROUND(I109*E109,2)</f>
        <v/>
      </c>
    </row>
    <row r="110" hidden="1" outlineLevel="1" ht="25.5" customFormat="1" customHeight="1" s="332">
      <c r="A110" s="405" t="n">
        <v>84</v>
      </c>
      <c r="B110" s="304" t="inlineStr">
        <is>
          <t>24.3.01.06-0043</t>
        </is>
      </c>
      <c r="C110" s="412" t="inlineStr">
        <is>
          <t>Трубы ПВХ, номинальный внутренний диаметр 25 мм {диам.23мм}</t>
        </is>
      </c>
      <c r="D110" s="405" t="inlineStr">
        <is>
          <t>м</t>
        </is>
      </c>
      <c r="E110" s="489" t="n">
        <v>81.59999999999999</v>
      </c>
      <c r="F110" s="414" t="n">
        <v>3.3</v>
      </c>
      <c r="G110" s="297">
        <f>ROUND(E110*F110,2)</f>
        <v/>
      </c>
      <c r="H110" s="286">
        <f>G110/$G$172</f>
        <v/>
      </c>
      <c r="I110" s="297">
        <f>ROUND(F110*'Прил. 10'!$D$13,2)</f>
        <v/>
      </c>
      <c r="J110" s="297">
        <f>ROUND(I110*E110,2)</f>
        <v/>
      </c>
    </row>
    <row r="111" hidden="1" outlineLevel="1" ht="14.25" customFormat="1" customHeight="1" s="332">
      <c r="A111" s="405" t="n">
        <v>85</v>
      </c>
      <c r="B111" s="304" t="inlineStr">
        <is>
          <t>01.3.02.09-0022</t>
        </is>
      </c>
      <c r="C111" s="412" t="inlineStr">
        <is>
          <t>Пропан-бутан смесь техническая</t>
        </is>
      </c>
      <c r="D111" s="405" t="inlineStr">
        <is>
          <t>кг</t>
        </is>
      </c>
      <c r="E111" s="489" t="n">
        <v>43.2</v>
      </c>
      <c r="F111" s="414" t="n">
        <v>6.09</v>
      </c>
      <c r="G111" s="297">
        <f>ROUND(E111*F111,2)</f>
        <v/>
      </c>
      <c r="H111" s="286">
        <f>G111/$G$172</f>
        <v/>
      </c>
      <c r="I111" s="297">
        <f>ROUND(F111*'Прил. 10'!$D$13,2)</f>
        <v/>
      </c>
      <c r="J111" s="297">
        <f>ROUND(I111*E111,2)</f>
        <v/>
      </c>
    </row>
    <row r="112" hidden="1" outlineLevel="1" ht="14.25" customFormat="1" customHeight="1" s="332">
      <c r="A112" s="405" t="n">
        <v>86</v>
      </c>
      <c r="B112" s="304" t="inlineStr">
        <is>
          <t>25.2.01.01-0017</t>
        </is>
      </c>
      <c r="C112" s="412" t="inlineStr">
        <is>
          <t>Бирки маркировочные пластмассовые</t>
        </is>
      </c>
      <c r="D112" s="405" t="inlineStr">
        <is>
          <t>100 шт</t>
        </is>
      </c>
      <c r="E112" s="489" t="n">
        <v>8.300000000000001</v>
      </c>
      <c r="F112" s="414" t="n">
        <v>30.74</v>
      </c>
      <c r="G112" s="297">
        <f>ROUND(E112*F112,2)</f>
        <v/>
      </c>
      <c r="H112" s="286">
        <f>G112/$G$172</f>
        <v/>
      </c>
      <c r="I112" s="297">
        <f>ROUND(F112*'Прил. 10'!$D$13,2)</f>
        <v/>
      </c>
      <c r="J112" s="297">
        <f>ROUND(I112*E112,2)</f>
        <v/>
      </c>
    </row>
    <row r="113" hidden="1" outlineLevel="1" ht="14.25" customFormat="1" customHeight="1" s="332">
      <c r="A113" s="405" t="n">
        <v>87</v>
      </c>
      <c r="B113" s="304" t="inlineStr">
        <is>
          <t>01.7.06.07-0002</t>
        </is>
      </c>
      <c r="C113" s="412" t="inlineStr">
        <is>
          <t>Лента монтажная, тип ЛМ-5</t>
        </is>
      </c>
      <c r="D113" s="405" t="inlineStr">
        <is>
          <t>10 м</t>
        </is>
      </c>
      <c r="E113" s="489" t="n">
        <v>36.6908</v>
      </c>
      <c r="F113" s="414" t="n">
        <v>6.9</v>
      </c>
      <c r="G113" s="297">
        <f>ROUND(E113*F113,2)</f>
        <v/>
      </c>
      <c r="H113" s="286">
        <f>G113/$G$172</f>
        <v/>
      </c>
      <c r="I113" s="297">
        <f>ROUND(F113*'Прил. 10'!$D$13,2)</f>
        <v/>
      </c>
      <c r="J113" s="297">
        <f>ROUND(I113*E113,2)</f>
        <v/>
      </c>
    </row>
    <row r="114" hidden="1" outlineLevel="1" ht="25.5" customFormat="1" customHeight="1" s="332">
      <c r="A114" s="405" t="n">
        <v>88</v>
      </c>
      <c r="B114" s="304" t="inlineStr">
        <is>
          <t>01.7.15.03-0033</t>
        </is>
      </c>
      <c r="C114" s="412" t="inlineStr">
        <is>
          <t>Болты с гайками и шайбами оцинкованные, диаметр 10 мм</t>
        </is>
      </c>
      <c r="D114" s="405" t="inlineStr">
        <is>
          <t>кг</t>
        </is>
      </c>
      <c r="E114" s="489" t="n">
        <v>9.343999999999999</v>
      </c>
      <c r="F114" s="414" t="n">
        <v>26.32</v>
      </c>
      <c r="G114" s="297">
        <f>ROUND(E114*F114,2)</f>
        <v/>
      </c>
      <c r="H114" s="286">
        <f>G114/$G$172</f>
        <v/>
      </c>
      <c r="I114" s="297">
        <f>ROUND(F114*'Прил. 10'!$D$13,2)</f>
        <v/>
      </c>
      <c r="J114" s="297">
        <f>ROUND(I114*E114,2)</f>
        <v/>
      </c>
    </row>
    <row r="115" hidden="1" outlineLevel="1" ht="14.25" customFormat="1" customHeight="1" s="332">
      <c r="A115" s="405" t="n">
        <v>89</v>
      </c>
      <c r="B115" s="304" t="inlineStr">
        <is>
          <t>01.7.20.03-0012</t>
        </is>
      </c>
      <c r="C115" s="412" t="inlineStr">
        <is>
          <t>Мешковина джутовая</t>
        </is>
      </c>
      <c r="D115" s="405" t="inlineStr">
        <is>
          <t>м2</t>
        </is>
      </c>
      <c r="E115" s="489" t="n">
        <v>28.8</v>
      </c>
      <c r="F115" s="414" t="n">
        <v>8.33</v>
      </c>
      <c r="G115" s="297">
        <f>ROUND(E115*F115,2)</f>
        <v/>
      </c>
      <c r="H115" s="286">
        <f>G115/$G$172</f>
        <v/>
      </c>
      <c r="I115" s="297">
        <f>ROUND(F115*'Прил. 10'!$D$13,2)</f>
        <v/>
      </c>
      <c r="J115" s="297">
        <f>ROUND(I115*E115,2)</f>
        <v/>
      </c>
    </row>
    <row r="116" hidden="1" outlineLevel="1" ht="38.25" customFormat="1" customHeight="1" s="332">
      <c r="A116" s="405" t="n">
        <v>90</v>
      </c>
      <c r="B116" s="304" t="inlineStr">
        <is>
          <t>20.2.03.26-0012</t>
        </is>
      </c>
      <c r="C116" s="412" t="inlineStr">
        <is>
          <t>Накладка соединительная сейсмостойкая горячеоцинкованная НС-4 (прим. Накладка на стык крыши GAN 80,арт.00886,ДКС)</t>
        </is>
      </c>
      <c r="D116" s="405" t="inlineStr">
        <is>
          <t>шт</t>
        </is>
      </c>
      <c r="E116" s="489" t="n">
        <v>8</v>
      </c>
      <c r="F116" s="414" t="n">
        <v>29.34</v>
      </c>
      <c r="G116" s="297">
        <f>ROUND(E116*F116,2)</f>
        <v/>
      </c>
      <c r="H116" s="286">
        <f>G116/$G$172</f>
        <v/>
      </c>
      <c r="I116" s="297">
        <f>ROUND(F116*'Прил. 10'!$D$13,2)</f>
        <v/>
      </c>
      <c r="J116" s="297">
        <f>ROUND(I116*E116,2)</f>
        <v/>
      </c>
    </row>
    <row r="117" hidden="1" outlineLevel="1" ht="51" customFormat="1" customHeight="1" s="332">
      <c r="A117" s="405" t="n">
        <v>91</v>
      </c>
      <c r="B117" s="304" t="inlineStr">
        <is>
          <t>20.2.10.04-0003</t>
        </is>
      </c>
      <c r="C117" s="412" t="inlineStr">
        <is>
          <t>Наконечники кабельные медные луженные ТМЛ-10 {Наконечник-гильза Е  16,0мм2 медный луженый (1 комплект-20 шт) ,  Е 16-12}</t>
        </is>
      </c>
      <c r="D117" s="405" t="inlineStr">
        <is>
          <t>100 шт</t>
        </is>
      </c>
      <c r="E117" s="489" t="n">
        <v>0.8</v>
      </c>
      <c r="F117" s="414" t="n">
        <v>231</v>
      </c>
      <c r="G117" s="297">
        <f>ROUND(E117*F117,2)</f>
        <v/>
      </c>
      <c r="H117" s="286">
        <f>G117/$G$172</f>
        <v/>
      </c>
      <c r="I117" s="297">
        <f>ROUND(F117*'Прил. 10'!$D$13,2)</f>
        <v/>
      </c>
      <c r="J117" s="297">
        <f>ROUND(I117*E117,2)</f>
        <v/>
      </c>
    </row>
    <row r="118" hidden="1" outlineLevel="1" ht="38.25" customFormat="1" customHeight="1" s="332">
      <c r="A118" s="405" t="n">
        <v>92</v>
      </c>
      <c r="B118" s="304" t="inlineStr">
        <is>
          <t>20.2.03.01-0003</t>
        </is>
      </c>
      <c r="C118" s="412" t="inlineStr">
        <is>
          <t>Заглушка торцевая сейсмостойкая ЗТ 0,15/0,4 (прим. Заглушка на один модуль,арт.45016,ДКС)</t>
        </is>
      </c>
      <c r="D118" s="405" t="inlineStr">
        <is>
          <t>шт</t>
        </is>
      </c>
      <c r="E118" s="489" t="n">
        <v>8</v>
      </c>
      <c r="F118" s="414" t="n">
        <v>21.99</v>
      </c>
      <c r="G118" s="297">
        <f>ROUND(E118*F118,2)</f>
        <v/>
      </c>
      <c r="H118" s="286">
        <f>G118/$G$172</f>
        <v/>
      </c>
      <c r="I118" s="297">
        <f>ROUND(F118*'Прил. 10'!$D$13,2)</f>
        <v/>
      </c>
      <c r="J118" s="297">
        <f>ROUND(I118*E118,2)</f>
        <v/>
      </c>
    </row>
    <row r="119" hidden="1" outlineLevel="1" ht="14.25" customFormat="1" customHeight="1" s="332">
      <c r="A119" s="405" t="n">
        <v>93</v>
      </c>
      <c r="B119" s="304" t="inlineStr">
        <is>
          <t>01.7.19.08-0012</t>
        </is>
      </c>
      <c r="C119" s="412" t="inlineStr">
        <is>
          <t>Рукав резиновый вентиляционный</t>
        </is>
      </c>
      <c r="D119" s="405" t="inlineStr">
        <is>
          <t>м</t>
        </is>
      </c>
      <c r="E119" s="489" t="n">
        <v>16</v>
      </c>
      <c r="F119" s="414" t="n">
        <v>10.7</v>
      </c>
      <c r="G119" s="297">
        <f>ROUND(E119*F119,2)</f>
        <v/>
      </c>
      <c r="H119" s="286">
        <f>G119/$G$172</f>
        <v/>
      </c>
      <c r="I119" s="297">
        <f>ROUND(F119*'Прил. 10'!$D$13,2)</f>
        <v/>
      </c>
      <c r="J119" s="297">
        <f>ROUND(I119*E119,2)</f>
        <v/>
      </c>
    </row>
    <row r="120" hidden="1" outlineLevel="1" ht="51" customFormat="1" customHeight="1" s="332">
      <c r="A120" s="405" t="n">
        <v>94</v>
      </c>
      <c r="B120" s="304" t="inlineStr">
        <is>
          <t>20.4.03.02-0021</t>
        </is>
      </c>
      <c r="C120" s="412" t="inlineStr">
        <is>
          <t>Суппорт Mosaic (прим. Рамка-суппорт для монтажа электроустановочных изделий в короб 80Х40 под 6 модулей PDA-3DN80,арт.10343,ДКС)</t>
        </is>
      </c>
      <c r="D120" s="405" t="inlineStr">
        <is>
          <t>100 шт</t>
        </is>
      </c>
      <c r="E120" s="489" t="n">
        <v>0.12</v>
      </c>
      <c r="F120" s="414" t="n">
        <v>1405.17</v>
      </c>
      <c r="G120" s="297">
        <f>ROUND(E120*F120,2)</f>
        <v/>
      </c>
      <c r="H120" s="286">
        <f>G120/$G$172</f>
        <v/>
      </c>
      <c r="I120" s="297">
        <f>ROUND(F120*'Прил. 10'!$D$13,2)</f>
        <v/>
      </c>
      <c r="J120" s="297">
        <f>ROUND(I120*E120,2)</f>
        <v/>
      </c>
    </row>
    <row r="121" hidden="1" outlineLevel="1" ht="25.5" customFormat="1" customHeight="1" s="332">
      <c r="A121" s="405" t="n">
        <v>95</v>
      </c>
      <c r="B121" s="304" t="inlineStr">
        <is>
          <t>25.2.01.01-0014</t>
        </is>
      </c>
      <c r="C121" s="412" t="inlineStr">
        <is>
          <t>Бирки кабельные маркировочные пластмассовые У136</t>
        </is>
      </c>
      <c r="D121" s="405" t="inlineStr">
        <is>
          <t>100 шт</t>
        </is>
      </c>
      <c r="E121" s="489" t="n">
        <v>8</v>
      </c>
      <c r="F121" s="414" t="n">
        <v>20</v>
      </c>
      <c r="G121" s="297">
        <f>ROUND(E121*F121,2)</f>
        <v/>
      </c>
      <c r="H121" s="286">
        <f>G121/$G$172</f>
        <v/>
      </c>
      <c r="I121" s="297">
        <f>ROUND(F121*'Прил. 10'!$D$13,2)</f>
        <v/>
      </c>
      <c r="J121" s="297">
        <f>ROUND(I121*E121,2)</f>
        <v/>
      </c>
    </row>
    <row r="122" hidden="1" outlineLevel="1" ht="38.25" customFormat="1" customHeight="1" s="332">
      <c r="A122" s="405" t="n">
        <v>96</v>
      </c>
      <c r="B122" s="304" t="inlineStr">
        <is>
          <t>10.2.02.08-0001</t>
        </is>
      </c>
      <c r="C122" s="412" t="inlineStr">
        <is>
          <t>Проволока медная, круглая, мягкая, электротехническая, диаметр 1,0-3,0 мм и выше</t>
        </is>
      </c>
      <c r="D122" s="405" t="inlineStr">
        <is>
          <t>т</t>
        </is>
      </c>
      <c r="E122" s="489" t="n">
        <v>0.004</v>
      </c>
      <c r="F122" s="414" t="n">
        <v>37517</v>
      </c>
      <c r="G122" s="297">
        <f>ROUND(E122*F122,2)</f>
        <v/>
      </c>
      <c r="H122" s="286">
        <f>G122/$G$172</f>
        <v/>
      </c>
      <c r="I122" s="297">
        <f>ROUND(F122*'Прил. 10'!$D$13,2)</f>
        <v/>
      </c>
      <c r="J122" s="297">
        <f>ROUND(I122*E122,2)</f>
        <v/>
      </c>
    </row>
    <row r="123" hidden="1" outlineLevel="1" ht="14.25" customFormat="1" customHeight="1" s="332">
      <c r="A123" s="405" t="n">
        <v>97</v>
      </c>
      <c r="B123" s="304" t="inlineStr">
        <is>
          <t>01.7.20.04-0003</t>
        </is>
      </c>
      <c r="C123" s="412" t="inlineStr">
        <is>
          <t>Нитки суровые</t>
        </is>
      </c>
      <c r="D123" s="405" t="inlineStr">
        <is>
          <t>кг</t>
        </is>
      </c>
      <c r="E123" s="489" t="n">
        <v>0.92904</v>
      </c>
      <c r="F123" s="414" t="n">
        <v>155</v>
      </c>
      <c r="G123" s="297">
        <f>ROUND(E123*F123,2)</f>
        <v/>
      </c>
      <c r="H123" s="286">
        <f>G123/$G$172</f>
        <v/>
      </c>
      <c r="I123" s="297">
        <f>ROUND(F123*'Прил. 10'!$D$13,2)</f>
        <v/>
      </c>
      <c r="J123" s="297">
        <f>ROUND(I123*E123,2)</f>
        <v/>
      </c>
    </row>
    <row r="124" hidden="1" outlineLevel="1" ht="25.5" customFormat="1" customHeight="1" s="332">
      <c r="A124" s="405" t="n">
        <v>98</v>
      </c>
      <c r="B124" s="304" t="inlineStr">
        <is>
          <t>24.3.01.06-0041</t>
        </is>
      </c>
      <c r="C124" s="412" t="inlineStr">
        <is>
          <t>Трубы ПВХ, номинальный внутренний диаметр 16 мм {диам.17мм}</t>
        </is>
      </c>
      <c r="D124" s="405" t="inlineStr">
        <is>
          <t>м</t>
        </is>
      </c>
      <c r="E124" s="489" t="n">
        <v>65.28</v>
      </c>
      <c r="F124" s="414" t="n">
        <v>2.15</v>
      </c>
      <c r="G124" s="297">
        <f>ROUND(E124*F124,2)</f>
        <v/>
      </c>
      <c r="H124" s="286">
        <f>G124/$G$172</f>
        <v/>
      </c>
      <c r="I124" s="297">
        <f>ROUND(F124*'Прил. 10'!$D$13,2)</f>
        <v/>
      </c>
      <c r="J124" s="297">
        <f>ROUND(I124*E124,2)</f>
        <v/>
      </c>
    </row>
    <row r="125" hidden="1" outlineLevel="1" ht="25.5" customFormat="1" customHeight="1" s="332">
      <c r="A125" s="405" t="n">
        <v>99</v>
      </c>
      <c r="B125" s="304" t="inlineStr">
        <is>
          <t>08.3.08.02-0052</t>
        </is>
      </c>
      <c r="C125" s="412" t="inlineStr">
        <is>
          <t>Уголок горячекатаный, марка стали ВСт3кп2, размер 50х50х5 мм</t>
        </is>
      </c>
      <c r="D125" s="405" t="inlineStr">
        <is>
          <t>т</t>
        </is>
      </c>
      <c r="E125" s="489" t="n">
        <v>0.024</v>
      </c>
      <c r="F125" s="414" t="n">
        <v>5763</v>
      </c>
      <c r="G125" s="297">
        <f>ROUND(E125*F125,2)</f>
        <v/>
      </c>
      <c r="H125" s="286">
        <f>G125/$G$172</f>
        <v/>
      </c>
      <c r="I125" s="297">
        <f>ROUND(F125*'Прил. 10'!$D$13,2)</f>
        <v/>
      </c>
      <c r="J125" s="297">
        <f>ROUND(I125*E125,2)</f>
        <v/>
      </c>
    </row>
    <row r="126" hidden="1" outlineLevel="1" ht="14.25" customFormat="1" customHeight="1" s="332">
      <c r="A126" s="405" t="n">
        <v>100</v>
      </c>
      <c r="B126" s="304" t="inlineStr">
        <is>
          <t>01.7.02.07-0011</t>
        </is>
      </c>
      <c r="C126" s="412" t="inlineStr">
        <is>
          <t>Прессшпан листовой, марка А</t>
        </is>
      </c>
      <c r="D126" s="405" t="inlineStr">
        <is>
          <t>кг</t>
        </is>
      </c>
      <c r="E126" s="489" t="n">
        <v>2.7964</v>
      </c>
      <c r="F126" s="414" t="n">
        <v>47.57</v>
      </c>
      <c r="G126" s="297">
        <f>ROUND(E126*F126,2)</f>
        <v/>
      </c>
      <c r="H126" s="286">
        <f>G126/$G$172</f>
        <v/>
      </c>
      <c r="I126" s="297">
        <f>ROUND(F126*'Прил. 10'!$D$13,2)</f>
        <v/>
      </c>
      <c r="J126" s="297">
        <f>ROUND(I126*E126,2)</f>
        <v/>
      </c>
    </row>
    <row r="127" hidden="1" outlineLevel="1" ht="14.25" customFormat="1" customHeight="1" s="332">
      <c r="A127" s="405" t="n">
        <v>101</v>
      </c>
      <c r="B127" s="304" t="inlineStr">
        <is>
          <t>01.7.20.04-0002</t>
        </is>
      </c>
      <c r="C127" s="412" t="inlineStr">
        <is>
          <t>Нитки капроновые</t>
        </is>
      </c>
      <c r="D127" s="405" t="inlineStr">
        <is>
          <t>кг</t>
        </is>
      </c>
      <c r="E127" s="489" t="n">
        <v>1.132</v>
      </c>
      <c r="F127" s="414" t="n">
        <v>112.57</v>
      </c>
      <c r="G127" s="297">
        <f>ROUND(E127*F127,2)</f>
        <v/>
      </c>
      <c r="H127" s="286">
        <f>G127/$G$172</f>
        <v/>
      </c>
      <c r="I127" s="297">
        <f>ROUND(F127*'Прил. 10'!$D$13,2)</f>
        <v/>
      </c>
      <c r="J127" s="297">
        <f>ROUND(I127*E127,2)</f>
        <v/>
      </c>
    </row>
    <row r="128" hidden="1" outlineLevel="1" ht="25.5" customFormat="1" customHeight="1" s="332">
      <c r="A128" s="405" t="n">
        <v>102</v>
      </c>
      <c r="B128" s="304" t="inlineStr">
        <is>
          <t>10.3.02.03-0028</t>
        </is>
      </c>
      <c r="C128" s="412" t="inlineStr">
        <is>
          <t>Припои оловянно-свинцовые малосурьмянистые, марка ПОССу 61-0,5</t>
        </is>
      </c>
      <c r="D128" s="405" t="inlineStr">
        <is>
          <t>кг</t>
        </is>
      </c>
      <c r="E128" s="489" t="n">
        <v>0.96</v>
      </c>
      <c r="F128" s="414" t="n">
        <v>125.46</v>
      </c>
      <c r="G128" s="297">
        <f>ROUND(E128*F128,2)</f>
        <v/>
      </c>
      <c r="H128" s="286">
        <f>G128/$G$172</f>
        <v/>
      </c>
      <c r="I128" s="297">
        <f>ROUND(F128*'Прил. 10'!$D$13,2)</f>
        <v/>
      </c>
      <c r="J128" s="297">
        <f>ROUND(I128*E128,2)</f>
        <v/>
      </c>
    </row>
    <row r="129" hidden="1" outlineLevel="1" ht="25.5" customFormat="1" customHeight="1" s="332">
      <c r="A129" s="405" t="n">
        <v>103</v>
      </c>
      <c r="B129" s="304" t="inlineStr">
        <is>
          <t>10.3.02.03-0013</t>
        </is>
      </c>
      <c r="C129" s="412" t="inlineStr">
        <is>
          <t>Припои оловянно-свинцовые бессурьмянистые, марка ПОС61</t>
        </is>
      </c>
      <c r="D129" s="405" t="inlineStr">
        <is>
          <t>т</t>
        </is>
      </c>
      <c r="E129" s="489" t="n">
        <v>0.0010096</v>
      </c>
      <c r="F129" s="414" t="n">
        <v>114220</v>
      </c>
      <c r="G129" s="297">
        <f>ROUND(E129*F129,2)</f>
        <v/>
      </c>
      <c r="H129" s="286">
        <f>G129/$G$172</f>
        <v/>
      </c>
      <c r="I129" s="297">
        <f>ROUND(F129*'Прил. 10'!$D$13,2)</f>
        <v/>
      </c>
      <c r="J129" s="297">
        <f>ROUND(I129*E129,2)</f>
        <v/>
      </c>
    </row>
    <row r="130" hidden="1" outlineLevel="1" ht="25.5" customFormat="1" customHeight="1" s="332">
      <c r="A130" s="405" t="n">
        <v>104</v>
      </c>
      <c r="B130" s="304" t="inlineStr">
        <is>
          <t>20.1.02.18-0001</t>
        </is>
      </c>
      <c r="C130" s="412" t="inlineStr">
        <is>
          <t>Хомут-стяжка кабельная (бандаж), размер 3,6х200 мм</t>
        </is>
      </c>
      <c r="D130" s="405" t="inlineStr">
        <is>
          <t>100 шт</t>
        </is>
      </c>
      <c r="E130" s="489" t="n">
        <v>20</v>
      </c>
      <c r="F130" s="414" t="n">
        <v>5.73</v>
      </c>
      <c r="G130" s="297">
        <f>ROUND(E130*F130,2)</f>
        <v/>
      </c>
      <c r="H130" s="286">
        <f>G130/$G$172</f>
        <v/>
      </c>
      <c r="I130" s="297">
        <f>ROUND(F130*'Прил. 10'!$D$13,2)</f>
        <v/>
      </c>
      <c r="J130" s="297">
        <f>ROUND(I130*E130,2)</f>
        <v/>
      </c>
    </row>
    <row r="131" hidden="1" outlineLevel="1" ht="38.25" customFormat="1" customHeight="1" s="332">
      <c r="A131" s="405" t="n">
        <v>105</v>
      </c>
      <c r="B131" s="304" t="inlineStr">
        <is>
          <t>20.2.03.08-0001</t>
        </is>
      </c>
      <c r="C131" s="412" t="inlineStr">
        <is>
          <t>Отвод Т-образный для лотка PNK 100 (прим. Тройник/отвод ,NTAN 80х40 арт.01756,ДКС)</t>
        </is>
      </c>
      <c r="D131" s="405" t="inlineStr">
        <is>
          <t>шт</t>
        </is>
      </c>
      <c r="E131" s="489" t="n">
        <v>4</v>
      </c>
      <c r="F131" s="414" t="n">
        <v>28.28</v>
      </c>
      <c r="G131" s="297">
        <f>ROUND(E131*F131,2)</f>
        <v/>
      </c>
      <c r="H131" s="286">
        <f>G131/$G$172</f>
        <v/>
      </c>
      <c r="I131" s="297">
        <f>ROUND(F131*'Прил. 10'!$D$13,2)</f>
        <v/>
      </c>
      <c r="J131" s="297">
        <f>ROUND(I131*E131,2)</f>
        <v/>
      </c>
    </row>
    <row r="132" hidden="1" outlineLevel="1" ht="51" customFormat="1" customHeight="1" s="332">
      <c r="A132" s="405" t="n">
        <v>106</v>
      </c>
      <c r="B132" s="304" t="inlineStr">
        <is>
          <t>20.4.03.02-0021</t>
        </is>
      </c>
      <c r="C132" s="412" t="inlineStr">
        <is>
          <t>Суппорт Mosaic (прим. Рамка-суппорт для монтажа электроустановочных изделий в короб 80Х40 под 2 модуля PDA-DN80,арт.10043,ДКС)</t>
        </is>
      </c>
      <c r="D132" s="405" t="inlineStr">
        <is>
          <t>100 шт</t>
        </is>
      </c>
      <c r="E132" s="489" t="n">
        <v>0.08</v>
      </c>
      <c r="F132" s="414" t="n">
        <v>1405.17</v>
      </c>
      <c r="G132" s="297">
        <f>ROUND(E132*F132,2)</f>
        <v/>
      </c>
      <c r="H132" s="286">
        <f>G132/$G$172</f>
        <v/>
      </c>
      <c r="I132" s="297">
        <f>ROUND(F132*'Прил. 10'!$D$13,2)</f>
        <v/>
      </c>
      <c r="J132" s="297">
        <f>ROUND(I132*E132,2)</f>
        <v/>
      </c>
    </row>
    <row r="133" hidden="1" outlineLevel="1" ht="14.25" customFormat="1" customHeight="1" s="332">
      <c r="A133" s="405" t="n">
        <v>107</v>
      </c>
      <c r="B133" s="304" t="inlineStr">
        <is>
          <t>14.4.03.11-0005</t>
        </is>
      </c>
      <c r="C133" s="412" t="inlineStr">
        <is>
          <t>Лак нитроцеллюлозный НЦ-62</t>
        </is>
      </c>
      <c r="D133" s="405" t="inlineStr">
        <is>
          <t>т</t>
        </is>
      </c>
      <c r="E133" s="489" t="n">
        <v>0.004</v>
      </c>
      <c r="F133" s="414" t="n">
        <v>27921.97</v>
      </c>
      <c r="G133" s="297">
        <f>ROUND(E133*F133,2)</f>
        <v/>
      </c>
      <c r="H133" s="286">
        <f>G133/$G$172</f>
        <v/>
      </c>
      <c r="I133" s="297">
        <f>ROUND(F133*'Прил. 10'!$D$13,2)</f>
        <v/>
      </c>
      <c r="J133" s="297">
        <f>ROUND(I133*E133,2)</f>
        <v/>
      </c>
    </row>
    <row r="134" hidden="1" outlineLevel="1" ht="14.25" customFormat="1" customHeight="1" s="332">
      <c r="A134" s="405" t="n">
        <v>108</v>
      </c>
      <c r="B134" s="304" t="inlineStr">
        <is>
          <t>24.3.01.01-0002</t>
        </is>
      </c>
      <c r="C134" s="412" t="inlineStr">
        <is>
          <t>Трубка полихлорвиниловая</t>
        </is>
      </c>
      <c r="D134" s="405" t="inlineStr">
        <is>
          <t>кг</t>
        </is>
      </c>
      <c r="E134" s="489" t="n">
        <v>2.72</v>
      </c>
      <c r="F134" s="414" t="n">
        <v>35.7</v>
      </c>
      <c r="G134" s="297">
        <f>ROUND(E134*F134,2)</f>
        <v/>
      </c>
      <c r="H134" s="286">
        <f>G134/$G$172</f>
        <v/>
      </c>
      <c r="I134" s="297">
        <f>ROUND(F134*'Прил. 10'!$D$13,2)</f>
        <v/>
      </c>
      <c r="J134" s="297">
        <f>ROUND(I134*E134,2)</f>
        <v/>
      </c>
    </row>
    <row r="135" hidden="1" outlineLevel="1" ht="25.5" customFormat="1" customHeight="1" s="332">
      <c r="A135" s="405" t="n">
        <v>109</v>
      </c>
      <c r="B135" s="304" t="inlineStr">
        <is>
          <t>01.7.19.04-0002</t>
        </is>
      </c>
      <c r="C135" s="412" t="inlineStr">
        <is>
          <t>Пластина резиновая рулонная вулканизированная</t>
        </is>
      </c>
      <c r="D135" s="405" t="inlineStr">
        <is>
          <t>кг</t>
        </is>
      </c>
      <c r="E135" s="489" t="n">
        <v>6</v>
      </c>
      <c r="F135" s="414" t="n">
        <v>13.56</v>
      </c>
      <c r="G135" s="297">
        <f>ROUND(E135*F135,2)</f>
        <v/>
      </c>
      <c r="H135" s="286">
        <f>G135/$G$172</f>
        <v/>
      </c>
      <c r="I135" s="297">
        <f>ROUND(F135*'Прил. 10'!$D$13,2)</f>
        <v/>
      </c>
      <c r="J135" s="297">
        <f>ROUND(I135*E135,2)</f>
        <v/>
      </c>
    </row>
    <row r="136" hidden="1" outlineLevel="1" ht="14.25" customFormat="1" customHeight="1" s="332">
      <c r="A136" s="405" t="n">
        <v>110</v>
      </c>
      <c r="B136" s="304" t="inlineStr">
        <is>
          <t>01.7.15.14-0165</t>
        </is>
      </c>
      <c r="C136" s="412" t="inlineStr">
        <is>
          <t>Шурупы с полукруглой головкой 4х40 мм</t>
        </is>
      </c>
      <c r="D136" s="405" t="inlineStr">
        <is>
          <t>т</t>
        </is>
      </c>
      <c r="E136" s="489" t="n">
        <v>0.0048432</v>
      </c>
      <c r="F136" s="414" t="n">
        <v>12430</v>
      </c>
      <c r="G136" s="297">
        <f>ROUND(E136*F136,2)</f>
        <v/>
      </c>
      <c r="H136" s="286">
        <f>G136/$G$172</f>
        <v/>
      </c>
      <c r="I136" s="297">
        <f>ROUND(F136*'Прил. 10'!$D$13,2)</f>
        <v/>
      </c>
      <c r="J136" s="297">
        <f>ROUND(I136*E136,2)</f>
        <v/>
      </c>
    </row>
    <row r="137" hidden="1" outlineLevel="1" ht="38.25" customFormat="1" customHeight="1" s="332">
      <c r="A137" s="405" t="n">
        <v>111</v>
      </c>
      <c r="B137" s="304" t="inlineStr">
        <is>
          <t>20.2.08.07-0047</t>
        </is>
      </c>
      <c r="C137" s="412" t="inlineStr">
        <is>
          <t>Скобы анодированные двухлапковые для крепления кабелей, проводов, труб к различным основаниям, СМД 25-26</t>
        </is>
      </c>
      <c r="D137" s="405" t="inlineStr">
        <is>
          <t>100 шт</t>
        </is>
      </c>
      <c r="E137" s="489" t="n">
        <v>0.8</v>
      </c>
      <c r="F137" s="414" t="n">
        <v>73.5</v>
      </c>
      <c r="G137" s="297">
        <f>ROUND(E137*F137,2)</f>
        <v/>
      </c>
      <c r="H137" s="286">
        <f>G137/$G$172</f>
        <v/>
      </c>
      <c r="I137" s="297">
        <f>ROUND(F137*'Прил. 10'!$D$13,2)</f>
        <v/>
      </c>
      <c r="J137" s="297">
        <f>ROUND(I137*E137,2)</f>
        <v/>
      </c>
    </row>
    <row r="138" hidden="1" outlineLevel="1" ht="14.25" customFormat="1" customHeight="1" s="332">
      <c r="A138" s="405" t="n">
        <v>112</v>
      </c>
      <c r="B138" s="304" t="inlineStr">
        <is>
          <t>01.7.06.12-0004</t>
        </is>
      </c>
      <c r="C138" s="412" t="inlineStr">
        <is>
          <t>Лента киперная, ширина 40 мм</t>
        </is>
      </c>
      <c r="D138" s="405" t="inlineStr">
        <is>
          <t>100 м</t>
        </is>
      </c>
      <c r="E138" s="489" t="n">
        <v>0.6143999999999999</v>
      </c>
      <c r="F138" s="414" t="n">
        <v>94</v>
      </c>
      <c r="G138" s="297">
        <f>ROUND(E138*F138,2)</f>
        <v/>
      </c>
      <c r="H138" s="286">
        <f>G138/$G$172</f>
        <v/>
      </c>
      <c r="I138" s="297">
        <f>ROUND(F138*'Прил. 10'!$D$13,2)</f>
        <v/>
      </c>
      <c r="J138" s="297">
        <f>ROUND(I138*E138,2)</f>
        <v/>
      </c>
    </row>
    <row r="139" hidden="1" outlineLevel="1" ht="14.25" customFormat="1" customHeight="1" s="332">
      <c r="A139" s="405" t="n">
        <v>113</v>
      </c>
      <c r="B139" s="304" t="inlineStr">
        <is>
          <t>01.7.07.29-0241</t>
        </is>
      </c>
      <c r="C139" s="412" t="inlineStr">
        <is>
          <t>Хомутик</t>
        </is>
      </c>
      <c r="D139" s="405" t="inlineStr">
        <is>
          <t>10 шт</t>
        </is>
      </c>
      <c r="E139" s="489" t="n">
        <v>0.8</v>
      </c>
      <c r="F139" s="414" t="n">
        <v>72</v>
      </c>
      <c r="G139" s="297">
        <f>ROUND(E139*F139,2)</f>
        <v/>
      </c>
      <c r="H139" s="286">
        <f>G139/$G$172</f>
        <v/>
      </c>
      <c r="I139" s="297">
        <f>ROUND(F139*'Прил. 10'!$D$13,2)</f>
        <v/>
      </c>
      <c r="J139" s="297">
        <f>ROUND(I139*E139,2)</f>
        <v/>
      </c>
    </row>
    <row r="140" hidden="1" outlineLevel="1" ht="25.5" customFormat="1" customHeight="1" s="332">
      <c r="A140" s="405" t="n">
        <v>114</v>
      </c>
      <c r="B140" s="304" t="inlineStr">
        <is>
          <t>21.2.03.05-0066</t>
        </is>
      </c>
      <c r="C140" s="412" t="inlineStr">
        <is>
          <t>Провод силовой установочный с медными жилами ПуГВ 1х2,5-450</t>
        </is>
      </c>
      <c r="D140" s="405" t="inlineStr">
        <is>
          <t>1000 м</t>
        </is>
      </c>
      <c r="E140" s="489" t="n">
        <v>0.02472</v>
      </c>
      <c r="F140" s="414" t="n">
        <v>2291.15</v>
      </c>
      <c r="G140" s="297">
        <f>ROUND(E140*F140,2)</f>
        <v/>
      </c>
      <c r="H140" s="286">
        <f>G140/$G$172</f>
        <v/>
      </c>
      <c r="I140" s="297">
        <f>ROUND(F140*'Прил. 10'!$D$13,2)</f>
        <v/>
      </c>
      <c r="J140" s="297">
        <f>ROUND(I140*E140,2)</f>
        <v/>
      </c>
    </row>
    <row r="141" hidden="1" outlineLevel="1" ht="14.25" customFormat="1" customHeight="1" s="332">
      <c r="A141" s="405" t="n">
        <v>115</v>
      </c>
      <c r="B141" s="304" t="inlineStr">
        <is>
          <t>01.7.11.06-0028</t>
        </is>
      </c>
      <c r="C141" s="412" t="inlineStr">
        <is>
          <t>Флюс ФКДТ</t>
        </is>
      </c>
      <c r="D141" s="405" t="inlineStr">
        <is>
          <t>кг</t>
        </is>
      </c>
      <c r="E141" s="489" t="n">
        <v>0.4</v>
      </c>
      <c r="F141" s="414" t="n">
        <v>138.76</v>
      </c>
      <c r="G141" s="297">
        <f>ROUND(E141*F141,2)</f>
        <v/>
      </c>
      <c r="H141" s="286">
        <f>G141/$G$172</f>
        <v/>
      </c>
      <c r="I141" s="297">
        <f>ROUND(F141*'Прил. 10'!$D$13,2)</f>
        <v/>
      </c>
      <c r="J141" s="297">
        <f>ROUND(I141*E141,2)</f>
        <v/>
      </c>
    </row>
    <row r="142" hidden="1" outlineLevel="1" ht="14.25" customFormat="1" customHeight="1" s="332">
      <c r="A142" s="405" t="n">
        <v>116</v>
      </c>
      <c r="B142" s="304" t="inlineStr">
        <is>
          <t>20.2.10.03-0021</t>
        </is>
      </c>
      <c r="C142" s="412" t="inlineStr">
        <is>
          <t>Наконечники кабельные П6-4Д-МУЗ</t>
        </is>
      </c>
      <c r="D142" s="405" t="inlineStr">
        <is>
          <t>100 шт</t>
        </is>
      </c>
      <c r="E142" s="489" t="n">
        <v>0.08</v>
      </c>
      <c r="F142" s="414" t="n">
        <v>580</v>
      </c>
      <c r="G142" s="297">
        <f>ROUND(E142*F142,2)</f>
        <v/>
      </c>
      <c r="H142" s="286">
        <f>G142/$G$172</f>
        <v/>
      </c>
      <c r="I142" s="297">
        <f>ROUND(F142*'Прил. 10'!$D$13,2)</f>
        <v/>
      </c>
      <c r="J142" s="297">
        <f>ROUND(I142*E142,2)</f>
        <v/>
      </c>
    </row>
    <row r="143" hidden="1" outlineLevel="1" ht="25.5" customFormat="1" customHeight="1" s="332">
      <c r="A143" s="405" t="n">
        <v>117</v>
      </c>
      <c r="B143" s="304" t="inlineStr">
        <is>
          <t>14.4.02.09-0402</t>
        </is>
      </c>
      <c r="C143" s="412" t="inlineStr">
        <is>
          <t>Краска маркировочная для электротехнических изделий</t>
        </is>
      </c>
      <c r="D143" s="405" t="inlineStr">
        <is>
          <t>кг</t>
        </is>
      </c>
      <c r="E143" s="489" t="n">
        <v>0.6</v>
      </c>
      <c r="F143" s="414" t="n">
        <v>68.87</v>
      </c>
      <c r="G143" s="297">
        <f>ROUND(E143*F143,2)</f>
        <v/>
      </c>
      <c r="H143" s="286">
        <f>G143/$G$172</f>
        <v/>
      </c>
      <c r="I143" s="297">
        <f>ROUND(F143*'Прил. 10'!$D$13,2)</f>
        <v/>
      </c>
      <c r="J143" s="297">
        <f>ROUND(I143*E143,2)</f>
        <v/>
      </c>
    </row>
    <row r="144" hidden="1" outlineLevel="1" ht="25.5" customFormat="1" customHeight="1" s="332">
      <c r="A144" s="405" t="n">
        <v>118</v>
      </c>
      <c r="B144" s="304" t="inlineStr">
        <is>
          <t>01.7.15.07-0022</t>
        </is>
      </c>
      <c r="C144" s="412" t="inlineStr">
        <is>
          <t>Дюбели распорные полиэтиленовые, размер 6х40 мм</t>
        </is>
      </c>
      <c r="D144" s="405" t="inlineStr">
        <is>
          <t>1000 шт</t>
        </is>
      </c>
      <c r="E144" s="489" t="n">
        <v>0.192</v>
      </c>
      <c r="F144" s="414" t="n">
        <v>180</v>
      </c>
      <c r="G144" s="297">
        <f>ROUND(E144*F144,2)</f>
        <v/>
      </c>
      <c r="H144" s="286">
        <f>G144/$G$172</f>
        <v/>
      </c>
      <c r="I144" s="297">
        <f>ROUND(F144*'Прил. 10'!$D$13,2)</f>
        <v/>
      </c>
      <c r="J144" s="297">
        <f>ROUND(I144*E144,2)</f>
        <v/>
      </c>
    </row>
    <row r="145" hidden="1" outlineLevel="1" ht="14.25" customFormat="1" customHeight="1" s="332">
      <c r="A145" s="405" t="n">
        <v>119</v>
      </c>
      <c r="B145" s="304" t="inlineStr">
        <is>
          <t>01.7.20.07-0002</t>
        </is>
      </c>
      <c r="C145" s="412" t="inlineStr">
        <is>
          <t>Шпагат из пенькового волокна</t>
        </is>
      </c>
      <c r="D145" s="405" t="inlineStr">
        <is>
          <t>кг</t>
        </is>
      </c>
      <c r="E145" s="489" t="n">
        <v>0.856</v>
      </c>
      <c r="F145" s="414" t="n">
        <v>37.6</v>
      </c>
      <c r="G145" s="297">
        <f>ROUND(E145*F145,2)</f>
        <v/>
      </c>
      <c r="H145" s="286">
        <f>G145/$G$172</f>
        <v/>
      </c>
      <c r="I145" s="297">
        <f>ROUND(F145*'Прил. 10'!$D$13,2)</f>
        <v/>
      </c>
      <c r="J145" s="297">
        <f>ROUND(I145*E145,2)</f>
        <v/>
      </c>
    </row>
    <row r="146" hidden="1" outlineLevel="1" ht="25.5" customFormat="1" customHeight="1" s="332">
      <c r="A146" s="405" t="n">
        <v>120</v>
      </c>
      <c r="B146" s="304" t="inlineStr">
        <is>
          <t>01.7.19.04-0031</t>
        </is>
      </c>
      <c r="C146" s="412" t="inlineStr">
        <is>
          <t>Прокладки резиновые (пластина техническая прессованная)</t>
        </is>
      </c>
      <c r="D146" s="405" t="inlineStr">
        <is>
          <t>кг</t>
        </is>
      </c>
      <c r="E146" s="489" t="n">
        <v>1.264</v>
      </c>
      <c r="F146" s="414" t="n">
        <v>23.09</v>
      </c>
      <c r="G146" s="297">
        <f>ROUND(E146*F146,2)</f>
        <v/>
      </c>
      <c r="H146" s="286">
        <f>G146/$G$172</f>
        <v/>
      </c>
      <c r="I146" s="297">
        <f>ROUND(F146*'Прил. 10'!$D$13,2)</f>
        <v/>
      </c>
      <c r="J146" s="297">
        <f>ROUND(I146*E146,2)</f>
        <v/>
      </c>
    </row>
    <row r="147" hidden="1" outlineLevel="1" ht="25.5" customFormat="1" customHeight="1" s="332">
      <c r="A147" s="405" t="n">
        <v>121</v>
      </c>
      <c r="B147" s="304" t="inlineStr">
        <is>
          <t>10.3.02.03-0012</t>
        </is>
      </c>
      <c r="C147" s="412" t="inlineStr">
        <is>
          <t>Припои оловянно-свинцовые бессурьмянистые, марка ПОС40</t>
        </is>
      </c>
      <c r="D147" s="405" t="inlineStr">
        <is>
          <t>т</t>
        </is>
      </c>
      <c r="E147" s="489" t="n">
        <v>0.00044</v>
      </c>
      <c r="F147" s="414" t="n">
        <v>65750</v>
      </c>
      <c r="G147" s="297">
        <f>ROUND(E147*F147,2)</f>
        <v/>
      </c>
      <c r="H147" s="286">
        <f>G147/$G$172</f>
        <v/>
      </c>
      <c r="I147" s="297">
        <f>ROUND(F147*'Прил. 10'!$D$13,2)</f>
        <v/>
      </c>
      <c r="J147" s="297">
        <f>ROUND(I147*E147,2)</f>
        <v/>
      </c>
    </row>
    <row r="148" hidden="1" outlineLevel="1" ht="14.25" customFormat="1" customHeight="1" s="332">
      <c r="A148" s="405" t="n">
        <v>122</v>
      </c>
      <c r="B148" s="304" t="inlineStr">
        <is>
          <t>14.1.01.01-0003</t>
        </is>
      </c>
      <c r="C148" s="412" t="inlineStr">
        <is>
          <t>Клей столярный сухой</t>
        </is>
      </c>
      <c r="D148" s="405" t="inlineStr">
        <is>
          <t>кг</t>
        </is>
      </c>
      <c r="E148" s="489" t="n">
        <v>1.6</v>
      </c>
      <c r="F148" s="414" t="n">
        <v>16.95</v>
      </c>
      <c r="G148" s="297">
        <f>ROUND(E148*F148,2)</f>
        <v/>
      </c>
      <c r="H148" s="286">
        <f>G148/$G$172</f>
        <v/>
      </c>
      <c r="I148" s="297">
        <f>ROUND(F148*'Прил. 10'!$D$13,2)</f>
        <v/>
      </c>
      <c r="J148" s="297">
        <f>ROUND(I148*E148,2)</f>
        <v/>
      </c>
    </row>
    <row r="149" hidden="1" outlineLevel="1" ht="14.25" customFormat="1" customHeight="1" s="332">
      <c r="A149" s="405" t="n">
        <v>123</v>
      </c>
      <c r="B149" s="304" t="inlineStr">
        <is>
          <t>01.3.01.05-0009</t>
        </is>
      </c>
      <c r="C149" s="412" t="inlineStr">
        <is>
          <t>Парафин нефтяной твердый Т-1</t>
        </is>
      </c>
      <c r="D149" s="405" t="inlineStr">
        <is>
          <t>т</t>
        </is>
      </c>
      <c r="E149" s="489" t="n">
        <v>0.00288</v>
      </c>
      <c r="F149" s="414" t="n">
        <v>8105.71</v>
      </c>
      <c r="G149" s="297">
        <f>ROUND(E149*F149,2)</f>
        <v/>
      </c>
      <c r="H149" s="286">
        <f>G149/$G$172</f>
        <v/>
      </c>
      <c r="I149" s="297">
        <f>ROUND(F149*'Прил. 10'!$D$13,2)</f>
        <v/>
      </c>
      <c r="J149" s="297">
        <f>ROUND(I149*E149,2)</f>
        <v/>
      </c>
    </row>
    <row r="150" hidden="1" outlineLevel="1" ht="25.5" customFormat="1" customHeight="1" s="332">
      <c r="A150" s="405" t="n">
        <v>124</v>
      </c>
      <c r="B150" s="304" t="inlineStr">
        <is>
          <t>01.7.07.03-0007</t>
        </is>
      </c>
      <c r="C150" s="412" t="inlineStr">
        <is>
          <t>Воск полиэтиленовый неокисленный ПВ-25, ПВ-100, ПВ-200, ПВ-300, ПВ-500</t>
        </is>
      </c>
      <c r="D150" s="405" t="inlineStr">
        <is>
          <t>т</t>
        </is>
      </c>
      <c r="E150" s="489" t="n">
        <v>0.0009940000000000001</v>
      </c>
      <c r="F150" s="414" t="n">
        <v>22419</v>
      </c>
      <c r="G150" s="297">
        <f>ROUND(E150*F150,2)</f>
        <v/>
      </c>
      <c r="H150" s="286">
        <f>G150/$G$172</f>
        <v/>
      </c>
      <c r="I150" s="297">
        <f>ROUND(F150*'Прил. 10'!$D$13,2)</f>
        <v/>
      </c>
      <c r="J150" s="297">
        <f>ROUND(I150*E150,2)</f>
        <v/>
      </c>
    </row>
    <row r="151" hidden="1" outlineLevel="1" ht="38.25" customFormat="1" customHeight="1" s="332">
      <c r="A151" s="405" t="n">
        <v>125</v>
      </c>
      <c r="B151" s="304" t="inlineStr">
        <is>
          <t>01.7.06.05-0042</t>
        </is>
      </c>
      <c r="C151" s="412" t="inlineStr">
        <is>
          <t>Лента липкая изоляционная на поликасиновом компаунде, ширина 20-30 мм, толщина от 0,14 до 0,19 мм</t>
        </is>
      </c>
      <c r="D151" s="405" t="inlineStr">
        <is>
          <t>кг</t>
        </is>
      </c>
      <c r="E151" s="489" t="n">
        <v>0.228</v>
      </c>
      <c r="F151" s="414" t="n">
        <v>91.29000000000001</v>
      </c>
      <c r="G151" s="297">
        <f>ROUND(E151*F151,2)</f>
        <v/>
      </c>
      <c r="H151" s="286">
        <f>G151/$G$172</f>
        <v/>
      </c>
      <c r="I151" s="297">
        <f>ROUND(F151*'Прил. 10'!$D$13,2)</f>
        <v/>
      </c>
      <c r="J151" s="297">
        <f>ROUND(I151*E151,2)</f>
        <v/>
      </c>
    </row>
    <row r="152" hidden="1" outlineLevel="1" ht="14.25" customFormat="1" customHeight="1" s="332">
      <c r="A152" s="405" t="n">
        <v>126</v>
      </c>
      <c r="B152" s="304" t="inlineStr">
        <is>
          <t>01.7.15.07-0152</t>
        </is>
      </c>
      <c r="C152" s="412" t="inlineStr">
        <is>
          <t>Дюбели с шурупом, размер 6х35 мм</t>
        </is>
      </c>
      <c r="D152" s="405" t="inlineStr">
        <is>
          <t>100 шт</t>
        </is>
      </c>
      <c r="E152" s="489" t="n">
        <v>2.52</v>
      </c>
      <c r="F152" s="414" t="n">
        <v>8</v>
      </c>
      <c r="G152" s="297">
        <f>ROUND(E152*F152,2)</f>
        <v/>
      </c>
      <c r="H152" s="286">
        <f>G152/$G$172</f>
        <v/>
      </c>
      <c r="I152" s="297">
        <f>ROUND(F152*'Прил. 10'!$D$13,2)</f>
        <v/>
      </c>
      <c r="J152" s="297">
        <f>ROUND(I152*E152,2)</f>
        <v/>
      </c>
    </row>
    <row r="153" hidden="1" outlineLevel="1" ht="38.25" customFormat="1" customHeight="1" s="332">
      <c r="A153" s="405" t="n">
        <v>127</v>
      </c>
      <c r="B153" s="304" t="inlineStr">
        <is>
          <t>01.7.06.05-0041</t>
        </is>
      </c>
      <c r="C153" s="412" t="inlineStr">
        <is>
          <t>Лента изоляционная прорезиненная односторонняя, ширина 20 мм, толщина 0,25-0,35 мм</t>
        </is>
      </c>
      <c r="D153" s="405" t="inlineStr">
        <is>
          <t>кг</t>
        </is>
      </c>
      <c r="E153" s="489" t="n">
        <v>0.656</v>
      </c>
      <c r="F153" s="414" t="n">
        <v>30.4</v>
      </c>
      <c r="G153" s="297">
        <f>ROUND(E153*F153,2)</f>
        <v/>
      </c>
      <c r="H153" s="286">
        <f>G153/$G$172</f>
        <v/>
      </c>
      <c r="I153" s="297">
        <f>ROUND(F153*'Прил. 10'!$D$13,2)</f>
        <v/>
      </c>
      <c r="J153" s="297">
        <f>ROUND(I153*E153,2)</f>
        <v/>
      </c>
    </row>
    <row r="154" hidden="1" outlineLevel="1" ht="38.25" customFormat="1" customHeight="1" s="332">
      <c r="A154" s="405" t="n">
        <v>128</v>
      </c>
      <c r="B154" s="304" t="inlineStr">
        <is>
          <t>08.3.07.01-0076</t>
        </is>
      </c>
      <c r="C154" s="412" t="inlineStr">
        <is>
          <t>Прокат полосовой, горячекатаный, марка стали Ст3сп, ширина 50-200 мм, толщина 4-5 мм</t>
        </is>
      </c>
      <c r="D154" s="405" t="inlineStr">
        <is>
          <t>т</t>
        </is>
      </c>
      <c r="E154" s="489" t="n">
        <v>0.003552</v>
      </c>
      <c r="F154" s="414" t="n">
        <v>5000</v>
      </c>
      <c r="G154" s="297">
        <f>ROUND(E154*F154,2)</f>
        <v/>
      </c>
      <c r="H154" s="286">
        <f>G154/$G$172</f>
        <v/>
      </c>
      <c r="I154" s="297">
        <f>ROUND(F154*'Прил. 10'!$D$13,2)</f>
        <v/>
      </c>
      <c r="J154" s="297">
        <f>ROUND(I154*E154,2)</f>
        <v/>
      </c>
    </row>
    <row r="155" hidden="1" outlineLevel="1" ht="14.25" customFormat="1" customHeight="1" s="332">
      <c r="A155" s="405" t="n">
        <v>129</v>
      </c>
      <c r="B155" s="304" t="inlineStr">
        <is>
          <t>14.4.02.09-0001</t>
        </is>
      </c>
      <c r="C155" s="412" t="inlineStr">
        <is>
          <t>Краска</t>
        </is>
      </c>
      <c r="D155" s="405" t="inlineStr">
        <is>
          <t>кг</t>
        </is>
      </c>
      <c r="E155" s="489" t="n">
        <v>0.6</v>
      </c>
      <c r="F155" s="414" t="n">
        <v>28.6</v>
      </c>
      <c r="G155" s="297">
        <f>ROUND(E155*F155,2)</f>
        <v/>
      </c>
      <c r="H155" s="286">
        <f>G155/$G$172</f>
        <v/>
      </c>
      <c r="I155" s="297">
        <f>ROUND(F155*'Прил. 10'!$D$13,2)</f>
        <v/>
      </c>
      <c r="J155" s="297">
        <f>ROUND(I155*E155,2)</f>
        <v/>
      </c>
    </row>
    <row r="156" hidden="1" outlineLevel="1" ht="25.5" customFormat="1" customHeight="1" s="332">
      <c r="A156" s="405" t="n">
        <v>130</v>
      </c>
      <c r="B156" s="304" t="inlineStr">
        <is>
          <t>01.7.06.03-0004</t>
        </is>
      </c>
      <c r="C156" s="412" t="inlineStr">
        <is>
          <t>Лента поливинилхлоридная техническая с липким слоем, толщина 0,4 мм</t>
        </is>
      </c>
      <c r="D156" s="405" t="inlineStr">
        <is>
          <t>кг</t>
        </is>
      </c>
      <c r="E156" s="489" t="n">
        <v>0.8</v>
      </c>
      <c r="F156" s="414" t="n">
        <v>21.3</v>
      </c>
      <c r="G156" s="297">
        <f>ROUND(E156*F156,2)</f>
        <v/>
      </c>
      <c r="H156" s="286">
        <f>G156/$G$172</f>
        <v/>
      </c>
      <c r="I156" s="297">
        <f>ROUND(F156*'Прил. 10'!$D$13,2)</f>
        <v/>
      </c>
      <c r="J156" s="297">
        <f>ROUND(I156*E156,2)</f>
        <v/>
      </c>
    </row>
    <row r="157" hidden="1" outlineLevel="1" ht="14.25" customFormat="1" customHeight="1" s="332">
      <c r="A157" s="405" t="n">
        <v>131</v>
      </c>
      <c r="B157" s="304" t="inlineStr">
        <is>
          <t>14.4.03.17-0011</t>
        </is>
      </c>
      <c r="C157" s="412" t="inlineStr">
        <is>
          <t>Лак электроизоляционный 318</t>
        </is>
      </c>
      <c r="D157" s="405" t="inlineStr">
        <is>
          <t>кг</t>
        </is>
      </c>
      <c r="E157" s="489" t="n">
        <v>0.456</v>
      </c>
      <c r="F157" s="414" t="n">
        <v>35.63</v>
      </c>
      <c r="G157" s="297">
        <f>ROUND(E157*F157,2)</f>
        <v/>
      </c>
      <c r="H157" s="286">
        <f>G157/$G$172</f>
        <v/>
      </c>
      <c r="I157" s="297">
        <f>ROUND(F157*'Прил. 10'!$D$13,2)</f>
        <v/>
      </c>
      <c r="J157" s="297">
        <f>ROUND(I157*E157,2)</f>
        <v/>
      </c>
    </row>
    <row r="158" hidden="1" outlineLevel="1" ht="25.5" customFormat="1" customHeight="1" s="332">
      <c r="A158" s="405" t="n">
        <v>132</v>
      </c>
      <c r="B158" s="304" t="inlineStr">
        <is>
          <t>01.7.15.03-0031</t>
        </is>
      </c>
      <c r="C158" s="412" t="inlineStr">
        <is>
          <t>Болты с гайками и шайбами оцинкованные, диаметр 6 мм</t>
        </is>
      </c>
      <c r="D158" s="405" t="inlineStr">
        <is>
          <t>кг</t>
        </is>
      </c>
      <c r="E158" s="489" t="n">
        <v>0.5696</v>
      </c>
      <c r="F158" s="414" t="n">
        <v>28.22</v>
      </c>
      <c r="G158" s="297">
        <f>ROUND(E158*F158,2)</f>
        <v/>
      </c>
      <c r="H158" s="286">
        <f>G158/$G$172</f>
        <v/>
      </c>
      <c r="I158" s="297">
        <f>ROUND(F158*'Прил. 10'!$D$13,2)</f>
        <v/>
      </c>
      <c r="J158" s="297">
        <f>ROUND(I158*E158,2)</f>
        <v/>
      </c>
    </row>
    <row r="159" hidden="1" outlineLevel="1" ht="25.5" customFormat="1" customHeight="1" s="332">
      <c r="A159" s="405" t="n">
        <v>133</v>
      </c>
      <c r="B159" s="304" t="inlineStr">
        <is>
          <t>01.7.11.07-0034</t>
        </is>
      </c>
      <c r="C159" s="412" t="inlineStr">
        <is>
          <t>Электроды сварочные Э42А, диаметр 4 мм</t>
        </is>
      </c>
      <c r="D159" s="405" t="inlineStr">
        <is>
          <t>кг</t>
        </is>
      </c>
      <c r="E159" s="489" t="n">
        <v>1.390528</v>
      </c>
      <c r="F159" s="414" t="n">
        <v>10.57</v>
      </c>
      <c r="G159" s="297">
        <f>ROUND(E159*F159,2)</f>
        <v/>
      </c>
      <c r="H159" s="286">
        <f>G159/$G$172</f>
        <v/>
      </c>
      <c r="I159" s="297">
        <f>ROUND(F159*'Прил. 10'!$D$13,2)</f>
        <v/>
      </c>
      <c r="J159" s="297">
        <f>ROUND(I159*E159,2)</f>
        <v/>
      </c>
    </row>
    <row r="160" hidden="1" outlineLevel="1" ht="14.25" customFormat="1" customHeight="1" s="332">
      <c r="A160" s="405" t="n">
        <v>134</v>
      </c>
      <c r="B160" s="304" t="inlineStr">
        <is>
          <t>14.4.04.09-0017</t>
        </is>
      </c>
      <c r="C160" s="412" t="inlineStr">
        <is>
          <t>Эмаль ХВ-124, защитная, зеленая</t>
        </is>
      </c>
      <c r="D160" s="405" t="inlineStr">
        <is>
          <t>т</t>
        </is>
      </c>
      <c r="E160" s="489" t="n">
        <v>0.00032</v>
      </c>
      <c r="F160" s="414" t="n">
        <v>28300.4</v>
      </c>
      <c r="G160" s="297">
        <f>ROUND(E160*F160,2)</f>
        <v/>
      </c>
      <c r="H160" s="286">
        <f>G160/$G$172</f>
        <v/>
      </c>
      <c r="I160" s="297">
        <f>ROUND(F160*'Прил. 10'!$D$13,2)</f>
        <v/>
      </c>
      <c r="J160" s="297">
        <f>ROUND(I160*E160,2)</f>
        <v/>
      </c>
    </row>
    <row r="161" hidden="1" outlineLevel="1" ht="14.25" customFormat="1" customHeight="1" s="332">
      <c r="A161" s="405" t="n">
        <v>135</v>
      </c>
      <c r="B161" s="304" t="inlineStr">
        <is>
          <t>01.7.15.03-0042</t>
        </is>
      </c>
      <c r="C161" s="412" t="inlineStr">
        <is>
          <t>Болты с гайками и шайбами строительные</t>
        </is>
      </c>
      <c r="D161" s="405" t="inlineStr">
        <is>
          <t>кг</t>
        </is>
      </c>
      <c r="E161" s="489" t="n">
        <v>0.812292</v>
      </c>
      <c r="F161" s="414" t="n">
        <v>9.039999999999999</v>
      </c>
      <c r="G161" s="297">
        <f>ROUND(E161*F161,2)</f>
        <v/>
      </c>
      <c r="H161" s="286">
        <f>G161/$G$172</f>
        <v/>
      </c>
      <c r="I161" s="297">
        <f>ROUND(F161*'Прил. 10'!$D$13,2)</f>
        <v/>
      </c>
      <c r="J161" s="297">
        <f>ROUND(I161*E161,2)</f>
        <v/>
      </c>
    </row>
    <row r="162" hidden="1" outlineLevel="1" ht="51" customFormat="1" customHeight="1" s="332">
      <c r="A162" s="405" t="n">
        <v>136</v>
      </c>
      <c r="B162" s="304" t="inlineStr">
        <is>
          <t>01.7.15.14-0043</t>
        </is>
      </c>
      <c r="C162" s="412" t="inlineStr">
        <is>
          <t>Шурупы самонарезающий прокалывающий, для крепления металлических профилей или листовых деталей 3,5/11 мм</t>
        </is>
      </c>
      <c r="D162" s="405" t="inlineStr">
        <is>
          <t>100 шт</t>
        </is>
      </c>
      <c r="E162" s="489" t="n">
        <v>3.4272</v>
      </c>
      <c r="F162" s="414" t="n">
        <v>2</v>
      </c>
      <c r="G162" s="297">
        <f>ROUND(E162*F162,2)</f>
        <v/>
      </c>
      <c r="H162" s="286">
        <f>G162/$G$172</f>
        <v/>
      </c>
      <c r="I162" s="297">
        <f>ROUND(F162*'Прил. 10'!$D$13,2)</f>
        <v/>
      </c>
      <c r="J162" s="297">
        <f>ROUND(I162*E162,2)</f>
        <v/>
      </c>
    </row>
    <row r="163" hidden="1" outlineLevel="1" ht="14.25" customFormat="1" customHeight="1" s="332">
      <c r="A163" s="405" t="n">
        <v>137</v>
      </c>
      <c r="B163" s="304" t="inlineStr">
        <is>
          <t>20.1.02.23-0082</t>
        </is>
      </c>
      <c r="C163" s="412" t="inlineStr">
        <is>
          <t>Перемычки гибкие, тип ПГС-50</t>
        </is>
      </c>
      <c r="D163" s="405" t="inlineStr">
        <is>
          <t>10 шт</t>
        </is>
      </c>
      <c r="E163" s="489" t="n">
        <v>0.12</v>
      </c>
      <c r="F163" s="414" t="n">
        <v>39</v>
      </c>
      <c r="G163" s="297">
        <f>ROUND(E163*F163,2)</f>
        <v/>
      </c>
      <c r="H163" s="286">
        <f>G163/$G$172</f>
        <v/>
      </c>
      <c r="I163" s="297">
        <f>ROUND(F163*'Прил. 10'!$D$13,2)</f>
        <v/>
      </c>
      <c r="J163" s="297">
        <f>ROUND(I163*E163,2)</f>
        <v/>
      </c>
    </row>
    <row r="164" hidden="1" outlineLevel="1" ht="14.25" customFormat="1" customHeight="1" s="332">
      <c r="A164" s="405" t="n">
        <v>138</v>
      </c>
      <c r="B164" s="304" t="inlineStr">
        <is>
          <t>22.2.02.11-0051</t>
        </is>
      </c>
      <c r="C164" s="412" t="inlineStr">
        <is>
          <t>Гайки установочные заземляющие</t>
        </is>
      </c>
      <c r="D164" s="405" t="inlineStr">
        <is>
          <t>100 шт</t>
        </is>
      </c>
      <c r="E164" s="489" t="n">
        <v>0.05</v>
      </c>
      <c r="F164" s="414" t="n">
        <v>88.5</v>
      </c>
      <c r="G164" s="297">
        <f>ROUND(E164*F164,2)</f>
        <v/>
      </c>
      <c r="H164" s="286">
        <f>G164/$G$172</f>
        <v/>
      </c>
      <c r="I164" s="297">
        <f>ROUND(F164*'Прил. 10'!$D$13,2)</f>
        <v/>
      </c>
      <c r="J164" s="297">
        <f>ROUND(I164*E164,2)</f>
        <v/>
      </c>
    </row>
    <row r="165" hidden="1" outlineLevel="1" ht="14.25" customFormat="1" customHeight="1" s="332">
      <c r="A165" s="405" t="n">
        <v>139</v>
      </c>
      <c r="B165" s="304" t="inlineStr">
        <is>
          <t>20.2.02.02-0011</t>
        </is>
      </c>
      <c r="C165" s="412" t="inlineStr">
        <is>
          <t>Заглушки</t>
        </is>
      </c>
      <c r="D165" s="405" t="inlineStr">
        <is>
          <t>10 шт</t>
        </is>
      </c>
      <c r="E165" s="489" t="n">
        <v>0.204</v>
      </c>
      <c r="F165" s="414" t="n">
        <v>19.9</v>
      </c>
      <c r="G165" s="297">
        <f>ROUND(E165*F165,2)</f>
        <v/>
      </c>
      <c r="H165" s="286">
        <f>G165/$G$172</f>
        <v/>
      </c>
      <c r="I165" s="297">
        <f>ROUND(F165*'Прил. 10'!$D$13,2)</f>
        <v/>
      </c>
      <c r="J165" s="297">
        <f>ROUND(I165*E165,2)</f>
        <v/>
      </c>
    </row>
    <row r="166" hidden="1" outlineLevel="1" ht="14.25" customFormat="1" customHeight="1" s="332">
      <c r="A166" s="405" t="n">
        <v>140</v>
      </c>
      <c r="B166" s="304" t="inlineStr">
        <is>
          <t>01.7.20.04-0004</t>
        </is>
      </c>
      <c r="C166" s="412" t="inlineStr">
        <is>
          <t>Нитки хлопчатобумажные швейные</t>
        </is>
      </c>
      <c r="D166" s="405" t="inlineStr">
        <is>
          <t>кг</t>
        </is>
      </c>
      <c r="E166" s="489" t="n">
        <v>0.04</v>
      </c>
      <c r="F166" s="414" t="n">
        <v>100.12</v>
      </c>
      <c r="G166" s="297">
        <f>ROUND(E166*F166,2)</f>
        <v/>
      </c>
      <c r="H166" s="286">
        <f>G166/$G$172</f>
        <v/>
      </c>
      <c r="I166" s="297">
        <f>ROUND(F166*'Прил. 10'!$D$13,2)</f>
        <v/>
      </c>
      <c r="J166" s="297">
        <f>ROUND(I166*E166,2)</f>
        <v/>
      </c>
    </row>
    <row r="167" hidden="1" outlineLevel="1" ht="14.25" customFormat="1" customHeight="1" s="332">
      <c r="A167" s="405" t="n">
        <v>141</v>
      </c>
      <c r="B167" s="304" t="inlineStr">
        <is>
          <t>01.7.06.11-0021</t>
        </is>
      </c>
      <c r="C167" s="412" t="inlineStr">
        <is>
          <t>Лента ФУМ</t>
        </is>
      </c>
      <c r="D167" s="405" t="inlineStr">
        <is>
          <t>кг</t>
        </is>
      </c>
      <c r="E167" s="489" t="n">
        <v>0.0064</v>
      </c>
      <c r="F167" s="414" t="n">
        <v>444</v>
      </c>
      <c r="G167" s="297">
        <f>ROUND(E167*F167,2)</f>
        <v/>
      </c>
      <c r="H167" s="286">
        <f>G167/$G$172</f>
        <v/>
      </c>
      <c r="I167" s="297">
        <f>ROUND(F167*'Прил. 10'!$D$13,2)</f>
        <v/>
      </c>
      <c r="J167" s="297">
        <f>ROUND(I167*E167,2)</f>
        <v/>
      </c>
    </row>
    <row r="168" hidden="1" outlineLevel="1" ht="25.5" customFormat="1" customHeight="1" s="332">
      <c r="A168" s="405" t="n">
        <v>142</v>
      </c>
      <c r="B168" s="304" t="inlineStr">
        <is>
          <t>01.7.06.03-0023</t>
        </is>
      </c>
      <c r="C168" s="412" t="inlineStr">
        <is>
          <t>Лента полиэтиленовая с липким слоем, марка А</t>
        </is>
      </c>
      <c r="D168" s="405" t="inlineStr">
        <is>
          <t>кг</t>
        </is>
      </c>
      <c r="E168" s="489" t="n">
        <v>0.06560000000000001</v>
      </c>
      <c r="F168" s="414" t="n">
        <v>39.02</v>
      </c>
      <c r="G168" s="297">
        <f>ROUND(E168*F168,2)</f>
        <v/>
      </c>
      <c r="H168" s="286">
        <f>G168/$G$172</f>
        <v/>
      </c>
      <c r="I168" s="297">
        <f>ROUND(F168*'Прил. 10'!$D$13,2)</f>
        <v/>
      </c>
      <c r="J168" s="297">
        <f>ROUND(I168*E168,2)</f>
        <v/>
      </c>
    </row>
    <row r="169" hidden="1" outlineLevel="1" ht="14.25" customFormat="1" customHeight="1" s="332">
      <c r="A169" s="405" t="n">
        <v>143</v>
      </c>
      <c r="B169" s="304" t="inlineStr">
        <is>
          <t>01.7.03.04-0001</t>
        </is>
      </c>
      <c r="C169" s="412" t="inlineStr">
        <is>
          <t>Электроэнергия</t>
        </is>
      </c>
      <c r="D169" s="405" t="inlineStr">
        <is>
          <t>кВт-ч</t>
        </is>
      </c>
      <c r="E169" s="489" t="n">
        <v>2.736</v>
      </c>
      <c r="F169" s="414" t="n">
        <v>0.4</v>
      </c>
      <c r="G169" s="297">
        <f>ROUND(E169*F169,2)</f>
        <v/>
      </c>
      <c r="H169" s="286">
        <f>G169/$G$172</f>
        <v/>
      </c>
      <c r="I169" s="297">
        <f>ROUND(F169*'Прил. 10'!$D$13,2)</f>
        <v/>
      </c>
      <c r="J169" s="297">
        <f>ROUND(I169*E169,2)</f>
        <v/>
      </c>
    </row>
    <row r="170" hidden="1" outlineLevel="1" ht="25.5" customFormat="1" customHeight="1" s="332">
      <c r="A170" s="405" t="n">
        <v>144</v>
      </c>
      <c r="B170" s="304" t="inlineStr">
        <is>
          <t>01.7.15.04-0011</t>
        </is>
      </c>
      <c r="C170" s="412" t="inlineStr">
        <is>
          <t>Винты с полукруглой головкой, длина 50 мм</t>
        </is>
      </c>
      <c r="D170" s="405" t="inlineStr">
        <is>
          <t>т</t>
        </is>
      </c>
      <c r="E170" s="489" t="n">
        <v>1.6e-05</v>
      </c>
      <c r="F170" s="414" t="n">
        <v>12430</v>
      </c>
      <c r="G170" s="297">
        <f>ROUND(E170*F170,2)</f>
        <v/>
      </c>
      <c r="H170" s="286">
        <f>G170/$G$172</f>
        <v/>
      </c>
      <c r="I170" s="297">
        <f>ROUND(F170*'Прил. 10'!$D$13,2)</f>
        <v/>
      </c>
      <c r="J170" s="297">
        <f>ROUND(I170*E170,2)</f>
        <v/>
      </c>
    </row>
    <row r="171" collapsed="1" ht="14.25" customFormat="1" customHeight="1" s="332">
      <c r="A171" s="405" t="n"/>
      <c r="B171" s="405" t="n"/>
      <c r="C171" s="412" t="inlineStr">
        <is>
          <t>Итого прочие материалы</t>
        </is>
      </c>
      <c r="D171" s="405" t="n"/>
      <c r="E171" s="413" t="n"/>
      <c r="F171" s="414" t="n"/>
      <c r="G171" s="312">
        <f>SUM(G72:G170)</f>
        <v/>
      </c>
      <c r="H171" s="286">
        <f>G171/$G$172</f>
        <v/>
      </c>
      <c r="I171" s="297" t="n"/>
      <c r="J171" s="312">
        <f>SUM(J72:J170)</f>
        <v/>
      </c>
    </row>
    <row r="172" ht="14.25" customFormat="1" customHeight="1" s="332">
      <c r="A172" s="405" t="n"/>
      <c r="B172" s="405" t="n"/>
      <c r="C172" s="396" t="inlineStr">
        <is>
          <t>Итого по разделу «Материалы»</t>
        </is>
      </c>
      <c r="D172" s="405" t="n"/>
      <c r="E172" s="413" t="n"/>
      <c r="F172" s="414" t="n"/>
      <c r="G172" s="297">
        <f>G71+G171</f>
        <v/>
      </c>
      <c r="H172" s="286">
        <f>G172/$G$172</f>
        <v/>
      </c>
      <c r="I172" s="297" t="n"/>
      <c r="J172" s="297">
        <f>J71+J171</f>
        <v/>
      </c>
    </row>
    <row r="173" ht="14.25" customFormat="1" customHeight="1" s="332">
      <c r="A173" s="405" t="n"/>
      <c r="B173" s="405" t="n"/>
      <c r="C173" s="412" t="inlineStr">
        <is>
          <t>ИТОГО ПО РМ</t>
        </is>
      </c>
      <c r="D173" s="405" t="n"/>
      <c r="E173" s="413" t="n"/>
      <c r="F173" s="414" t="n"/>
      <c r="G173" s="297">
        <f>G18+G44+G172</f>
        <v/>
      </c>
      <c r="H173" s="415" t="n"/>
      <c r="I173" s="297" t="n"/>
      <c r="J173" s="297">
        <f>J18+J44+J172</f>
        <v/>
      </c>
    </row>
    <row r="174" ht="14.25" customFormat="1" customHeight="1" s="332">
      <c r="A174" s="405" t="n"/>
      <c r="B174" s="405" t="n"/>
      <c r="C174" s="412" t="inlineStr">
        <is>
          <t>Накладные расходы</t>
        </is>
      </c>
      <c r="D174" s="315" t="n">
        <v>0.9</v>
      </c>
      <c r="E174" s="413" t="n"/>
      <c r="F174" s="414" t="n"/>
      <c r="G174" s="297">
        <f>D174*($G$15+$G$17)</f>
        <v/>
      </c>
      <c r="H174" s="415" t="n"/>
      <c r="I174" s="297" t="n"/>
      <c r="J174" s="297">
        <f>ROUND(D174*(J18+J20),2)</f>
        <v/>
      </c>
    </row>
    <row r="175" ht="14.25" customFormat="1" customHeight="1" s="332">
      <c r="A175" s="405" t="n"/>
      <c r="B175" s="405" t="n"/>
      <c r="C175" s="412" t="inlineStr">
        <is>
          <t>Сметная прибыль</t>
        </is>
      </c>
      <c r="D175" s="315" t="n">
        <v>0.46</v>
      </c>
      <c r="E175" s="413" t="n"/>
      <c r="F175" s="414" t="n"/>
      <c r="G175" s="297">
        <f>D175*($G$15+$G$17)</f>
        <v/>
      </c>
      <c r="H175" s="415" t="n"/>
      <c r="I175" s="297" t="n"/>
      <c r="J175" s="297">
        <f>ROUND(D175*(J18+J20),2)</f>
        <v/>
      </c>
    </row>
    <row r="176" ht="14.25" customFormat="1" customHeight="1" s="332">
      <c r="A176" s="405" t="n"/>
      <c r="B176" s="405" t="n"/>
      <c r="C176" s="412" t="inlineStr">
        <is>
          <t>Итого СМР (с НР и СП)</t>
        </is>
      </c>
      <c r="D176" s="405" t="n"/>
      <c r="E176" s="413" t="n"/>
      <c r="F176" s="414" t="n"/>
      <c r="G176" s="297">
        <f>G18+G44+G172+G174+G175</f>
        <v/>
      </c>
      <c r="H176" s="415" t="n"/>
      <c r="I176" s="297" t="n"/>
      <c r="J176" s="297">
        <f>J18+J44+J172+J174+J175</f>
        <v/>
      </c>
    </row>
    <row r="177" ht="14.25" customFormat="1" customHeight="1" s="332">
      <c r="A177" s="405" t="n"/>
      <c r="B177" s="405" t="n"/>
      <c r="C177" s="412" t="inlineStr">
        <is>
          <t>ВСЕГО СМР + ОБОРУДОВАНИЕ</t>
        </is>
      </c>
      <c r="D177" s="405" t="n"/>
      <c r="E177" s="413" t="n"/>
      <c r="F177" s="414" t="n"/>
      <c r="G177" s="297">
        <f>G176+G64</f>
        <v/>
      </c>
      <c r="H177" s="415" t="n"/>
      <c r="I177" s="297" t="n"/>
      <c r="J177" s="297">
        <f>J176+J64</f>
        <v/>
      </c>
    </row>
    <row r="178" ht="34.5" customFormat="1" customHeight="1" s="332">
      <c r="A178" s="405" t="n"/>
      <c r="B178" s="405" t="n"/>
      <c r="C178" s="412" t="inlineStr">
        <is>
          <t>ИТОГО ПОКАЗАТЕЛЬ НА ЕД. ИЗМ.</t>
        </is>
      </c>
      <c r="D178" s="405" t="inlineStr">
        <is>
          <t>ед</t>
        </is>
      </c>
      <c r="E178" s="492" t="n">
        <v>1</v>
      </c>
      <c r="F178" s="414" t="n"/>
      <c r="G178" s="297">
        <f>G177/E178</f>
        <v/>
      </c>
      <c r="H178" s="415" t="n"/>
      <c r="I178" s="297" t="n"/>
      <c r="J178" s="297">
        <f>J177/E178</f>
        <v/>
      </c>
    </row>
    <row r="180" ht="14.25" customFormat="1" customHeight="1" s="332">
      <c r="A180" s="331" t="inlineStr">
        <is>
          <t>Составил ______________________     Е. М. Добровольская</t>
        </is>
      </c>
    </row>
    <row r="181" ht="14.25" customFormat="1" customHeight="1" s="332">
      <c r="A181" s="334" t="inlineStr">
        <is>
          <t xml:space="preserve">                         (подпись, инициалы, фамилия)</t>
        </is>
      </c>
    </row>
    <row r="182" ht="14.25" customFormat="1" customHeight="1" s="332">
      <c r="A182" s="331" t="n"/>
    </row>
    <row r="183" ht="14.25" customFormat="1" customHeight="1" s="332">
      <c r="A183" s="331" t="inlineStr">
        <is>
          <t>Проверил ______________________        А.В. Костянецкая</t>
        </is>
      </c>
    </row>
    <row r="184" ht="14.25" customFormat="1" customHeight="1" s="332">
      <c r="A184" s="33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0:B11"/>
    <mergeCell ref="B46:H46"/>
    <mergeCell ref="B22:H22"/>
    <mergeCell ref="B66:H66"/>
    <mergeCell ref="B21:H21"/>
    <mergeCell ref="D6:J6"/>
    <mergeCell ref="A10:A11"/>
    <mergeCell ref="A8:H8"/>
    <mergeCell ref="B67:H67"/>
    <mergeCell ref="D10:D11"/>
    <mergeCell ref="B13:H13"/>
    <mergeCell ref="I10:J10"/>
    <mergeCell ref="B19:H19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4"/>
  <sheetViews>
    <sheetView view="pageBreakPreview" topLeftCell="A22" workbookViewId="0">
      <selection activeCell="C29" sqref="C29"/>
    </sheetView>
  </sheetViews>
  <sheetFormatPr baseColWidth="8" defaultRowHeight="15"/>
  <cols>
    <col width="5.7109375" customWidth="1" style="371" min="1" max="1"/>
    <col width="17.5703125" customWidth="1" style="371" min="2" max="2"/>
    <col width="39.140625" customWidth="1" style="371" min="3" max="3"/>
    <col width="10.7109375" customWidth="1" style="371" min="4" max="4"/>
    <col width="13.85546875" customWidth="1" style="371" min="5" max="5"/>
    <col width="13.28515625" customWidth="1" style="371" min="6" max="6"/>
    <col width="14.140625" customWidth="1" style="371" min="7" max="7"/>
  </cols>
  <sheetData>
    <row r="1">
      <c r="A1" s="426" t="inlineStr">
        <is>
          <t>Приложение №6</t>
        </is>
      </c>
    </row>
    <row r="2" ht="21.75" customHeight="1" s="371">
      <c r="A2" s="426" t="n"/>
      <c r="B2" s="426" t="n"/>
      <c r="C2" s="426" t="n"/>
      <c r="D2" s="426" t="n"/>
      <c r="E2" s="426" t="n"/>
      <c r="F2" s="426" t="n"/>
      <c r="G2" s="426" t="n"/>
    </row>
    <row r="3">
      <c r="A3" s="378" t="inlineStr">
        <is>
          <t>Расчет стоимости оборудования</t>
        </is>
      </c>
    </row>
    <row r="4" ht="25.5" customHeight="1" s="371">
      <c r="A4" s="381" t="inlineStr">
        <is>
          <t>Наименование разрабатываемого показателя УНЦ — Система видеоаналитики на 128 видеокамер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71">
      <c r="A6" s="431" t="inlineStr">
        <is>
          <t>№ пп.</t>
        </is>
      </c>
      <c r="B6" s="431" t="inlineStr">
        <is>
          <t>Код ресурса</t>
        </is>
      </c>
      <c r="C6" s="431" t="inlineStr">
        <is>
          <t>Наименование</t>
        </is>
      </c>
      <c r="D6" s="431" t="inlineStr">
        <is>
          <t>Ед. изм.</t>
        </is>
      </c>
      <c r="E6" s="405" t="inlineStr">
        <is>
          <t>Кол-во единиц по проектным данным</t>
        </is>
      </c>
      <c r="F6" s="431" t="inlineStr">
        <is>
          <t>Сметная стоимость в ценах на 01.01.2000 (руб.)</t>
        </is>
      </c>
      <c r="G6" s="478" t="n"/>
    </row>
    <row r="7">
      <c r="A7" s="480" t="n"/>
      <c r="B7" s="480" t="n"/>
      <c r="C7" s="480" t="n"/>
      <c r="D7" s="480" t="n"/>
      <c r="E7" s="480" t="n"/>
      <c r="F7" s="405" t="inlineStr">
        <is>
          <t>на ед. изм.</t>
        </is>
      </c>
      <c r="G7" s="405" t="inlineStr">
        <is>
          <t>общая</t>
        </is>
      </c>
    </row>
    <row r="8">
      <c r="A8" s="405" t="n">
        <v>1</v>
      </c>
      <c r="B8" s="405" t="n">
        <v>2</v>
      </c>
      <c r="C8" s="405" t="n">
        <v>3</v>
      </c>
      <c r="D8" s="405" t="n">
        <v>4</v>
      </c>
      <c r="E8" s="405" t="n">
        <v>5</v>
      </c>
      <c r="F8" s="405" t="n">
        <v>6</v>
      </c>
      <c r="G8" s="405" t="n">
        <v>7</v>
      </c>
    </row>
    <row r="9" ht="15" customHeight="1" s="371">
      <c r="A9" s="201" t="n"/>
      <c r="B9" s="412" t="inlineStr">
        <is>
          <t>ИНЖЕНЕРНОЕ ОБОРУДОВАНИЕ</t>
        </is>
      </c>
      <c r="C9" s="477" t="n"/>
      <c r="D9" s="477" t="n"/>
      <c r="E9" s="477" t="n"/>
      <c r="F9" s="477" t="n"/>
      <c r="G9" s="478" t="n"/>
    </row>
    <row r="10" ht="27" customHeight="1" s="371">
      <c r="A10" s="405" t="n"/>
      <c r="B10" s="396" t="n"/>
      <c r="C10" s="412" t="inlineStr">
        <is>
          <t>ИТОГО ИНЖЕНЕРНОЕ ОБОРУДОВАНИЕ</t>
        </is>
      </c>
      <c r="D10" s="396" t="n"/>
      <c r="E10" s="148" t="n"/>
      <c r="F10" s="414" t="n"/>
      <c r="G10" s="414" t="n">
        <v>0</v>
      </c>
    </row>
    <row r="11">
      <c r="A11" s="405" t="n"/>
      <c r="B11" s="412" t="inlineStr">
        <is>
          <t>ТЕХНОЛОГИЧЕСКОЕ ОБОРУДОВАНИЕ</t>
        </is>
      </c>
      <c r="C11" s="477" t="n"/>
      <c r="D11" s="477" t="n"/>
      <c r="E11" s="477" t="n"/>
      <c r="F11" s="477" t="n"/>
      <c r="G11" s="478" t="n"/>
    </row>
    <row r="12" ht="59.25" customHeight="1" s="371">
      <c r="A12" s="405" t="n">
        <v>1</v>
      </c>
      <c r="B12" s="318">
        <f>'Прил.5 Расчет СМР и ОБ'!B47</f>
        <v/>
      </c>
      <c r="C12" s="318">
        <f>'Прил.5 Расчет СМР и ОБ'!C47</f>
        <v/>
      </c>
      <c r="D12" s="304">
        <f>'Прил.5 Расчет СМР и ОБ'!D47</f>
        <v/>
      </c>
      <c r="E12" s="304">
        <f>'Прил.5 Расчет СМР и ОБ'!E47</f>
        <v/>
      </c>
      <c r="F12" s="304">
        <f>'Прил.5 Расчет СМР и ОБ'!F47</f>
        <v/>
      </c>
      <c r="G12" s="297">
        <f>ROUND(E12*F12,2)</f>
        <v/>
      </c>
    </row>
    <row r="13" ht="242.25" customHeight="1" s="371">
      <c r="A13" s="405" t="n">
        <v>2</v>
      </c>
      <c r="B13" s="318">
        <f>'Прил.5 Расчет СМР и ОБ'!B48</f>
        <v/>
      </c>
      <c r="C13" s="318">
        <f>'Прил.5 Расчет СМР и ОБ'!C48</f>
        <v/>
      </c>
      <c r="D13" s="304">
        <f>'Прил.5 Расчет СМР и ОБ'!D48</f>
        <v/>
      </c>
      <c r="E13" s="304">
        <f>'Прил.5 Расчет СМР и ОБ'!E48</f>
        <v/>
      </c>
      <c r="F13" s="304">
        <f>'Прил.5 Расчет СМР и ОБ'!F48</f>
        <v/>
      </c>
      <c r="G13" s="297">
        <f>ROUND(E13*F13,2)</f>
        <v/>
      </c>
    </row>
    <row r="14" ht="59.25" customHeight="1" s="371">
      <c r="A14" s="405" t="n">
        <v>3</v>
      </c>
      <c r="B14" s="318">
        <f>'Прил.5 Расчет СМР и ОБ'!B49</f>
        <v/>
      </c>
      <c r="C14" s="318">
        <f>'Прил.5 Расчет СМР и ОБ'!C49</f>
        <v/>
      </c>
      <c r="D14" s="304">
        <f>'Прил.5 Расчет СМР и ОБ'!D49</f>
        <v/>
      </c>
      <c r="E14" s="304">
        <f>'Прил.5 Расчет СМР и ОБ'!E49</f>
        <v/>
      </c>
      <c r="F14" s="304">
        <f>'Прил.5 Расчет СМР и ОБ'!F49</f>
        <v/>
      </c>
      <c r="G14" s="297">
        <f>ROUND(E14*F14,2)</f>
        <v/>
      </c>
    </row>
    <row r="15" ht="59.25" customHeight="1" s="371">
      <c r="A15" s="405" t="n">
        <v>4</v>
      </c>
      <c r="B15" s="318">
        <f>'Прил.5 Расчет СМР и ОБ'!B50</f>
        <v/>
      </c>
      <c r="C15" s="318">
        <f>'Прил.5 Расчет СМР и ОБ'!C50</f>
        <v/>
      </c>
      <c r="D15" s="304">
        <f>'Прил.5 Расчет СМР и ОБ'!D50</f>
        <v/>
      </c>
      <c r="E15" s="304">
        <f>'Прил.5 Расчет СМР и ОБ'!E50</f>
        <v/>
      </c>
      <c r="F15" s="304">
        <f>'Прил.5 Расчет СМР и ОБ'!F50</f>
        <v/>
      </c>
      <c r="G15" s="297">
        <f>ROUND(E15*F15,2)</f>
        <v/>
      </c>
    </row>
    <row r="16" ht="59.25" customHeight="1" s="371">
      <c r="A16" s="405" t="n">
        <v>5</v>
      </c>
      <c r="B16" s="318">
        <f>'Прил.5 Расчет СМР и ОБ'!B51</f>
        <v/>
      </c>
      <c r="C16" s="318">
        <f>'Прил.5 Расчет СМР и ОБ'!C51</f>
        <v/>
      </c>
      <c r="D16" s="304">
        <f>'Прил.5 Расчет СМР и ОБ'!D51</f>
        <v/>
      </c>
      <c r="E16" s="304">
        <f>'Прил.5 Расчет СМР и ОБ'!E51</f>
        <v/>
      </c>
      <c r="F16" s="304">
        <f>'Прил.5 Расчет СМР и ОБ'!F51</f>
        <v/>
      </c>
      <c r="G16" s="297">
        <f>ROUND(E16*F16,2)</f>
        <v/>
      </c>
    </row>
    <row r="17" ht="59.25" customHeight="1" s="371">
      <c r="A17" s="405" t="n">
        <v>6</v>
      </c>
      <c r="B17" s="318">
        <f>'Прил.5 Расчет СМР и ОБ'!B52</f>
        <v/>
      </c>
      <c r="C17" s="318">
        <f>'Прил.5 Расчет СМР и ОБ'!C52</f>
        <v/>
      </c>
      <c r="D17" s="304">
        <f>'Прил.5 Расчет СМР и ОБ'!D52</f>
        <v/>
      </c>
      <c r="E17" s="304">
        <f>'Прил.5 Расчет СМР и ОБ'!E52</f>
        <v/>
      </c>
      <c r="F17" s="304">
        <f>'Прил.5 Расчет СМР и ОБ'!F52</f>
        <v/>
      </c>
      <c r="G17" s="297">
        <f>ROUND(E17*F17,2)</f>
        <v/>
      </c>
    </row>
    <row r="18" ht="59.25" customHeight="1" s="371">
      <c r="A18" s="405" t="n">
        <v>7</v>
      </c>
      <c r="B18" s="318">
        <f>'Прил.5 Расчет СМР и ОБ'!B54</f>
        <v/>
      </c>
      <c r="C18" s="318">
        <f>'Прил.5 Расчет СМР и ОБ'!C54</f>
        <v/>
      </c>
      <c r="D18" s="304">
        <f>'Прил.5 Расчет СМР и ОБ'!D54</f>
        <v/>
      </c>
      <c r="E18" s="304">
        <f>'Прил.5 Расчет СМР и ОБ'!E54</f>
        <v/>
      </c>
      <c r="F18" s="304">
        <f>'Прил.5 Расчет СМР и ОБ'!F54</f>
        <v/>
      </c>
      <c r="G18" s="297">
        <f>ROUND(E18*F18,2)</f>
        <v/>
      </c>
    </row>
    <row r="19" ht="59.25" customHeight="1" s="371">
      <c r="A19" s="405" t="n">
        <v>8</v>
      </c>
      <c r="B19" s="318">
        <f>'Прил.5 Расчет СМР и ОБ'!B55</f>
        <v/>
      </c>
      <c r="C19" s="318">
        <f>'Прил.5 Расчет СМР и ОБ'!C55</f>
        <v/>
      </c>
      <c r="D19" s="304">
        <f>'Прил.5 Расчет СМР и ОБ'!D55</f>
        <v/>
      </c>
      <c r="E19" s="304">
        <f>'Прил.5 Расчет СМР и ОБ'!E55</f>
        <v/>
      </c>
      <c r="F19" s="304">
        <f>'Прил.5 Расчет СМР и ОБ'!F55</f>
        <v/>
      </c>
      <c r="G19" s="297">
        <f>ROUND(E19*F19,2)</f>
        <v/>
      </c>
    </row>
    <row r="20" ht="59.25" customHeight="1" s="371">
      <c r="A20" s="405" t="n">
        <v>9</v>
      </c>
      <c r="B20" s="318">
        <f>'Прил.5 Расчет СМР и ОБ'!B56</f>
        <v/>
      </c>
      <c r="C20" s="318">
        <f>'Прил.5 Расчет СМР и ОБ'!C56</f>
        <v/>
      </c>
      <c r="D20" s="304">
        <f>'Прил.5 Расчет СМР и ОБ'!D56</f>
        <v/>
      </c>
      <c r="E20" s="304">
        <f>'Прил.5 Расчет СМР и ОБ'!E56</f>
        <v/>
      </c>
      <c r="F20" s="304">
        <f>'Прил.5 Расчет СМР и ОБ'!F56</f>
        <v/>
      </c>
      <c r="G20" s="297">
        <f>ROUND(E20*F20,2)</f>
        <v/>
      </c>
    </row>
    <row r="21" ht="59.25" customHeight="1" s="371">
      <c r="A21" s="405" t="n">
        <v>10</v>
      </c>
      <c r="B21" s="318">
        <f>'Прил.5 Расчет СМР и ОБ'!B57</f>
        <v/>
      </c>
      <c r="C21" s="318">
        <f>'Прил.5 Расчет СМР и ОБ'!C57</f>
        <v/>
      </c>
      <c r="D21" s="304">
        <f>'Прил.5 Расчет СМР и ОБ'!D57</f>
        <v/>
      </c>
      <c r="E21" s="304">
        <f>'Прил.5 Расчет СМР и ОБ'!E57</f>
        <v/>
      </c>
      <c r="F21" s="304">
        <f>'Прил.5 Расчет СМР и ОБ'!F57</f>
        <v/>
      </c>
      <c r="G21" s="297">
        <f>ROUND(E21*F21,2)</f>
        <v/>
      </c>
    </row>
    <row r="22" ht="59.25" customHeight="1" s="371">
      <c r="A22" s="405" t="n">
        <v>11</v>
      </c>
      <c r="B22" s="318">
        <f>'Прил.5 Расчет СМР и ОБ'!B58</f>
        <v/>
      </c>
      <c r="C22" s="318">
        <f>'Прил.5 Расчет СМР и ОБ'!C58</f>
        <v/>
      </c>
      <c r="D22" s="304">
        <f>'Прил.5 Расчет СМР и ОБ'!D58</f>
        <v/>
      </c>
      <c r="E22" s="304">
        <f>'Прил.5 Расчет СМР и ОБ'!E58</f>
        <v/>
      </c>
      <c r="F22" s="304">
        <f>'Прил.5 Расчет СМР и ОБ'!F58</f>
        <v/>
      </c>
      <c r="G22" s="297">
        <f>ROUND(E22*F22,2)</f>
        <v/>
      </c>
    </row>
    <row r="23" ht="59.25" customHeight="1" s="371">
      <c r="A23" s="405" t="n">
        <v>12</v>
      </c>
      <c r="B23" s="318">
        <f>'Прил.5 Расчет СМР и ОБ'!B59</f>
        <v/>
      </c>
      <c r="C23" s="318">
        <f>'Прил.5 Расчет СМР и ОБ'!C59</f>
        <v/>
      </c>
      <c r="D23" s="304">
        <f>'Прил.5 Расчет СМР и ОБ'!D59</f>
        <v/>
      </c>
      <c r="E23" s="304">
        <f>'Прил.5 Расчет СМР и ОБ'!E59</f>
        <v/>
      </c>
      <c r="F23" s="304">
        <f>'Прил.5 Расчет СМР и ОБ'!F59</f>
        <v/>
      </c>
      <c r="G23" s="297">
        <f>ROUND(E23*F23,2)</f>
        <v/>
      </c>
    </row>
    <row r="24" ht="59.25" customHeight="1" s="371">
      <c r="A24" s="405" t="n">
        <v>13</v>
      </c>
      <c r="B24" s="318">
        <f>'Прил.5 Расчет СМР и ОБ'!B60</f>
        <v/>
      </c>
      <c r="C24" s="318">
        <f>'Прил.5 Расчет СМР и ОБ'!C60</f>
        <v/>
      </c>
      <c r="D24" s="304">
        <f>'Прил.5 Расчет СМР и ОБ'!D60</f>
        <v/>
      </c>
      <c r="E24" s="304">
        <f>'Прил.5 Расчет СМР и ОБ'!E60</f>
        <v/>
      </c>
      <c r="F24" s="304">
        <f>'Прил.5 Расчет СМР и ОБ'!F60</f>
        <v/>
      </c>
      <c r="G24" s="297">
        <f>ROUND(E24*F24,2)</f>
        <v/>
      </c>
    </row>
    <row r="25" ht="82.15000000000001" customHeight="1" s="371">
      <c r="A25" s="405" t="n">
        <v>14</v>
      </c>
      <c r="B25" s="318">
        <f>'Прил.5 Расчет СМР и ОБ'!B61</f>
        <v/>
      </c>
      <c r="C25" s="318">
        <f>'Прил.5 Расчет СМР и ОБ'!C61</f>
        <v/>
      </c>
      <c r="D25" s="304">
        <f>'Прил.5 Расчет СМР и ОБ'!D61</f>
        <v/>
      </c>
      <c r="E25" s="304">
        <f>'Прил.5 Расчет СМР и ОБ'!E61</f>
        <v/>
      </c>
      <c r="F25" s="304">
        <f>'Прил.5 Расчет СМР и ОБ'!F61</f>
        <v/>
      </c>
      <c r="G25" s="297">
        <f>ROUND(E25*F25,2)</f>
        <v/>
      </c>
    </row>
    <row r="26" ht="84.59999999999999" customHeight="1" s="371">
      <c r="A26" s="405" t="n">
        <v>15</v>
      </c>
      <c r="B26" s="318">
        <f>'Прил.5 Расчет СМР и ОБ'!B62</f>
        <v/>
      </c>
      <c r="C26" s="318">
        <f>'Прил.5 Расчет СМР и ОБ'!C62</f>
        <v/>
      </c>
      <c r="D26" s="304">
        <f>'Прил.5 Расчет СМР и ОБ'!D62</f>
        <v/>
      </c>
      <c r="E26" s="304">
        <f>'Прил.5 Расчет СМР и ОБ'!E62</f>
        <v/>
      </c>
      <c r="F26" s="304">
        <f>'Прил.5 Расчет СМР и ОБ'!F62</f>
        <v/>
      </c>
      <c r="G26" s="297">
        <f>ROUND(E26*F26,2)</f>
        <v/>
      </c>
    </row>
    <row r="27" ht="25.5" customHeight="1" s="371">
      <c r="A27" s="405" t="n"/>
      <c r="B27" s="412" t="n"/>
      <c r="C27" s="412" t="inlineStr">
        <is>
          <t>ИТОГО ТЕХНОЛОГИЧЕСКОЕ ОБОРУДОВАНИЕ</t>
        </is>
      </c>
      <c r="D27" s="412" t="n"/>
      <c r="E27" s="430" t="n"/>
      <c r="F27" s="414" t="n"/>
      <c r="G27" s="297">
        <f>SUM(G12:G26)</f>
        <v/>
      </c>
    </row>
    <row r="28" ht="19.5" customHeight="1" s="371">
      <c r="A28" s="405" t="n"/>
      <c r="B28" s="412" t="n"/>
      <c r="C28" s="412" t="inlineStr">
        <is>
          <t>Всего по разделу «Оборудование»</t>
        </is>
      </c>
      <c r="D28" s="412" t="n"/>
      <c r="E28" s="430" t="n"/>
      <c r="F28" s="414" t="n"/>
      <c r="G28" s="297">
        <f>G10+G27</f>
        <v/>
      </c>
    </row>
    <row r="29">
      <c r="A29" s="333" t="n"/>
      <c r="B29" s="151" t="n"/>
      <c r="C29" s="333" t="n"/>
      <c r="D29" s="333" t="n"/>
      <c r="E29" s="333" t="n"/>
      <c r="F29" s="333" t="n"/>
      <c r="G29" s="333" t="n"/>
    </row>
    <row r="30">
      <c r="A30" s="331" t="inlineStr">
        <is>
          <t>Составил ______________________    Е. М. Добровольская</t>
        </is>
      </c>
      <c r="B30" s="332" t="n"/>
      <c r="C30" s="332" t="n"/>
      <c r="D30" s="333" t="n"/>
      <c r="E30" s="333" t="n"/>
      <c r="F30" s="333" t="n"/>
      <c r="G30" s="333" t="n"/>
    </row>
    <row r="31">
      <c r="A31" s="334" t="inlineStr">
        <is>
          <t xml:space="preserve">                         (подпись, инициалы, фамилия)</t>
        </is>
      </c>
      <c r="B31" s="332" t="n"/>
      <c r="C31" s="332" t="n"/>
      <c r="D31" s="333" t="n"/>
      <c r="E31" s="333" t="n"/>
      <c r="F31" s="333" t="n"/>
      <c r="G31" s="333" t="n"/>
    </row>
    <row r="32">
      <c r="A32" s="331" t="n"/>
      <c r="B32" s="332" t="n"/>
      <c r="C32" s="332" t="n"/>
      <c r="D32" s="333" t="n"/>
      <c r="E32" s="333" t="n"/>
      <c r="F32" s="333" t="n"/>
      <c r="G32" s="333" t="n"/>
    </row>
    <row r="33">
      <c r="A33" s="331" t="inlineStr">
        <is>
          <t>Проверил ______________________        А.В. Костянецкая</t>
        </is>
      </c>
      <c r="B33" s="332" t="n"/>
      <c r="C33" s="332" t="n"/>
      <c r="D33" s="333" t="n"/>
      <c r="E33" s="333" t="n"/>
      <c r="F33" s="333" t="n"/>
      <c r="G33" s="333" t="n"/>
    </row>
    <row r="34">
      <c r="A34" s="334" t="inlineStr">
        <is>
          <t xml:space="preserve">                        (подпись, инициалы, фамилия)</t>
        </is>
      </c>
      <c r="B34" s="332" t="n"/>
      <c r="C34" s="332" t="n"/>
      <c r="D34" s="333" t="n"/>
      <c r="E34" s="333" t="n"/>
      <c r="F34" s="333" t="n"/>
      <c r="G34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ColWidth="9.140625" defaultRowHeight="15"/>
  <cols>
    <col width="12.7109375" customWidth="1" style="371" min="1" max="1"/>
    <col width="16.42578125" customWidth="1" style="371" min="2" max="2"/>
    <col width="37.140625" customWidth="1" style="371" min="3" max="3"/>
    <col width="49" customWidth="1" style="371" min="4" max="4"/>
    <col width="9.140625" customWidth="1" style="371" min="5" max="5"/>
  </cols>
  <sheetData>
    <row r="1" ht="15.75" customHeight="1" s="371">
      <c r="A1" s="370" t="n"/>
      <c r="B1" s="370" t="n"/>
      <c r="C1" s="370" t="n"/>
      <c r="D1" s="370" t="inlineStr">
        <is>
          <t>Приложение №7</t>
        </is>
      </c>
    </row>
    <row r="2" ht="15.75" customHeight="1" s="371">
      <c r="A2" s="370" t="n"/>
      <c r="B2" s="370" t="n"/>
      <c r="C2" s="370" t="n"/>
      <c r="D2" s="370" t="n"/>
    </row>
    <row r="3" ht="15.75" customHeight="1" s="371">
      <c r="A3" s="370" t="n"/>
      <c r="B3" s="373" t="inlineStr">
        <is>
          <t>Расчет показателя УНЦ</t>
        </is>
      </c>
      <c r="C3" s="370" t="n"/>
      <c r="D3" s="370" t="n"/>
    </row>
    <row r="4" ht="15.75" customHeight="1" s="371">
      <c r="A4" s="370" t="n"/>
      <c r="B4" s="370" t="n"/>
      <c r="C4" s="370" t="n"/>
      <c r="D4" s="370" t="n"/>
    </row>
    <row r="5" ht="15.75" customHeight="1" s="371">
      <c r="A5" s="432" t="inlineStr">
        <is>
          <t xml:space="preserve">Наименование разрабатываемого показателя УНЦ - </t>
        </is>
      </c>
      <c r="D5" s="432">
        <f>'Прил.5 Расчет СМР и ОБ'!D6:J6</f>
        <v/>
      </c>
    </row>
    <row r="6" ht="15.75" customHeight="1" s="371">
      <c r="A6" s="370" t="inlineStr">
        <is>
          <t>Единица измерения  — 1 система</t>
        </is>
      </c>
      <c r="B6" s="370" t="n"/>
      <c r="C6" s="370" t="n"/>
      <c r="D6" s="370" t="n"/>
    </row>
    <row r="7" ht="15.75" customHeight="1" s="371">
      <c r="A7" s="370" t="n"/>
      <c r="B7" s="370" t="n"/>
      <c r="C7" s="370" t="n"/>
      <c r="D7" s="370" t="n"/>
    </row>
    <row r="8">
      <c r="A8" s="393" t="inlineStr">
        <is>
          <t>Код показателя</t>
        </is>
      </c>
      <c r="B8" s="393" t="inlineStr">
        <is>
          <t>Наименование показателя</t>
        </is>
      </c>
      <c r="C8" s="393" t="inlineStr">
        <is>
          <t>Наименование РМ, входящих в состав показателя</t>
        </is>
      </c>
      <c r="D8" s="393" t="inlineStr">
        <is>
          <t>Норматив цены на 01.01.2023, тыс.руб.</t>
        </is>
      </c>
    </row>
    <row r="9">
      <c r="A9" s="480" t="n"/>
      <c r="B9" s="480" t="n"/>
      <c r="C9" s="480" t="n"/>
      <c r="D9" s="480" t="n"/>
    </row>
    <row r="10" ht="15.75" customHeight="1" s="371">
      <c r="A10" s="393" t="n">
        <v>1</v>
      </c>
      <c r="B10" s="393" t="n">
        <v>2</v>
      </c>
      <c r="C10" s="393" t="n">
        <v>3</v>
      </c>
      <c r="D10" s="393" t="n">
        <v>4</v>
      </c>
    </row>
    <row r="11" ht="63" customHeight="1" s="371">
      <c r="A11" s="393" t="inlineStr">
        <is>
          <t>И15-16</t>
        </is>
      </c>
      <c r="B11" s="393" t="inlineStr">
        <is>
          <t xml:space="preserve">УНЦ комплекса систем безопасности ПС </t>
        </is>
      </c>
      <c r="C11" s="329">
        <f>D5</f>
        <v/>
      </c>
      <c r="D11" s="343">
        <f>'Прил.4 РМ'!C41/1000</f>
        <v/>
      </c>
    </row>
    <row r="13">
      <c r="A13" s="331" t="inlineStr">
        <is>
          <t>Составил ______________________     Е. М. Добровольская</t>
        </is>
      </c>
      <c r="B13" s="332" t="n"/>
      <c r="C13" s="332" t="n"/>
      <c r="D13" s="333" t="n"/>
    </row>
    <row r="14">
      <c r="A14" s="334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31" t="n"/>
      <c r="B15" s="332" t="n"/>
      <c r="C15" s="332" t="n"/>
      <c r="D15" s="333" t="n"/>
    </row>
    <row r="16">
      <c r="A16" s="331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34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tabSelected="1" view="pageBreakPreview" topLeftCell="A10" zoomScale="60" zoomScaleNormal="85" workbookViewId="0">
      <selection activeCell="B29" sqref="B28:B29"/>
    </sheetView>
  </sheetViews>
  <sheetFormatPr baseColWidth="8" defaultRowHeight="15"/>
  <cols>
    <col width="9.140625" customWidth="1" style="371" min="1" max="1"/>
    <col width="40.7109375" customWidth="1" style="371" min="2" max="2"/>
    <col width="37" customWidth="1" style="371" min="3" max="3"/>
    <col width="32" customWidth="1" style="371" min="4" max="4"/>
    <col width="9.140625" customWidth="1" style="371" min="5" max="5"/>
  </cols>
  <sheetData>
    <row r="4" ht="15.75" customHeight="1" s="371">
      <c r="B4" s="385" t="inlineStr">
        <is>
          <t>Приложение № 10</t>
        </is>
      </c>
    </row>
    <row r="5" ht="18.75" customHeight="1" s="371">
      <c r="B5" s="172" t="n"/>
    </row>
    <row r="6" ht="15.75" customHeight="1" s="371">
      <c r="B6" s="386" t="inlineStr">
        <is>
          <t>Используемые индексы изменений сметной стоимости и нормы сопутствующих затрат</t>
        </is>
      </c>
    </row>
    <row r="7">
      <c r="B7" s="433" t="n"/>
    </row>
    <row r="8">
      <c r="B8" s="433" t="n"/>
      <c r="C8" s="433" t="n"/>
      <c r="D8" s="433" t="n"/>
      <c r="E8" s="433" t="n"/>
    </row>
    <row r="9" ht="47.25" customHeight="1" s="371">
      <c r="B9" s="393" t="inlineStr">
        <is>
          <t>Наименование индекса / норм сопутствующих затрат</t>
        </is>
      </c>
      <c r="C9" s="393" t="inlineStr">
        <is>
          <t>Дата применения и обоснование индекса / норм сопутствующих затрат</t>
        </is>
      </c>
      <c r="D9" s="393" t="inlineStr">
        <is>
          <t>Размер индекса / норма сопутствующих затрат</t>
        </is>
      </c>
    </row>
    <row r="10" ht="15.75" customHeight="1" s="371">
      <c r="B10" s="393" t="n">
        <v>1</v>
      </c>
      <c r="C10" s="393" t="n">
        <v>2</v>
      </c>
      <c r="D10" s="393" t="n">
        <v>3</v>
      </c>
    </row>
    <row r="11" ht="45" customHeight="1" s="371">
      <c r="B11" s="393" t="inlineStr">
        <is>
          <t xml:space="preserve">Индекс изменения сметной стоимости на 1 квартал 2023 года. ОЗП </t>
        </is>
      </c>
      <c r="C11" s="393" t="inlineStr">
        <is>
          <t>Письмо Минстроя России от 01.04.2023г. №17772-ИФ/09 прил.9</t>
        </is>
      </c>
      <c r="D11" s="393" t="n">
        <v>44.29</v>
      </c>
    </row>
    <row r="12" ht="29.25" customHeight="1" s="371">
      <c r="B12" s="393" t="inlineStr">
        <is>
          <t>Индекс изменения сметной стоимости на 1 квартал 2023 года. ЭМ</t>
        </is>
      </c>
      <c r="C12" s="393" t="inlineStr">
        <is>
          <t>Письмо Минстроя России от 01.04.2023г. №17772-ИФ/09 прил.9</t>
        </is>
      </c>
      <c r="D12" s="393" t="n">
        <v>13.47</v>
      </c>
    </row>
    <row r="13" ht="29.25" customHeight="1" s="371">
      <c r="B13" s="393" t="inlineStr">
        <is>
          <t>Индекс изменения сметной стоимости на 1 квартал 2023 года. МАТ</t>
        </is>
      </c>
      <c r="C13" s="393" t="inlineStr">
        <is>
          <t>Письмо Минстроя России от 01.04.2023г. №17772-ИФ/09 прил.9</t>
        </is>
      </c>
      <c r="D13" s="393" t="n">
        <v>8.039999999999999</v>
      </c>
    </row>
    <row r="14" ht="30.75" customHeight="1" s="371">
      <c r="B14" s="39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93" t="n">
        <v>6.26</v>
      </c>
    </row>
    <row r="15" ht="89.25" customHeight="1" s="371">
      <c r="B15" s="393" t="inlineStr">
        <is>
          <t>Временные здания и сооружения</t>
        </is>
      </c>
      <c r="C15" s="3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71">
      <c r="B16" s="393" t="inlineStr">
        <is>
          <t>Дополнительные затраты при производстве строительно-монтажных работ в зимнее время</t>
        </is>
      </c>
      <c r="C16" s="3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0.6" customHeight="1" s="371">
      <c r="B17" s="393" t="inlineStr">
        <is>
          <t>Пусконаладочные работы*</t>
        </is>
      </c>
      <c r="C17" s="393" t="n"/>
      <c r="D17" s="393" t="inlineStr">
        <is>
          <t>Расчет</t>
        </is>
      </c>
    </row>
    <row r="18" ht="31.5" customHeight="1" s="371">
      <c r="B18" s="393" t="inlineStr">
        <is>
          <t>Строительный контроль</t>
        </is>
      </c>
      <c r="C18" s="393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71">
      <c r="B19" s="393" t="inlineStr">
        <is>
          <t>Авторский надзор - 0,2%</t>
        </is>
      </c>
      <c r="C19" s="393" t="inlineStr">
        <is>
          <t>Приказ от 4.08.2020 № 421/пр п.173</t>
        </is>
      </c>
      <c r="D19" s="175" t="n">
        <v>0.002</v>
      </c>
    </row>
    <row r="20" ht="24" customHeight="1" s="371">
      <c r="B20" s="393" t="inlineStr">
        <is>
          <t>Непредвиденные расходы</t>
        </is>
      </c>
      <c r="C20" s="393" t="inlineStr">
        <is>
          <t>Приказ от 4.08.2020 № 421/пр п.179</t>
        </is>
      </c>
      <c r="D20" s="175" t="n">
        <v>0.03</v>
      </c>
    </row>
    <row r="21" ht="18.75" customHeight="1" s="371">
      <c r="B21" s="214" t="n"/>
    </row>
    <row r="22" ht="18.75" customHeight="1" s="371">
      <c r="B22" s="214" t="n"/>
    </row>
    <row r="23" ht="18.75" customHeight="1" s="371">
      <c r="B23" s="214" t="n"/>
    </row>
    <row r="24" ht="18.75" customHeight="1" s="371">
      <c r="B24" s="214" t="n"/>
    </row>
    <row r="27">
      <c r="B27" s="331" t="inlineStr">
        <is>
          <t>Составил ______________________        Е. М. Добровольская</t>
        </is>
      </c>
      <c r="C27" s="332" t="n"/>
    </row>
    <row r="28">
      <c r="B28" s="334" t="inlineStr">
        <is>
          <t xml:space="preserve">                         (подпись, инициалы, фамилия)</t>
        </is>
      </c>
      <c r="C28" s="332" t="n"/>
    </row>
    <row r="29">
      <c r="B29" s="331" t="n"/>
      <c r="C29" s="332" t="n"/>
    </row>
    <row r="30">
      <c r="B30" s="331" t="inlineStr">
        <is>
          <t>Проверил ______________________        А.В. Костянецкая</t>
        </is>
      </c>
      <c r="C30" s="332" t="n"/>
    </row>
    <row r="31">
      <c r="B31" s="334" t="inlineStr">
        <is>
          <t xml:space="preserve">                        (подпись, инициалы, фамилия)</t>
        </is>
      </c>
      <c r="C31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37"/>
  <sheetViews>
    <sheetView view="pageBreakPreview" topLeftCell="A28" zoomScale="60" zoomScaleNormal="100" workbookViewId="0">
      <selection activeCell="G28" sqref="G1:G1048576"/>
    </sheetView>
  </sheetViews>
  <sheetFormatPr baseColWidth="8" defaultColWidth="9.140625" defaultRowHeight="15"/>
  <cols>
    <col width="44.85546875" customWidth="1" style="371" min="2" max="2"/>
    <col width="13" customWidth="1" style="371" min="3" max="3"/>
    <col width="22.85546875" customWidth="1" style="371" min="4" max="4"/>
    <col width="21.5703125" customWidth="1" style="371" min="5" max="5"/>
    <col width="43.85546875" customWidth="1" style="371" min="6" max="6"/>
  </cols>
  <sheetData>
    <row r="1" s="371"/>
    <row r="2" ht="17.25" customHeight="1" s="371">
      <c r="A2" s="386" t="inlineStr">
        <is>
          <t>Расчет размера средств на оплату труда рабочих-строителей в текущем уровне цен (ФОТр.тек.)</t>
        </is>
      </c>
    </row>
    <row r="3" s="371"/>
    <row r="4" ht="18" customHeight="1" s="371">
      <c r="A4" s="336" t="inlineStr">
        <is>
          <t>Составлен в уровне цен на 01.01.2023 г.</t>
        </is>
      </c>
      <c r="B4" s="370" t="n"/>
      <c r="C4" s="370" t="n"/>
      <c r="D4" s="370" t="n"/>
      <c r="E4" s="370" t="n"/>
      <c r="F4" s="370" t="n"/>
      <c r="G4" s="370" t="n"/>
    </row>
    <row r="5" ht="15.75" customHeight="1" s="371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70" t="n"/>
    </row>
    <row r="6" ht="15.75" customHeight="1" s="371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70" t="n"/>
    </row>
    <row r="7" ht="110.25" customHeight="1" s="371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3" t="inlineStr">
        <is>
          <t>С1ср</t>
        </is>
      </c>
      <c r="D7" s="393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0" t="n"/>
    </row>
    <row r="8" ht="31.5" customHeight="1" s="371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93" t="inlineStr">
        <is>
          <t>tср</t>
        </is>
      </c>
      <c r="D8" s="393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71">
      <c r="A9" s="339" t="inlineStr">
        <is>
          <t>1.3</t>
        </is>
      </c>
      <c r="B9" s="344" t="inlineStr">
        <is>
          <t>Коэффициент увеличения</t>
        </is>
      </c>
      <c r="C9" s="393" t="inlineStr">
        <is>
          <t>Кув</t>
        </is>
      </c>
      <c r="D9" s="393" t="inlineStr">
        <is>
          <t>-</t>
        </is>
      </c>
      <c r="E9" s="343" t="n">
        <v>1</v>
      </c>
      <c r="F9" s="344" t="n"/>
      <c r="G9" s="346" t="n"/>
    </row>
    <row r="10" ht="15.75" customHeight="1" s="371">
      <c r="A10" s="339" t="inlineStr">
        <is>
          <t>1.4</t>
        </is>
      </c>
      <c r="B10" s="344" t="inlineStr">
        <is>
          <t>Средний разряд работ</t>
        </is>
      </c>
      <c r="C10" s="393" t="n"/>
      <c r="D10" s="393" t="n"/>
      <c r="E10" s="493" t="n">
        <v>5.7</v>
      </c>
      <c r="F10" s="344" t="inlineStr">
        <is>
          <t>РТМ</t>
        </is>
      </c>
      <c r="G10" s="346" t="n"/>
    </row>
    <row r="11" ht="78.75" customHeight="1" s="371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93" t="inlineStr">
        <is>
          <t>КТ</t>
        </is>
      </c>
      <c r="D11" s="393" t="inlineStr">
        <is>
          <t>-</t>
        </is>
      </c>
      <c r="E11" s="494" t="n">
        <v>1.721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0" t="n"/>
    </row>
    <row r="12" ht="78.75" customHeight="1" s="371">
      <c r="A12" s="339" t="inlineStr">
        <is>
          <t>1.6</t>
        </is>
      </c>
      <c r="B12" s="349" t="inlineStr">
        <is>
          <t>Коэффициент инфляции, определяемый поквартально</t>
        </is>
      </c>
      <c r="C12" s="393" t="inlineStr">
        <is>
          <t>Кинф</t>
        </is>
      </c>
      <c r="D12" s="393" t="inlineStr">
        <is>
          <t>-</t>
        </is>
      </c>
      <c r="E12" s="495" t="n">
        <v>1.139</v>
      </c>
      <c r="F12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n"/>
    </row>
    <row r="13" ht="63" customHeight="1" s="371">
      <c r="A13" s="352" t="inlineStr">
        <is>
          <t>1.7</t>
        </is>
      </c>
      <c r="B13" s="353" t="inlineStr">
        <is>
          <t>Размер средств на оплату труда рабочих-строителей в текущем уровне цен (ФОТр.тек.), руб/чел.-ч</t>
        </is>
      </c>
      <c r="C13" s="354" t="inlineStr">
        <is>
          <t>ФОТр.тек.</t>
        </is>
      </c>
      <c r="D13" s="354" t="inlineStr">
        <is>
          <t>(С1ср/tср*КТ*Т*Кув)*Кинф</t>
        </is>
      </c>
      <c r="E13" s="355">
        <f>((E7*E9/E8)*E11)*E12</f>
        <v/>
      </c>
      <c r="F13" s="35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0" t="n"/>
    </row>
    <row r="14" ht="15.75" customHeight="1" s="371">
      <c r="A14" s="357" t="n"/>
      <c r="B14" s="358" t="inlineStr">
        <is>
          <t>Инженер I категории</t>
        </is>
      </c>
      <c r="C14" s="358" t="n"/>
      <c r="D14" s="358" t="n"/>
      <c r="E14" s="358" t="n"/>
      <c r="F14" s="359" t="n"/>
    </row>
    <row r="15" ht="110.25" customHeight="1" s="371">
      <c r="A15" s="339" t="inlineStr">
        <is>
          <t>1.1</t>
        </is>
      </c>
      <c r="B15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93" t="inlineStr">
        <is>
          <t>С1ср</t>
        </is>
      </c>
      <c r="D15" s="393" t="inlineStr">
        <is>
          <t>-</t>
        </is>
      </c>
      <c r="E15" s="342" t="n">
        <v>47872.94</v>
      </c>
      <c r="F15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70" t="n"/>
    </row>
    <row r="16" ht="31.5" customHeight="1" s="371">
      <c r="A16" s="339" t="inlineStr">
        <is>
          <t>1.2</t>
        </is>
      </c>
      <c r="B16" s="344" t="inlineStr">
        <is>
          <t>Среднегодовое нормативное число часов работы одного рабочего в месяц, часы (ч.)</t>
        </is>
      </c>
      <c r="C16" s="393" t="inlineStr">
        <is>
          <t>tср</t>
        </is>
      </c>
      <c r="D16" s="393" t="inlineStr">
        <is>
          <t>1973ч/12мес.</t>
        </is>
      </c>
      <c r="E16" s="343">
        <f>1973/12</f>
        <v/>
      </c>
      <c r="F16" s="344" t="inlineStr">
        <is>
          <t>Производственный календарь 2023 год
(40-часов.неделя)</t>
        </is>
      </c>
      <c r="G16" s="346" t="n"/>
    </row>
    <row r="17" ht="15.75" customHeight="1" s="371">
      <c r="A17" s="339" t="inlineStr">
        <is>
          <t>1.3</t>
        </is>
      </c>
      <c r="B17" s="344" t="inlineStr">
        <is>
          <t>Коэффициент увеличения</t>
        </is>
      </c>
      <c r="C17" s="393" t="inlineStr">
        <is>
          <t>Кув</t>
        </is>
      </c>
      <c r="D17" s="393" t="inlineStr">
        <is>
          <t>-</t>
        </is>
      </c>
      <c r="E17" s="343" t="n">
        <v>1</v>
      </c>
      <c r="F17" s="344" t="n"/>
      <c r="G17" s="346" t="n"/>
    </row>
    <row r="18" ht="15.75" customHeight="1" s="371">
      <c r="A18" s="339" t="inlineStr">
        <is>
          <t>1.4</t>
        </is>
      </c>
      <c r="B18" s="344" t="inlineStr">
        <is>
          <t>Средний разряд работ</t>
        </is>
      </c>
      <c r="C18" s="393" t="n"/>
      <c r="D18" s="393" t="n"/>
      <c r="E18" s="493" t="inlineStr">
        <is>
          <t>Инженер I категории</t>
        </is>
      </c>
      <c r="F18" s="344" t="inlineStr">
        <is>
          <t>РТМ</t>
        </is>
      </c>
      <c r="G18" s="346" t="n"/>
    </row>
    <row r="19" ht="78.75" customHeight="1" s="371">
      <c r="A19" s="352" t="inlineStr">
        <is>
          <t>1.5</t>
        </is>
      </c>
      <c r="B19" s="356" t="inlineStr">
        <is>
          <t>Тарифный коэффициент среднего разряда работ</t>
        </is>
      </c>
      <c r="C19" s="354" t="inlineStr">
        <is>
          <t>КТ</t>
        </is>
      </c>
      <c r="D19" s="354" t="inlineStr">
        <is>
          <t>-</t>
        </is>
      </c>
      <c r="E19" s="496" t="n">
        <v>2.15</v>
      </c>
      <c r="F19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70" t="n"/>
    </row>
    <row r="20" ht="78.75" customHeight="1" s="371">
      <c r="A20" s="339" t="inlineStr">
        <is>
          <t>1.6</t>
        </is>
      </c>
      <c r="B20" s="349" t="inlineStr">
        <is>
          <t>Коэффициент инфляции, определяемый поквартально</t>
        </is>
      </c>
      <c r="C20" s="393" t="inlineStr">
        <is>
          <t>Кинф</t>
        </is>
      </c>
      <c r="D20" s="393" t="inlineStr">
        <is>
          <t>-</t>
        </is>
      </c>
      <c r="E20" s="495" t="n">
        <v>1.139</v>
      </c>
      <c r="F20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46" t="n"/>
    </row>
    <row r="21" ht="63" customHeight="1" s="371">
      <c r="A21" s="339" t="inlineStr">
        <is>
          <t>1.7</t>
        </is>
      </c>
      <c r="B21" s="361" t="inlineStr">
        <is>
          <t>Размер средств на оплату труда рабочих-строителей в текущем уровне цен (ФОТр.тек.), руб/чел.-ч</t>
        </is>
      </c>
      <c r="C21" s="393" t="inlineStr">
        <is>
          <t>ФОТр.тек.</t>
        </is>
      </c>
      <c r="D21" s="393" t="inlineStr">
        <is>
          <t>(С1ср/tср*КТ*Т*Кув)*Кинф</t>
        </is>
      </c>
      <c r="E21" s="362">
        <f>((E15*E17/E16)*E19)*E20</f>
        <v/>
      </c>
      <c r="F21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70" t="n"/>
    </row>
    <row r="22" ht="15.75" customHeight="1" s="371">
      <c r="A22" s="357" t="n"/>
      <c r="B22" s="358" t="inlineStr">
        <is>
          <t>Инженер II категории</t>
        </is>
      </c>
      <c r="C22" s="358" t="n"/>
      <c r="D22" s="358" t="n"/>
      <c r="E22" s="358" t="n"/>
      <c r="F22" s="359" t="n"/>
    </row>
    <row r="23" ht="110.25" customHeight="1" s="371">
      <c r="A23" s="339" t="inlineStr">
        <is>
          <t>1.1</t>
        </is>
      </c>
      <c r="B23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93" t="inlineStr">
        <is>
          <t>С1ср</t>
        </is>
      </c>
      <c r="D23" s="393" t="inlineStr">
        <is>
          <t>-</t>
        </is>
      </c>
      <c r="E23" s="342" t="n">
        <v>47872.94</v>
      </c>
      <c r="F23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70" t="n"/>
    </row>
    <row r="24" ht="31.5" customHeight="1" s="371">
      <c r="A24" s="339" t="inlineStr">
        <is>
          <t>1.2</t>
        </is>
      </c>
      <c r="B24" s="344" t="inlineStr">
        <is>
          <t>Среднегодовое нормативное число часов работы одного рабочего в месяц, часы (ч.)</t>
        </is>
      </c>
      <c r="C24" s="393" t="inlineStr">
        <is>
          <t>tср</t>
        </is>
      </c>
      <c r="D24" s="393" t="inlineStr">
        <is>
          <t>1973ч/12мес.</t>
        </is>
      </c>
      <c r="E24" s="343">
        <f>1973/12</f>
        <v/>
      </c>
      <c r="F24" s="344" t="inlineStr">
        <is>
          <t>Производственный календарь 2023 год
(40-часов.неделя)</t>
        </is>
      </c>
      <c r="G24" s="346" t="n"/>
    </row>
    <row r="25" ht="15.75" customHeight="1" s="371">
      <c r="A25" s="339" t="inlineStr">
        <is>
          <t>1.3</t>
        </is>
      </c>
      <c r="B25" s="344" t="inlineStr">
        <is>
          <t>Коэффициент увеличения</t>
        </is>
      </c>
      <c r="C25" s="393" t="inlineStr">
        <is>
          <t>Кув</t>
        </is>
      </c>
      <c r="D25" s="393" t="inlineStr">
        <is>
          <t>-</t>
        </is>
      </c>
      <c r="E25" s="343" t="n">
        <v>1</v>
      </c>
      <c r="F25" s="344" t="n"/>
      <c r="G25" s="346" t="n"/>
    </row>
    <row r="26" ht="15.75" customHeight="1" s="371">
      <c r="A26" s="339" t="inlineStr">
        <is>
          <t>1.4</t>
        </is>
      </c>
      <c r="B26" s="344" t="inlineStr">
        <is>
          <t>Средний разряд работ</t>
        </is>
      </c>
      <c r="C26" s="393" t="n"/>
      <c r="D26" s="393" t="n"/>
      <c r="E26" s="493" t="inlineStr">
        <is>
          <t>Инженер II категории</t>
        </is>
      </c>
      <c r="F26" s="344" t="inlineStr">
        <is>
          <t>РТМ</t>
        </is>
      </c>
      <c r="G26" s="346" t="n"/>
    </row>
    <row r="27" ht="78.75" customHeight="1" s="371">
      <c r="A27" s="352" t="inlineStr">
        <is>
          <t>1.5</t>
        </is>
      </c>
      <c r="B27" s="356" t="inlineStr">
        <is>
          <t>Тарифный коэффициент среднего разряда работ</t>
        </is>
      </c>
      <c r="C27" s="354" t="inlineStr">
        <is>
          <t>КТ</t>
        </is>
      </c>
      <c r="D27" s="354" t="inlineStr">
        <is>
          <t>-</t>
        </is>
      </c>
      <c r="E27" s="496" t="n">
        <v>1.96</v>
      </c>
      <c r="F27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70" t="n"/>
    </row>
    <row r="28" ht="78.75" customHeight="1" s="371">
      <c r="A28" s="339" t="inlineStr">
        <is>
          <t>1.6</t>
        </is>
      </c>
      <c r="B28" s="349" t="inlineStr">
        <is>
          <t>Коэффициент инфляции, определяемый поквартально</t>
        </is>
      </c>
      <c r="C28" s="393" t="inlineStr">
        <is>
          <t>Кинф</t>
        </is>
      </c>
      <c r="D28" s="393" t="inlineStr">
        <is>
          <t>-</t>
        </is>
      </c>
      <c r="E28" s="495" t="n">
        <v>1.139</v>
      </c>
      <c r="F28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46" t="n"/>
    </row>
    <row r="29" ht="63" customHeight="1" s="371">
      <c r="A29" s="339" t="inlineStr">
        <is>
          <t>1.7</t>
        </is>
      </c>
      <c r="B29" s="361" t="inlineStr">
        <is>
          <t>Размер средств на оплату труда рабочих-строителей в текущем уровне цен (ФОТр.тек.), руб/чел.-ч</t>
        </is>
      </c>
      <c r="C29" s="393" t="inlineStr">
        <is>
          <t>ФОТр.тек.</t>
        </is>
      </c>
      <c r="D29" s="393" t="inlineStr">
        <is>
          <t>(С1ср/tср*КТ*Т*Кув)*Кинф</t>
        </is>
      </c>
      <c r="E29" s="362">
        <f>((E23*E25/E24)*E27)*E28</f>
        <v/>
      </c>
      <c r="F29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70" t="n"/>
    </row>
    <row r="30" ht="14.45" customHeight="1" s="371">
      <c r="A30" s="363" t="n"/>
      <c r="B30" s="358" t="inlineStr">
        <is>
          <t>Ведущий инженер</t>
        </is>
      </c>
      <c r="C30" s="358" t="n"/>
      <c r="D30" s="358" t="n"/>
      <c r="E30" s="358" t="n"/>
      <c r="F30" s="359" t="n"/>
    </row>
    <row r="31" ht="110.25" customHeight="1" s="371">
      <c r="A31" s="339" t="inlineStr">
        <is>
          <t>1.1</t>
        </is>
      </c>
      <c r="B31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93" t="inlineStr">
        <is>
          <t>С1ср</t>
        </is>
      </c>
      <c r="D31" s="393" t="inlineStr">
        <is>
          <t>-</t>
        </is>
      </c>
      <c r="E31" s="342" t="n">
        <v>47872.94</v>
      </c>
      <c r="F31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70" t="n"/>
    </row>
    <row r="32" ht="31.5" customHeight="1" s="371">
      <c r="A32" s="339" t="inlineStr">
        <is>
          <t>1.2</t>
        </is>
      </c>
      <c r="B32" s="344" t="inlineStr">
        <is>
          <t>Среднегодовое нормативное число часов работы одного рабочего в месяц, часы (ч.)</t>
        </is>
      </c>
      <c r="C32" s="393" t="inlineStr">
        <is>
          <t>tср</t>
        </is>
      </c>
      <c r="D32" s="393" t="inlineStr">
        <is>
          <t>1973ч/12мес.</t>
        </is>
      </c>
      <c r="E32" s="343">
        <f>1973/12</f>
        <v/>
      </c>
      <c r="F32" s="344" t="inlineStr">
        <is>
          <t>Производственный календарь 2023 год
(40-часов.неделя)</t>
        </is>
      </c>
      <c r="G32" s="346" t="n"/>
    </row>
    <row r="33" ht="15.75" customHeight="1" s="371">
      <c r="A33" s="339" t="inlineStr">
        <is>
          <t>1.3</t>
        </is>
      </c>
      <c r="B33" s="344" t="inlineStr">
        <is>
          <t>Коэффициент увеличения</t>
        </is>
      </c>
      <c r="C33" s="393" t="inlineStr">
        <is>
          <t>Кув</t>
        </is>
      </c>
      <c r="D33" s="393" t="inlineStr">
        <is>
          <t>-</t>
        </is>
      </c>
      <c r="E33" s="343" t="n">
        <v>1</v>
      </c>
      <c r="F33" s="344" t="n"/>
      <c r="G33" s="346" t="n"/>
    </row>
    <row r="34" ht="15.75" customHeight="1" s="371">
      <c r="A34" s="339" t="inlineStr">
        <is>
          <t>1.4</t>
        </is>
      </c>
      <c r="B34" s="344" t="inlineStr">
        <is>
          <t>Средний разряд работ</t>
        </is>
      </c>
      <c r="C34" s="393" t="n"/>
      <c r="D34" s="393" t="n"/>
      <c r="E34" s="493" t="inlineStr">
        <is>
          <t>Ведущий инженер</t>
        </is>
      </c>
      <c r="F34" s="344" t="inlineStr">
        <is>
          <t>РТМ</t>
        </is>
      </c>
      <c r="G34" s="346" t="n"/>
    </row>
    <row r="35" ht="78.75" customHeight="1" s="371">
      <c r="A35" s="352" t="inlineStr">
        <is>
          <t>1.5</t>
        </is>
      </c>
      <c r="B35" s="356" t="inlineStr">
        <is>
          <t>Тарифный коэффициент среднего разряда работ</t>
        </is>
      </c>
      <c r="C35" s="354" t="inlineStr">
        <is>
          <t>КТ</t>
        </is>
      </c>
      <c r="D35" s="354" t="inlineStr">
        <is>
          <t>-</t>
        </is>
      </c>
      <c r="E35" s="496" t="n">
        <v>2.35</v>
      </c>
      <c r="F35" s="3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70" t="n"/>
    </row>
    <row r="36" ht="78.75" customHeight="1" s="371">
      <c r="A36" s="339" t="inlineStr">
        <is>
          <t>1.6</t>
        </is>
      </c>
      <c r="B36" s="349" t="inlineStr">
        <is>
          <t>Коэффициент инфляции, определяемый поквартально</t>
        </is>
      </c>
      <c r="C36" s="393" t="inlineStr">
        <is>
          <t>Кинф</t>
        </is>
      </c>
      <c r="D36" s="393" t="inlineStr">
        <is>
          <t>-</t>
        </is>
      </c>
      <c r="E36" s="495" t="n">
        <v>1.139</v>
      </c>
      <c r="F36" s="35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46" t="n"/>
    </row>
    <row r="37" ht="63" customHeight="1" s="371">
      <c r="A37" s="339" t="inlineStr">
        <is>
          <t>1.7</t>
        </is>
      </c>
      <c r="B37" s="361" t="inlineStr">
        <is>
          <t>Размер средств на оплату труда рабочих-строителей в текущем уровне цен (ФОТр.тек.), руб/чел.-ч</t>
        </is>
      </c>
      <c r="C37" s="393" t="inlineStr">
        <is>
          <t>ФОТр.тек.</t>
        </is>
      </c>
      <c r="D37" s="393" t="inlineStr">
        <is>
          <t>(С1ср/tср*КТ*Т*Кув)*Кинф</t>
        </is>
      </c>
      <c r="E37" s="362">
        <f>((E31*E33/E32)*E35)*E36</f>
        <v/>
      </c>
      <c r="F37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7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2025-01-24T12:01:59Z</dcterms:modified>
  <cp:lastModifiedBy>Nikolay Ivanov</cp:lastModifiedBy>
  <cp:lastPrinted>2023-11-30T14:14:26Z</cp:lastPrinted>
</cp:coreProperties>
</file>