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IF(Прил.7!n_3=1,Прил.7!n_2,Прил.7!n_3&amp;Прил.7!n_1)</definedName>
    <definedName name="n1x">IF(Прил.7!n_3=1,Прил.7!n_2,Прил.7!n_3&amp;Прил.7!n_5)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ОБ'!$A$1:$J$202</definedName>
    <definedName name="_xlnm.Print_Area" localSheetId="5">'Прил.6 Расчет ОБ'!$A$1:$G$54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28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pivotButton="0" quotePrefix="0" xfId="0"/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10" fontId="16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4" fillId="0" borderId="5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18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vertical="top"/>
    </xf>
    <xf numFmtId="4" fontId="16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4" fontId="17" fillId="0" borderId="1" applyAlignment="1" pivotButton="0" quotePrefix="0" xfId="0">
      <alignment vertical="top"/>
    </xf>
    <xf numFmtId="10" fontId="16" fillId="0" borderId="0" pivotButton="0" quotePrefix="0" xfId="0"/>
    <xf numFmtId="1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7" fillId="0" borderId="0" pivotButton="0" quotePrefix="0" xfId="0"/>
    <xf numFmtId="14" fontId="16" fillId="0" borderId="1" applyAlignment="1" pivotButton="0" quotePrefix="0" xfId="0">
      <alignment vertical="top"/>
    </xf>
    <xf numFmtId="167" fontId="16" fillId="0" borderId="0" pivotButton="0" quotePrefix="0" xfId="0"/>
    <xf numFmtId="0" fontId="16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3" fontId="16" fillId="0" borderId="0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4" fontId="4" fillId="0" borderId="0" pivotButton="0" quotePrefix="0" xfId="0"/>
    <xf numFmtId="0" fontId="16" fillId="0" borderId="0" applyAlignment="1" pivotButton="0" quotePrefix="0" xfId="0">
      <alignment horizontal="right"/>
    </xf>
    <xf numFmtId="49" fontId="16" fillId="0" borderId="1" applyAlignment="1" pivotButton="0" quotePrefix="0" xfId="0">
      <alignment horizontal="left" vertical="center" wrapText="1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7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43" fontId="16" fillId="0" borderId="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25" zoomScale="70" zoomScaleNormal="55" workbookViewId="0">
      <selection activeCell="D66" sqref="D66"/>
    </sheetView>
  </sheetViews>
  <sheetFormatPr baseColWidth="8" defaultColWidth="9.140625" defaultRowHeight="15.75"/>
  <cols>
    <col width="9.140625" customWidth="1" style="199" min="1" max="2"/>
    <col width="36.85546875" customWidth="1" style="199" min="3" max="3"/>
    <col width="36.5703125" customWidth="1" style="199" min="4" max="4"/>
    <col width="13.28515625" customWidth="1" style="199" min="5" max="5"/>
    <col width="13.140625" customWidth="1" style="199" min="6" max="6"/>
    <col width="9.140625" customWidth="1" style="199" min="7" max="7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>
      <c r="B5" s="144" t="n"/>
      <c r="C5" s="144" t="n"/>
      <c r="D5" s="144" t="n"/>
    </row>
    <row r="6">
      <c r="B6" s="144" t="n"/>
      <c r="C6" s="144" t="n"/>
      <c r="D6" s="144" t="n"/>
    </row>
    <row r="7" ht="30.75" customHeight="1" s="197">
      <c r="B7" s="229" t="inlineStr">
        <is>
          <t>Наименование разрабатываемого показателя УНЦ — Система автоматического пожаротущения.</t>
        </is>
      </c>
    </row>
    <row r="8" ht="31.5" customHeight="1" s="197">
      <c r="B8" s="229" t="inlineStr">
        <is>
          <t>Сопоставимый уровень цен: 4 кв 2018</t>
        </is>
      </c>
    </row>
    <row r="9">
      <c r="B9" s="229" t="inlineStr">
        <is>
          <t>Единица измерения  — 1 м2</t>
        </is>
      </c>
    </row>
    <row r="10">
      <c r="B10" s="229" t="n"/>
    </row>
    <row r="11">
      <c r="B11" s="235" t="inlineStr">
        <is>
          <t>№ п/п</t>
        </is>
      </c>
      <c r="C11" s="235" t="inlineStr">
        <is>
          <t>Параметр</t>
        </is>
      </c>
      <c r="D11" s="211" t="inlineStr">
        <is>
          <t>Объект-представитель 1</t>
        </is>
      </c>
    </row>
    <row r="12" ht="201" customHeight="1" s="197">
      <c r="B12" s="235" t="n">
        <v>1</v>
      </c>
      <c r="C12" s="211" t="inlineStr">
        <is>
          <t>Наименование объекта-представителя</t>
        </is>
      </c>
      <c r="D12" s="211" t="inlineStr">
        <is>
          <t>Строительство ПС 330 кВ Ручей с заходами ВЛ 330 кВ. Корректировка.
(ОПУ с КРУЭ и ЗРУ 10 кВ)</t>
        </is>
      </c>
    </row>
    <row r="13" ht="31.5" customHeight="1" s="197">
      <c r="B13" s="235" t="n">
        <v>2</v>
      </c>
      <c r="C13" s="211" t="inlineStr">
        <is>
          <t>Наименование субъекта Российской Федерации</t>
        </is>
      </c>
      <c r="D13" s="211" t="inlineStr">
        <is>
          <t>Новогородская область</t>
        </is>
      </c>
    </row>
    <row r="14">
      <c r="B14" s="235" t="n">
        <v>3</v>
      </c>
      <c r="C14" s="211" t="inlineStr">
        <is>
          <t>Климатический район и подрайон</t>
        </is>
      </c>
      <c r="D14" s="211" t="inlineStr">
        <is>
          <t>IIВ</t>
        </is>
      </c>
    </row>
    <row r="15">
      <c r="B15" s="235" t="n">
        <v>4</v>
      </c>
      <c r="C15" s="211" t="inlineStr">
        <is>
          <t>Мощность объекта</t>
        </is>
      </c>
      <c r="D15" s="206" t="n">
        <v>511.43</v>
      </c>
    </row>
    <row r="16" ht="350.25" customHeight="1" s="197">
      <c r="B16" s="235" t="n">
        <v>5</v>
      </c>
      <c r="C16" s="14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1" t="inlineStr">
        <is>
          <t>Модуль  К2-1 МП (60-100-50) ЭмР-ЭМП - 6 шт
Модуль  1 МП (60-100-50) - 12 шт
Зарядка с хладоном 227еа ~ 4147 кг
Баллон испытательный переносной  БИП -125  - 6 шт
Коллектор - 5 шт
Трубы стальные - 383,05 м
Пульт контроля С2000-М - 1 шт
Блок контрольно-пусковой С2000КПБ - 6 шт
Блок контроля и индикации С2000-БКИ - 3 шт
Расширитель адресный - 31 шт
Извещатели - 492 шт
Оповещатели - 77 шт
Кабель - 565 м</t>
        </is>
      </c>
    </row>
    <row r="17" ht="78.75" customHeight="1" s="197">
      <c r="B17" s="235" t="n">
        <v>6</v>
      </c>
      <c r="C17" s="14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0">
        <f>SUM(D18:D21)</f>
        <v/>
      </c>
    </row>
    <row r="18">
      <c r="B18" s="181" t="inlineStr">
        <is>
          <t>6.1</t>
        </is>
      </c>
      <c r="C18" s="211" t="inlineStr">
        <is>
          <t>строительно-монтажные работы</t>
        </is>
      </c>
      <c r="D18" s="180">
        <f>4.78+2667.17</f>
        <v/>
      </c>
    </row>
    <row r="19" ht="15.75" customHeight="1" s="197">
      <c r="B19" s="181" t="inlineStr">
        <is>
          <t>6.2</t>
        </is>
      </c>
      <c r="C19" s="211" t="inlineStr">
        <is>
          <t>оборудование и инвентарь</t>
        </is>
      </c>
      <c r="D19" s="180" t="n">
        <v>10140.26588</v>
      </c>
    </row>
    <row r="20" ht="16.5" customHeight="1" s="197">
      <c r="B20" s="181" t="inlineStr">
        <is>
          <t>6.3</t>
        </is>
      </c>
      <c r="C20" s="211" t="inlineStr">
        <is>
          <t>пусконаладочные работы</t>
        </is>
      </c>
      <c r="D20" s="180">
        <f>D19/(771476.96)*(43202.71)</f>
        <v/>
      </c>
    </row>
    <row r="21" ht="35.25" customHeight="1" s="197">
      <c r="B21" s="181" t="inlineStr">
        <is>
          <t>6.4</t>
        </is>
      </c>
      <c r="C21" s="182" t="inlineStr">
        <is>
          <t>прочие и лимитированные затраты</t>
        </is>
      </c>
      <c r="D21" s="180">
        <f>D18*3.9%+(D18+D18*3.9%)*2.1%</f>
        <v/>
      </c>
    </row>
    <row r="22">
      <c r="B22" s="235" t="n">
        <v>7</v>
      </c>
      <c r="C22" s="182" t="inlineStr">
        <is>
          <t>Сопоставимый уровень цен</t>
        </is>
      </c>
      <c r="D22" s="235" t="inlineStr">
        <is>
          <t>4 кв 2018</t>
        </is>
      </c>
    </row>
    <row r="23" ht="123" customHeight="1" s="197">
      <c r="B23" s="235" t="n">
        <v>8</v>
      </c>
      <c r="C23" s="18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0">
        <f>(D18+D21)/6.51*8.38+D19/4.28*4.58+D20/4.28*20.23</f>
        <v/>
      </c>
      <c r="E23" s="320" t="n"/>
    </row>
    <row r="24" ht="60.75" customHeight="1" s="197">
      <c r="B24" s="235" t="n">
        <v>9</v>
      </c>
      <c r="C24" s="147" t="inlineStr">
        <is>
          <t>Приведенная сметная стоимость на единицу мощности, тыс. руб. (строка 8/строку 4)</t>
        </is>
      </c>
      <c r="D24" s="180">
        <f>D23/D15</f>
        <v/>
      </c>
      <c r="E24" s="320" t="n"/>
    </row>
    <row r="25" ht="164.25" customHeight="1" s="197">
      <c r="B25" s="235" t="n">
        <v>10</v>
      </c>
      <c r="C25" s="211" t="inlineStr">
        <is>
          <t>Примечание</t>
        </is>
      </c>
      <c r="D25" s="211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ед</t>
        </is>
      </c>
      <c r="E25" s="320" t="n"/>
    </row>
    <row r="26">
      <c r="B26" s="184" t="n"/>
      <c r="C26" s="185" t="n"/>
      <c r="D26" s="185" t="n"/>
    </row>
    <row r="27" ht="37.5" customHeight="1" s="197">
      <c r="B27" s="139" t="n"/>
    </row>
    <row r="28">
      <c r="B28" s="199" t="inlineStr">
        <is>
          <t>Составил ______________________        Д.Ю. Нефедова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99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5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8"/>
  <sheetViews>
    <sheetView view="pageBreakPreview" zoomScale="70" zoomScaleNormal="70" workbookViewId="0">
      <selection activeCell="C24" activeCellId="1" sqref="B8 C24"/>
    </sheetView>
  </sheetViews>
  <sheetFormatPr baseColWidth="8" defaultColWidth="9.140625" defaultRowHeight="15.75"/>
  <cols>
    <col width="5.5703125" customWidth="1" style="199" min="1" max="1"/>
    <col width="9.140625" customWidth="1" style="199" min="2" max="2"/>
    <col width="35.28515625" customWidth="1" style="199" min="3" max="3"/>
    <col width="13.85546875" customWidth="1" style="199" min="4" max="4"/>
    <col width="24.85546875" customWidth="1" style="199" min="5" max="5"/>
    <col width="15.5703125" customWidth="1" style="199" min="6" max="6"/>
    <col width="14.85546875" customWidth="1" style="199" min="7" max="7"/>
    <col width="16.7109375" customWidth="1" style="199" min="8" max="8"/>
    <col width="13" customWidth="1" style="199" min="9" max="10"/>
    <col width="18" customWidth="1" style="199" min="11" max="11"/>
    <col width="9.140625" customWidth="1" style="199" min="12" max="12"/>
  </cols>
  <sheetData>
    <row r="3">
      <c r="B3" s="227" t="inlineStr">
        <is>
          <t>Приложение № 2</t>
        </is>
      </c>
      <c r="K3" s="139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44" t="n"/>
      <c r="C5" s="144" t="n"/>
      <c r="D5" s="144" t="n"/>
      <c r="E5" s="144" t="n"/>
      <c r="F5" s="144" t="n"/>
      <c r="G5" s="144" t="n"/>
      <c r="H5" s="144" t="n"/>
      <c r="I5" s="144" t="n"/>
      <c r="J5" s="144" t="n"/>
      <c r="K5" s="144" t="n"/>
    </row>
    <row r="6" ht="15.75" customHeight="1" s="197">
      <c r="B6" s="234" t="inlineStr">
        <is>
          <t>Наименование разрабатываемого показателя УНЦ —  Система автоматического пожаротушения.</t>
        </is>
      </c>
      <c r="K6" s="139" t="n"/>
    </row>
    <row r="7">
      <c r="B7" s="229" t="inlineStr">
        <is>
          <t>Единица измерения  — 1 м2</t>
        </is>
      </c>
    </row>
    <row r="8">
      <c r="B8" s="229" t="n"/>
    </row>
    <row r="9" ht="15.75" customHeight="1" s="197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197">
      <c r="B10" s="323" t="n"/>
      <c r="C10" s="323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2 кв. 2017 г., тыс. руб.</t>
        </is>
      </c>
      <c r="G10" s="321" t="n"/>
      <c r="H10" s="321" t="n"/>
      <c r="I10" s="321" t="n"/>
      <c r="J10" s="322" t="n"/>
    </row>
    <row r="11" ht="31.5" customHeight="1" s="197">
      <c r="B11" s="324" t="n"/>
      <c r="C11" s="324" t="n"/>
      <c r="D11" s="324" t="n"/>
      <c r="E11" s="324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105" customHeight="1" s="197">
      <c r="B12" s="238" t="n">
        <v>1</v>
      </c>
      <c r="C12" s="236" t="inlineStr">
        <is>
          <t>Модуль  К2-1 МП (60-100-50) ЭмР-ЭМП - 6 шт
Модуль  1 МП (60-100-50) - 12 шт
Зарядка с хладоном 227еа ~ 4147 кг
Баллон испытательный переносной  БИП -125  - 6 шт
Коллектор - 5 шт
Трубы стальные - 383,05 м
Пульт контроля С2000-М - 1 шт
Блок контрольно-пусковой С2000КПБ - 6 шт
Блок контроля и индикации С2000-БКИ - 3 шт
Расширитель адресный - 31 шт
Извещатели - 492 шт
Оповещатели - 77 шт
Кабель - 565 м</t>
        </is>
      </c>
      <c r="D12" s="174" t="inlineStr">
        <is>
          <t>05-05-01</t>
        </is>
      </c>
      <c r="E12" s="235" t="inlineStr">
        <is>
          <t xml:space="preserve">Монтаж системы автоматического пожаротушения. Здание ЗРУ 10 кВ </t>
        </is>
      </c>
      <c r="F12" s="175">
        <f>40/1000*6.51</f>
        <v/>
      </c>
      <c r="G12" s="175">
        <f>21866/1000*6.51</f>
        <v/>
      </c>
      <c r="H12" s="175">
        <f>239829/1000*4.28</f>
        <v/>
      </c>
      <c r="I12" s="176" t="n"/>
      <c r="J12" s="177">
        <f>SUM(F12:I12)</f>
        <v/>
      </c>
    </row>
    <row r="13" ht="105" customHeight="1" s="197">
      <c r="B13" s="323" t="n"/>
      <c r="C13" s="323" t="n"/>
      <c r="D13" s="174" t="inlineStr">
        <is>
          <t>05-05-02</t>
        </is>
      </c>
      <c r="E13" s="235" t="inlineStr">
        <is>
          <t>Монтаж системы газового пожаротушения.
Здание ОПУ</t>
        </is>
      </c>
      <c r="F13" s="175">
        <f>694/1000*6.51</f>
        <v/>
      </c>
      <c r="G13" s="175">
        <f>130155/1000*6.51</f>
        <v/>
      </c>
      <c r="H13" s="175">
        <f>2129392/1000*4.28</f>
        <v/>
      </c>
      <c r="I13" s="176" t="n"/>
      <c r="J13" s="177">
        <f>SUM(F13:I13)</f>
        <v/>
      </c>
    </row>
    <row r="14" ht="105" customHeight="1" s="197">
      <c r="B14" s="323" t="n"/>
      <c r="C14" s="323" t="n"/>
      <c r="D14" s="174" t="inlineStr">
        <is>
          <t>05-06-03</t>
        </is>
      </c>
      <c r="E14" s="235" t="inlineStr">
        <is>
          <t>Система пожарной сигнализации и оповещения о пожаре</t>
        </is>
      </c>
      <c r="F14" s="175" t="n"/>
      <c r="G14" s="175">
        <f>(257683)/1000*6.51</f>
        <v/>
      </c>
      <c r="H14" s="175" t="n"/>
      <c r="I14" s="176" t="n"/>
      <c r="J14" s="177">
        <f>SUM(F14:I14)</f>
        <v/>
      </c>
    </row>
    <row r="15" ht="15.75" customHeight="1" s="197">
      <c r="B15" s="233" t="inlineStr">
        <is>
          <t>Всего по объекту:</t>
        </is>
      </c>
      <c r="C15" s="321" t="n"/>
      <c r="D15" s="321" t="n"/>
      <c r="E15" s="322" t="n"/>
      <c r="F15" s="178">
        <f>SUM(F12:F14)</f>
        <v/>
      </c>
      <c r="G15" s="178">
        <f>SUM(G12:G14)</f>
        <v/>
      </c>
      <c r="H15" s="178">
        <f>SUM(H12:H14)</f>
        <v/>
      </c>
      <c r="I15" s="117" t="n"/>
      <c r="J15" s="179">
        <f>SUM(F15:I15)</f>
        <v/>
      </c>
    </row>
    <row r="16" ht="28.5" customHeight="1" s="197">
      <c r="B16" s="233" t="inlineStr">
        <is>
          <t>Всего по объекту в сопоставимом уровне цен 2 кв. 2017 г:</t>
        </is>
      </c>
      <c r="C16" s="321" t="n"/>
      <c r="D16" s="321" t="n"/>
      <c r="E16" s="322" t="n"/>
      <c r="F16" s="178">
        <f>F15</f>
        <v/>
      </c>
      <c r="G16" s="178">
        <f>G15</f>
        <v/>
      </c>
      <c r="H16" s="178">
        <f>H15</f>
        <v/>
      </c>
      <c r="I16" s="117" t="n"/>
      <c r="J16" s="179">
        <f>SUM(F16:I16)</f>
        <v/>
      </c>
    </row>
    <row r="17">
      <c r="B17" s="229" t="n"/>
    </row>
    <row r="20">
      <c r="B20" s="259" t="inlineStr">
        <is>
          <t>*</t>
        </is>
      </c>
      <c r="C20" s="199" t="inlineStr">
        <is>
          <t xml:space="preserve"> - стоимость с учетом исключения затрат на корректровку по транспортировке  свыше 30 км.</t>
        </is>
      </c>
    </row>
    <row r="24">
      <c r="B24" s="199" t="inlineStr">
        <is>
          <t>Составил ______________________        Д.Ю. Нефедова</t>
        </is>
      </c>
    </row>
    <row r="25">
      <c r="B25" s="139" t="inlineStr">
        <is>
          <t xml:space="preserve">                         (подпись, инициалы, фамилия)</t>
        </is>
      </c>
    </row>
    <row r="27">
      <c r="B27" s="199" t="inlineStr">
        <is>
          <t>Проверил ______________________        А.В. Костянецкая</t>
        </is>
      </c>
    </row>
    <row r="28">
      <c r="B28" s="139" t="inlineStr">
        <is>
          <t xml:space="preserve">                        (подпись, инициалы, фамилия)</t>
        </is>
      </c>
    </row>
  </sheetData>
  <mergeCells count="14">
    <mergeCell ref="B3:J3"/>
    <mergeCell ref="D10:D11"/>
    <mergeCell ref="C12:C14"/>
    <mergeCell ref="B4:K4"/>
    <mergeCell ref="D9:J9"/>
    <mergeCell ref="B12:B14"/>
    <mergeCell ref="F10:J10"/>
    <mergeCell ref="B16:E16"/>
    <mergeCell ref="B15:E15"/>
    <mergeCell ref="B6:J6"/>
    <mergeCell ref="B7:K7"/>
    <mergeCell ref="B9:B11"/>
    <mergeCell ref="E10:E11"/>
    <mergeCell ref="C9:C11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78"/>
  <sheetViews>
    <sheetView view="pageBreakPreview" topLeftCell="A151" zoomScale="70" workbookViewId="0">
      <selection activeCell="C172" sqref="C172:C173"/>
    </sheetView>
  </sheetViews>
  <sheetFormatPr baseColWidth="8" defaultColWidth="9.140625" defaultRowHeight="15.75"/>
  <cols>
    <col width="9.140625" customWidth="1" style="199" min="1" max="1"/>
    <col width="12.5703125" customWidth="1" style="199" min="2" max="2"/>
    <col width="22.42578125" customWidth="1" style="199" min="3" max="3"/>
    <col width="49.7109375" customWidth="1" style="199" min="4" max="4"/>
    <col width="10.140625" customWidth="1" style="160" min="5" max="5"/>
    <col width="20.7109375" customWidth="1" style="199" min="6" max="6"/>
    <col width="16.140625" customWidth="1" style="199" min="7" max="7"/>
    <col width="16.7109375" customWidth="1" style="199" min="8" max="8"/>
    <col width="9.140625" customWidth="1" style="199" min="9" max="9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>
      <c r="A4" s="229" t="n"/>
    </row>
    <row r="5">
      <c r="A5" s="234" t="inlineStr">
        <is>
          <t>Наименование разрабатываемого показателя УНЦ - Система автоматического пожаротушения.</t>
        </is>
      </c>
    </row>
    <row r="6" s="197">
      <c r="A6" s="234" t="n"/>
      <c r="B6" s="234" t="n"/>
      <c r="C6" s="234" t="n"/>
      <c r="D6" s="234" t="n"/>
      <c r="E6" s="234" t="n"/>
      <c r="F6" s="234" t="n"/>
      <c r="G6" s="234" t="n"/>
      <c r="H6" s="234" t="n"/>
      <c r="I6" s="199" t="n"/>
    </row>
    <row r="7" s="197">
      <c r="A7" s="234" t="n"/>
      <c r="B7" s="234" t="n"/>
      <c r="C7" s="234" t="n"/>
      <c r="D7" s="234" t="n"/>
      <c r="E7" s="234" t="n"/>
      <c r="F7" s="234" t="n"/>
      <c r="G7" s="234" t="n"/>
      <c r="H7" s="234" t="n"/>
      <c r="I7" s="199" t="n"/>
    </row>
    <row r="8">
      <c r="A8" s="234" t="n"/>
      <c r="B8" s="234" t="n"/>
      <c r="C8" s="234" t="n"/>
      <c r="D8" s="234" t="n"/>
      <c r="E8" s="144" t="n"/>
      <c r="F8" s="234" t="n"/>
      <c r="G8" s="234" t="n"/>
      <c r="H8" s="234" t="n"/>
    </row>
    <row r="9" ht="38.25" customHeight="1" s="197">
      <c r="A9" s="235" t="inlineStr">
        <is>
          <t>п/п</t>
        </is>
      </c>
      <c r="B9" s="235" t="inlineStr">
        <is>
          <t>№ЛСР</t>
        </is>
      </c>
      <c r="C9" s="235" t="inlineStr">
        <is>
          <t>Код ресурса</t>
        </is>
      </c>
      <c r="D9" s="235" t="inlineStr">
        <is>
          <t>Наименование ресурса</t>
        </is>
      </c>
      <c r="E9" s="235" t="inlineStr">
        <is>
          <t>Ед. изм.</t>
        </is>
      </c>
      <c r="F9" s="235" t="inlineStr">
        <is>
          <t>Кол-во единиц по данным объекта-представителя</t>
        </is>
      </c>
      <c r="G9" s="235" t="inlineStr">
        <is>
          <t>Сметная стоимость в ценах на 01.01.2000 (руб.)</t>
        </is>
      </c>
      <c r="H9" s="322" t="n"/>
    </row>
    <row r="10" ht="40.5" customHeight="1" s="197">
      <c r="A10" s="324" t="n"/>
      <c r="B10" s="324" t="n"/>
      <c r="C10" s="324" t="n"/>
      <c r="D10" s="324" t="n"/>
      <c r="E10" s="324" t="n"/>
      <c r="F10" s="324" t="n"/>
      <c r="G10" s="235" t="inlineStr">
        <is>
          <t>на ед.изм.</t>
        </is>
      </c>
      <c r="H10" s="235" t="inlineStr">
        <is>
          <t>общая</t>
        </is>
      </c>
    </row>
    <row r="11">
      <c r="A11" s="236" t="n">
        <v>1</v>
      </c>
      <c r="B11" s="236" t="n"/>
      <c r="C11" s="236" t="n">
        <v>2</v>
      </c>
      <c r="D11" s="236" t="inlineStr">
        <is>
          <t>З</t>
        </is>
      </c>
      <c r="E11" s="236" t="n">
        <v>4</v>
      </c>
      <c r="F11" s="236" t="n">
        <v>5</v>
      </c>
      <c r="G11" s="236" t="n">
        <v>6</v>
      </c>
      <c r="H11" s="236" t="n">
        <v>7</v>
      </c>
    </row>
    <row r="12" customFormat="1" s="188">
      <c r="A12" s="240" t="inlineStr">
        <is>
          <t>Затраты труда рабочих</t>
        </is>
      </c>
      <c r="B12" s="321" t="n"/>
      <c r="C12" s="321" t="n"/>
      <c r="D12" s="321" t="n"/>
      <c r="E12" s="322" t="n"/>
      <c r="F12" s="153" t="n">
        <v>3240.0965791</v>
      </c>
      <c r="G12" s="153" t="n"/>
      <c r="H12" s="153">
        <f>SUM(H13:H21)</f>
        <v/>
      </c>
    </row>
    <row r="13">
      <c r="A13" s="241" t="n">
        <v>1</v>
      </c>
      <c r="B13" s="158" t="inlineStr">
        <is>
          <t> </t>
        </is>
      </c>
      <c r="C13" s="148" t="inlineStr">
        <is>
          <t>1-4-0</t>
        </is>
      </c>
      <c r="D13" s="242" t="inlineStr">
        <is>
          <t>Затраты труда рабочих (ср 4)</t>
        </is>
      </c>
      <c r="E13" s="161" t="inlineStr">
        <is>
          <t>чел.-ч</t>
        </is>
      </c>
      <c r="F13" s="241" t="n">
        <v>1736.68985</v>
      </c>
      <c r="G13" s="151" t="n">
        <v>9.619999999999999</v>
      </c>
      <c r="H13" s="151">
        <f>ROUND(F13*G13,2)</f>
        <v/>
      </c>
      <c r="L13" s="325" t="n"/>
    </row>
    <row r="14">
      <c r="A14" s="241" t="n">
        <v>2</v>
      </c>
      <c r="B14" s="158" t="inlineStr">
        <is>
          <t> </t>
        </is>
      </c>
      <c r="C14" s="148" t="inlineStr">
        <is>
          <t>1-3-8</t>
        </is>
      </c>
      <c r="D14" s="242" t="inlineStr">
        <is>
          <t>Затраты труда рабочих (ср 3,8)</t>
        </is>
      </c>
      <c r="E14" s="161" t="inlineStr">
        <is>
          <t>чел.-ч</t>
        </is>
      </c>
      <c r="F14" s="241" t="n">
        <v>828.848</v>
      </c>
      <c r="G14" s="151" t="n">
        <v>9.4</v>
      </c>
      <c r="H14" s="151">
        <f>ROUND(F14*G14,2)</f>
        <v/>
      </c>
    </row>
    <row r="15">
      <c r="A15" s="241" t="n">
        <v>3</v>
      </c>
      <c r="B15" s="158" t="inlineStr">
        <is>
          <t> </t>
        </is>
      </c>
      <c r="C15" s="148" t="inlineStr">
        <is>
          <t>1-4-3</t>
        </is>
      </c>
      <c r="D15" s="242" t="inlineStr">
        <is>
          <t>Затраты труда рабочих (ср 4,3)</t>
        </is>
      </c>
      <c r="E15" s="161" t="inlineStr">
        <is>
          <t>чел.-ч</t>
        </is>
      </c>
      <c r="F15" s="241" t="n">
        <v>475.1</v>
      </c>
      <c r="G15" s="151" t="n">
        <v>10.06</v>
      </c>
      <c r="H15" s="151">
        <f>ROUND(F15*G15,2)</f>
        <v/>
      </c>
    </row>
    <row r="16">
      <c r="A16" s="241" t="n">
        <v>4</v>
      </c>
      <c r="B16" s="158" t="inlineStr">
        <is>
          <t> </t>
        </is>
      </c>
      <c r="C16" s="148" t="inlineStr">
        <is>
          <t>1-4-2</t>
        </is>
      </c>
      <c r="D16" s="242" t="inlineStr">
        <is>
          <t>Затраты труда рабочих (ср 4,2)</t>
        </is>
      </c>
      <c r="E16" s="161" t="inlineStr">
        <is>
          <t>чел.-ч</t>
        </is>
      </c>
      <c r="F16" s="241" t="n">
        <v>89.004</v>
      </c>
      <c r="G16" s="151" t="n">
        <v>9.92</v>
      </c>
      <c r="H16" s="151">
        <f>ROUND(F16*G16,2)</f>
        <v/>
      </c>
    </row>
    <row r="17">
      <c r="A17" s="241" t="n">
        <v>5</v>
      </c>
      <c r="B17" s="158" t="inlineStr">
        <is>
          <t> </t>
        </is>
      </c>
      <c r="C17" s="148" t="inlineStr">
        <is>
          <t>1-3-5</t>
        </is>
      </c>
      <c r="D17" s="242" t="inlineStr">
        <is>
          <t>Затраты труда рабочих (ср 3,5)</t>
        </is>
      </c>
      <c r="E17" s="161" t="inlineStr">
        <is>
          <t>чел.-ч</t>
        </is>
      </c>
      <c r="F17" s="241" t="n">
        <v>77.17709979999999</v>
      </c>
      <c r="G17" s="151" t="n">
        <v>9.07</v>
      </c>
      <c r="H17" s="151">
        <f>ROUND(F17*G17,2)</f>
        <v/>
      </c>
    </row>
    <row r="18">
      <c r="A18" s="241" t="n">
        <v>6</v>
      </c>
      <c r="B18" s="158" t="inlineStr">
        <is>
          <t> </t>
        </is>
      </c>
      <c r="C18" s="148" t="inlineStr">
        <is>
          <t>1-3-2</t>
        </is>
      </c>
      <c r="D18" s="242" t="inlineStr">
        <is>
          <t>Затраты труда рабочих (ср 3,2)</t>
        </is>
      </c>
      <c r="E18" s="161" t="inlineStr">
        <is>
          <t>чел.-ч</t>
        </is>
      </c>
      <c r="F18" s="241" t="n">
        <v>25.29</v>
      </c>
      <c r="G18" s="151" t="n">
        <v>8.74</v>
      </c>
      <c r="H18" s="151">
        <f>ROUND(F18*G18,2)</f>
        <v/>
      </c>
    </row>
    <row r="19">
      <c r="A19" s="241" t="n">
        <v>7</v>
      </c>
      <c r="B19" s="158" t="inlineStr">
        <is>
          <t> </t>
        </is>
      </c>
      <c r="C19" s="148" t="inlineStr">
        <is>
          <t>1-4-7</t>
        </is>
      </c>
      <c r="D19" s="242" t="inlineStr">
        <is>
          <t>Затраты труда рабочих (ср 4,7)</t>
        </is>
      </c>
      <c r="E19" s="161" t="inlineStr">
        <is>
          <t>чел.-ч</t>
        </is>
      </c>
      <c r="F19" s="241" t="n">
        <v>3.4888293</v>
      </c>
      <c r="G19" s="151" t="n">
        <v>10.65</v>
      </c>
      <c r="H19" s="151">
        <f>ROUND(F19*G19,2)</f>
        <v/>
      </c>
    </row>
    <row r="20">
      <c r="A20" s="241" t="n">
        <v>8</v>
      </c>
      <c r="B20" s="158" t="n"/>
      <c r="C20" s="148" t="inlineStr">
        <is>
          <t>1-4-5</t>
        </is>
      </c>
      <c r="D20" s="242" t="inlineStr">
        <is>
          <t>Затраты труда рабочих (ср 4,5)</t>
        </is>
      </c>
      <c r="E20" s="161" t="inlineStr">
        <is>
          <t>чел.-ч</t>
        </is>
      </c>
      <c r="F20" s="241" t="n">
        <v>3.3</v>
      </c>
      <c r="G20" s="151" t="n">
        <v>10.35</v>
      </c>
      <c r="H20" s="151">
        <f>ROUND(F20*G20,2)</f>
        <v/>
      </c>
    </row>
    <row r="21">
      <c r="A21" s="241" t="n">
        <v>9</v>
      </c>
      <c r="B21" s="158" t="n"/>
      <c r="C21" s="148" t="inlineStr">
        <is>
          <t>1-5-1</t>
        </is>
      </c>
      <c r="D21" s="242" t="inlineStr">
        <is>
          <t>Затраты труда рабочих (ср 5,1)</t>
        </is>
      </c>
      <c r="E21" s="161" t="inlineStr">
        <is>
          <t>чел.-ч</t>
        </is>
      </c>
      <c r="F21" s="241" t="n">
        <v>1.1988</v>
      </c>
      <c r="G21" s="151" t="n">
        <v>11.27</v>
      </c>
      <c r="H21" s="151">
        <f>ROUND(F21*G21,2)</f>
        <v/>
      </c>
    </row>
    <row r="22">
      <c r="A22" s="240" t="inlineStr">
        <is>
          <t>Затраты труда машинистов</t>
        </is>
      </c>
      <c r="B22" s="321" t="n"/>
      <c r="C22" s="321" t="n"/>
      <c r="D22" s="321" t="n"/>
      <c r="E22" s="322" t="n"/>
      <c r="F22" s="240" t="n">
        <v>128.6302805</v>
      </c>
      <c r="G22" s="153" t="n"/>
      <c r="H22" s="153">
        <f>H23</f>
        <v/>
      </c>
    </row>
    <row r="23">
      <c r="A23" s="241" t="n">
        <v>10</v>
      </c>
      <c r="B23" s="241" t="inlineStr">
        <is>
          <t> </t>
        </is>
      </c>
      <c r="C23" s="242" t="n">
        <v>2</v>
      </c>
      <c r="D23" s="242" t="inlineStr">
        <is>
          <t>Затраты труда машинистов</t>
        </is>
      </c>
      <c r="E23" s="161" t="inlineStr">
        <is>
          <t>чел.-ч</t>
        </is>
      </c>
      <c r="F23" s="241" t="n">
        <v>128.6302805</v>
      </c>
      <c r="G23" s="151" t="n">
        <v>0</v>
      </c>
      <c r="H23" s="151" t="n">
        <v>1505.3</v>
      </c>
    </row>
    <row r="24" customFormat="1" s="188">
      <c r="A24" s="240" t="inlineStr">
        <is>
          <t>Машины и механизмы</t>
        </is>
      </c>
      <c r="B24" s="321" t="n"/>
      <c r="C24" s="321" t="n"/>
      <c r="D24" s="321" t="n"/>
      <c r="E24" s="322" t="n"/>
      <c r="F24" s="240" t="n"/>
      <c r="G24" s="153" t="n"/>
      <c r="H24" s="153">
        <f>SUM(H25:H45)</f>
        <v/>
      </c>
    </row>
    <row r="25" ht="31.5" customHeight="1" s="197">
      <c r="A25" s="241" t="n">
        <v>11</v>
      </c>
      <c r="B25" s="241" t="inlineStr">
        <is>
          <t> </t>
        </is>
      </c>
      <c r="C25" s="242" t="inlineStr">
        <is>
          <t>91.06.03-058</t>
        </is>
      </c>
      <c r="D25" s="242" t="inlineStr">
        <is>
          <t>Лебедки электрические тяговым усилием 156,96 кН (16 т)</t>
        </is>
      </c>
      <c r="E25" s="161" t="inlineStr">
        <is>
          <t>маш.час</t>
        </is>
      </c>
      <c r="F25" s="241" t="n">
        <v>72.5</v>
      </c>
      <c r="G25" s="151" t="n">
        <v>131.44</v>
      </c>
      <c r="H25" s="151">
        <f>ROUND(F25*G25,2)</f>
        <v/>
      </c>
      <c r="J25" s="154" t="n"/>
    </row>
    <row r="26" ht="31.5" customFormat="1" customHeight="1" s="188">
      <c r="A26" s="241" t="n">
        <v>12</v>
      </c>
      <c r="B26" s="241" t="inlineStr">
        <is>
          <t> </t>
        </is>
      </c>
      <c r="C26" s="242" t="inlineStr">
        <is>
          <t>91.05.05-015</t>
        </is>
      </c>
      <c r="D26" s="242" t="inlineStr">
        <is>
          <t>Краны на автомобильном ходу, грузоподъемность 16 т</t>
        </is>
      </c>
      <c r="E26" s="161" t="inlineStr">
        <is>
          <t>маш.час</t>
        </is>
      </c>
      <c r="F26" s="241" t="n">
        <v>11.6417872</v>
      </c>
      <c r="G26" s="151" t="n">
        <v>115.4</v>
      </c>
      <c r="H26" s="151">
        <f>ROUND(F26*G26,2)</f>
        <v/>
      </c>
      <c r="J26" s="154" t="n"/>
    </row>
    <row r="27" ht="31.5" customFormat="1" customHeight="1" s="188">
      <c r="A27" s="241" t="n">
        <v>13</v>
      </c>
      <c r="B27" s="241" t="inlineStr">
        <is>
          <t> </t>
        </is>
      </c>
      <c r="C27" s="242" t="inlineStr">
        <is>
          <t>91.17.04-233</t>
        </is>
      </c>
      <c r="D27" s="242" t="inlineStr">
        <is>
          <t>Установки для сварки ручной дуговой (постоянного тока)</t>
        </is>
      </c>
      <c r="E27" s="161" t="inlineStr">
        <is>
          <t>маш.час</t>
        </is>
      </c>
      <c r="F27" s="241" t="n">
        <v>138.201031</v>
      </c>
      <c r="G27" s="151" t="n">
        <v>8.1</v>
      </c>
      <c r="H27" s="151">
        <f>ROUND(F27*G27,2)</f>
        <v/>
      </c>
      <c r="J27" s="154" t="n"/>
    </row>
    <row r="28" ht="31.5" customFormat="1" customHeight="1" s="188">
      <c r="A28" s="241" t="n">
        <v>14</v>
      </c>
      <c r="B28" s="241" t="inlineStr">
        <is>
          <t> </t>
        </is>
      </c>
      <c r="C28" s="242" t="inlineStr">
        <is>
          <t>91.14.02-001</t>
        </is>
      </c>
      <c r="D28" s="242" t="inlineStr">
        <is>
          <t>Автомобили бортовые, грузоподъемность до 5 т</t>
        </is>
      </c>
      <c r="E28" s="161" t="inlineStr">
        <is>
          <t>маш.час</t>
        </is>
      </c>
      <c r="F28" s="241" t="n">
        <v>14.2007841</v>
      </c>
      <c r="G28" s="151" t="n">
        <v>65.70999999999999</v>
      </c>
      <c r="H28" s="151">
        <f>ROUND(F28*G28,2)</f>
        <v/>
      </c>
      <c r="J28" s="154" t="n"/>
    </row>
    <row r="29" ht="31.5" customFormat="1" customHeight="1" s="188">
      <c r="A29" s="241" t="n">
        <v>15</v>
      </c>
      <c r="B29" s="241" t="inlineStr">
        <is>
          <t> </t>
        </is>
      </c>
      <c r="C29" s="242" t="inlineStr">
        <is>
          <t>91.05.04-006</t>
        </is>
      </c>
      <c r="D29" s="242" t="inlineStr">
        <is>
          <t>Краны мостовые электрические, грузоподъемность 10 т</t>
        </is>
      </c>
      <c r="E29" s="161" t="inlineStr">
        <is>
          <t>маш.час</t>
        </is>
      </c>
      <c r="F29" s="241" t="n">
        <v>10.18</v>
      </c>
      <c r="G29" s="151" t="n">
        <v>73.12</v>
      </c>
      <c r="H29" s="151">
        <f>ROUND(F29*G29,2)</f>
        <v/>
      </c>
      <c r="J29" s="154" t="n"/>
      <c r="K29" s="155" t="n"/>
    </row>
    <row r="30" ht="47.25" customFormat="1" customHeight="1" s="188">
      <c r="A30" s="241" t="n">
        <v>16</v>
      </c>
      <c r="B30" s="241" t="inlineStr">
        <is>
          <t> </t>
        </is>
      </c>
      <c r="C30" s="242" t="inlineStr">
        <is>
          <t>91.18.01-015</t>
        </is>
      </c>
      <c r="D30" s="242" t="inlineStr">
        <is>
          <t>Компрессоры самоходные с двигателем внутреннего сгорания, давление 800 кПа (8 ат), производительность 6,3 м3/мин</t>
        </is>
      </c>
      <c r="E30" s="161" t="inlineStr">
        <is>
          <t>маш.час</t>
        </is>
      </c>
      <c r="F30" s="241" t="n">
        <v>6.2741875</v>
      </c>
      <c r="G30" s="151" t="n">
        <v>100</v>
      </c>
      <c r="H30" s="151">
        <f>ROUND(F30*G30,2)</f>
        <v/>
      </c>
      <c r="J30" s="154" t="n"/>
      <c r="K30" s="155" t="n"/>
    </row>
    <row r="31" customFormat="1" s="188">
      <c r="A31" s="241" t="n">
        <v>17</v>
      </c>
      <c r="B31" s="241" t="inlineStr">
        <is>
          <t> </t>
        </is>
      </c>
      <c r="C31" s="242" t="inlineStr">
        <is>
          <t>91.19.08-007</t>
        </is>
      </c>
      <c r="D31" s="242" t="inlineStr">
        <is>
          <t>Насосы мощностью 7,2 м3/ч</t>
        </is>
      </c>
      <c r="E31" s="161" t="inlineStr">
        <is>
          <t>маш.час</t>
        </is>
      </c>
      <c r="F31" s="241" t="n">
        <v>25.09675</v>
      </c>
      <c r="G31" s="151" t="n">
        <v>18.68</v>
      </c>
      <c r="H31" s="151">
        <f>ROUND(F31*G31,2)</f>
        <v/>
      </c>
      <c r="K31" s="154" t="n"/>
    </row>
    <row r="32" ht="31.5" customFormat="1" customHeight="1" s="188">
      <c r="A32" s="241" t="n">
        <v>18</v>
      </c>
      <c r="B32" s="241" t="inlineStr">
        <is>
          <t> </t>
        </is>
      </c>
      <c r="C32" s="242" t="inlineStr">
        <is>
          <t>91.21.12-002</t>
        </is>
      </c>
      <c r="D32" s="242" t="inlineStr">
        <is>
          <t>Ножницы листовые кривошипные гильотинные</t>
        </is>
      </c>
      <c r="E32" s="161" t="inlineStr">
        <is>
          <t>маш.час</t>
        </is>
      </c>
      <c r="F32" s="241" t="n">
        <v>6.036</v>
      </c>
      <c r="G32" s="151" t="n">
        <v>70</v>
      </c>
      <c r="H32" s="151">
        <f>ROUND(F32*G32,2)</f>
        <v/>
      </c>
      <c r="K32" s="154" t="n"/>
    </row>
    <row r="33" ht="31.5" customFormat="1" customHeight="1" s="188">
      <c r="A33" s="241" t="n">
        <v>19</v>
      </c>
      <c r="B33" s="241" t="inlineStr">
        <is>
          <t> </t>
        </is>
      </c>
      <c r="C33" s="242" t="inlineStr">
        <is>
          <t>91.21.16-014</t>
        </is>
      </c>
      <c r="D33" s="242" t="inlineStr">
        <is>
          <t>Прессы листогибочные кривошипные 1000 кН (100 тс)</t>
        </is>
      </c>
      <c r="E33" s="161" t="inlineStr">
        <is>
          <t>маш.час</t>
        </is>
      </c>
      <c r="F33" s="241" t="n">
        <v>6.036</v>
      </c>
      <c r="G33" s="151" t="n">
        <v>56.24</v>
      </c>
      <c r="H33" s="151">
        <f>ROUND(F33*G33,2)</f>
        <v/>
      </c>
      <c r="K33" s="154" t="n"/>
      <c r="L33" s="155" t="n"/>
    </row>
    <row r="34" ht="47.25" customFormat="1" customHeight="1" s="188">
      <c r="A34" s="241" t="n">
        <v>20</v>
      </c>
      <c r="B34" s="241" t="inlineStr">
        <is>
          <t> </t>
        </is>
      </c>
      <c r="C34" s="242" t="inlineStr">
        <is>
          <t>91.18.01-011</t>
        </is>
      </c>
      <c r="D34" s="242" t="inlineStr">
        <is>
          <t>Компрессоры передвижные с электродвигателем давление 600 кПа (6 ат), производительность 0,5 м3/мин</t>
        </is>
      </c>
      <c r="E34" s="161" t="inlineStr">
        <is>
          <t>маш.час</t>
        </is>
      </c>
      <c r="F34" s="241" t="n">
        <v>44.1</v>
      </c>
      <c r="G34" s="151" t="n">
        <v>3.7</v>
      </c>
      <c r="H34" s="151">
        <f>ROUND(F34*G34,2)</f>
        <v/>
      </c>
    </row>
    <row r="35" ht="31.5" customFormat="1" customHeight="1" s="188">
      <c r="A35" s="241" t="n">
        <v>21</v>
      </c>
      <c r="B35" s="241" t="inlineStr">
        <is>
          <t> </t>
        </is>
      </c>
      <c r="C35" s="242" t="inlineStr">
        <is>
          <t>91.21.16-013</t>
        </is>
      </c>
      <c r="D35" s="242" t="inlineStr">
        <is>
          <t>Прессы кривошипные простого действия 25 кН (2,5 тс)</t>
        </is>
      </c>
      <c r="E35" s="161" t="inlineStr">
        <is>
          <t>маш.час</t>
        </is>
      </c>
      <c r="F35" s="241" t="n">
        <v>6.036</v>
      </c>
      <c r="G35" s="151" t="n">
        <v>16.92</v>
      </c>
      <c r="H35" s="151">
        <f>ROUND(F35*G35,2)</f>
        <v/>
      </c>
      <c r="K35" s="154" t="n"/>
    </row>
    <row r="36" ht="31.5" customFormat="1" customHeight="1" s="188">
      <c r="A36" s="241" t="n">
        <v>22</v>
      </c>
      <c r="B36" s="241" t="inlineStr">
        <is>
          <t> </t>
        </is>
      </c>
      <c r="C36" s="242" t="inlineStr">
        <is>
          <t>91.06.03-055</t>
        </is>
      </c>
      <c r="D36" s="242" t="inlineStr">
        <is>
          <t>Лебедки электрические тяговым усилием 19,62 кН (2 т)</t>
        </is>
      </c>
      <c r="E36" s="161" t="inlineStr">
        <is>
          <t>маш.час</t>
        </is>
      </c>
      <c r="F36" s="241" t="n">
        <v>7.4939292</v>
      </c>
      <c r="G36" s="151" t="n">
        <v>6.66</v>
      </c>
      <c r="H36" s="151">
        <f>ROUND(F36*G36,2)</f>
        <v/>
      </c>
      <c r="K36" s="154" t="n"/>
    </row>
    <row r="37" ht="47.25" customFormat="1" customHeight="1" s="188">
      <c r="A37" s="241" t="n">
        <v>23</v>
      </c>
      <c r="B37" s="241" t="inlineStr">
        <is>
          <t> </t>
        </is>
      </c>
      <c r="C37" s="242" t="inlineStr">
        <is>
          <t>91.21.01-012</t>
        </is>
      </c>
      <c r="D37" s="242" t="inlineStr">
        <is>
          <t>Агрегаты окрасочные высокого давления для окраски поверхностей конструкций, мощность 1 кВт</t>
        </is>
      </c>
      <c r="E37" s="161" t="inlineStr">
        <is>
          <t>маш.час</t>
        </is>
      </c>
      <c r="F37" s="241" t="n">
        <v>7.1935295</v>
      </c>
      <c r="G37" s="151" t="n">
        <v>6.82</v>
      </c>
      <c r="H37" s="151">
        <f>ROUND(F37*G37,2)</f>
        <v/>
      </c>
      <c r="K37" s="154" t="n"/>
    </row>
    <row r="38" ht="31.5" customFormat="1" customHeight="1" s="188">
      <c r="A38" s="241" t="n">
        <v>24</v>
      </c>
      <c r="B38" s="241" t="inlineStr">
        <is>
          <t> </t>
        </is>
      </c>
      <c r="C38" s="242" t="inlineStr">
        <is>
          <t>91.06.03-061</t>
        </is>
      </c>
      <c r="D38" s="242" t="inlineStr">
        <is>
          <t>Лебедки электрические тяговым усилием до 12,26 кН (1,25 т)</t>
        </is>
      </c>
      <c r="E38" s="161" t="inlineStr">
        <is>
          <t>маш.час</t>
        </is>
      </c>
      <c r="F38" s="241" t="n">
        <v>13.56</v>
      </c>
      <c r="G38" s="151" t="n">
        <v>3.28</v>
      </c>
      <c r="H38" s="151">
        <f>ROUND(F38*G38,2)</f>
        <v/>
      </c>
      <c r="K38" s="154" t="n"/>
    </row>
    <row r="39" customFormat="1" s="188">
      <c r="A39" s="241" t="n">
        <v>25</v>
      </c>
      <c r="B39" s="241" t="inlineStr">
        <is>
          <t> </t>
        </is>
      </c>
      <c r="C39" s="242" t="inlineStr">
        <is>
          <t>91.21.19-035</t>
        </is>
      </c>
      <c r="D39" s="242" t="inlineStr">
        <is>
          <t>Станки трубонарезные</t>
        </is>
      </c>
      <c r="E39" s="161" t="inlineStr">
        <is>
          <t>маш.час</t>
        </is>
      </c>
      <c r="F39" s="241" t="n">
        <v>1.22818</v>
      </c>
      <c r="G39" s="151" t="n">
        <v>30.46</v>
      </c>
      <c r="H39" s="151">
        <f>ROUND(F39*G39,2)</f>
        <v/>
      </c>
      <c r="K39" s="154" t="n"/>
    </row>
    <row r="40" customFormat="1" s="188">
      <c r="A40" s="241" t="n">
        <v>26</v>
      </c>
      <c r="B40" s="241" t="inlineStr">
        <is>
          <t> </t>
        </is>
      </c>
      <c r="C40" s="242" t="inlineStr">
        <is>
          <t>91.21.19-031</t>
        </is>
      </c>
      <c r="D40" s="242" t="inlineStr">
        <is>
          <t>Станки сверлильные</t>
        </is>
      </c>
      <c r="E40" s="161" t="inlineStr">
        <is>
          <t>маш.час</t>
        </is>
      </c>
      <c r="F40" s="241" t="n">
        <v>6.036</v>
      </c>
      <c r="G40" s="151" t="n">
        <v>2.36</v>
      </c>
      <c r="H40" s="151">
        <f>ROUND(F40*G40,2)</f>
        <v/>
      </c>
      <c r="K40" s="154" t="n"/>
    </row>
    <row r="41" ht="31.5" customFormat="1" customHeight="1" s="188">
      <c r="A41" s="241" t="n">
        <v>27</v>
      </c>
      <c r="B41" s="241" t="inlineStr">
        <is>
          <t> </t>
        </is>
      </c>
      <c r="C41" s="242" t="inlineStr">
        <is>
          <t>91.06.01-003</t>
        </is>
      </c>
      <c r="D41" s="242" t="inlineStr">
        <is>
          <t>Домкраты гидравлические, грузоподъемность 63-100 т</t>
        </is>
      </c>
      <c r="E41" s="161" t="inlineStr">
        <is>
          <t>маш.час</t>
        </is>
      </c>
      <c r="F41" s="241" t="n">
        <v>13.56</v>
      </c>
      <c r="G41" s="151" t="n">
        <v>0.9</v>
      </c>
      <c r="H41" s="151">
        <f>ROUND(F41*G41,2)</f>
        <v/>
      </c>
      <c r="K41" s="154" t="n"/>
    </row>
    <row r="42" customFormat="1" s="188">
      <c r="A42" s="241" t="n">
        <v>28</v>
      </c>
      <c r="B42" s="241" t="inlineStr">
        <is>
          <t> </t>
        </is>
      </c>
      <c r="C42" s="242" t="inlineStr">
        <is>
          <t>91.21.19-033</t>
        </is>
      </c>
      <c r="D42" s="242" t="inlineStr">
        <is>
          <t>Станки токарно-винторезные</t>
        </is>
      </c>
      <c r="E42" s="161" t="inlineStr">
        <is>
          <t>маш.час</t>
        </is>
      </c>
      <c r="F42" s="241" t="n">
        <v>0.5223449999999999</v>
      </c>
      <c r="G42" s="151" t="n">
        <v>19.76</v>
      </c>
      <c r="H42" s="151">
        <f>ROUND(F42*G42,2)</f>
        <v/>
      </c>
      <c r="K42" s="154" t="n"/>
    </row>
    <row r="43" customFormat="1" s="188">
      <c r="A43" s="241" t="n">
        <v>29</v>
      </c>
      <c r="B43" s="241" t="inlineStr">
        <is>
          <t> </t>
        </is>
      </c>
      <c r="C43" s="242" t="inlineStr">
        <is>
          <t>91.17.04-042</t>
        </is>
      </c>
      <c r="D43" s="242" t="inlineStr">
        <is>
          <t>Аппараты для газовой сварки и резки</t>
        </is>
      </c>
      <c r="E43" s="161" t="inlineStr">
        <is>
          <t>маш.час</t>
        </is>
      </c>
      <c r="F43" s="241" t="n">
        <v>4.25</v>
      </c>
      <c r="G43" s="151" t="n">
        <v>1.2</v>
      </c>
      <c r="H43" s="151">
        <f>ROUND(F43*G43,2)</f>
        <v/>
      </c>
      <c r="K43" s="154" t="n"/>
    </row>
    <row r="44" ht="31.5" customFormat="1" customHeight="1" s="188">
      <c r="A44" s="241" t="n">
        <v>30</v>
      </c>
      <c r="B44" s="241" t="inlineStr">
        <is>
          <t> </t>
        </is>
      </c>
      <c r="C44" s="242" t="inlineStr">
        <is>
          <t>91.06.03-060</t>
        </is>
      </c>
      <c r="D44" s="242" t="inlineStr">
        <is>
          <t>Лебедки электрические тяговым усилием до 5,79 кН (0,59 т)</t>
        </is>
      </c>
      <c r="E44" s="161" t="inlineStr">
        <is>
          <t>маш.час</t>
        </is>
      </c>
      <c r="F44" s="241" t="n">
        <v>0.8609969</v>
      </c>
      <c r="G44" s="151" t="n">
        <v>1.7</v>
      </c>
      <c r="H44" s="151">
        <f>ROUND(F44*G44,2)</f>
        <v/>
      </c>
      <c r="K44" s="154" t="n"/>
    </row>
    <row r="45" customFormat="1" s="188">
      <c r="A45" s="241" t="n">
        <v>31</v>
      </c>
      <c r="B45" s="241" t="inlineStr">
        <is>
          <t> </t>
        </is>
      </c>
      <c r="C45" s="242" t="inlineStr">
        <is>
          <t>91.06.05-011</t>
        </is>
      </c>
      <c r="D45" s="242" t="inlineStr">
        <is>
          <t>Погрузчики, грузоподъемность 5 т</t>
        </is>
      </c>
      <c r="E45" s="161" t="inlineStr">
        <is>
          <t>маш.час</t>
        </is>
      </c>
      <c r="F45" s="241" t="n">
        <v>0.0109969</v>
      </c>
      <c r="G45" s="151" t="n">
        <v>89.98999999999999</v>
      </c>
      <c r="H45" s="151">
        <f>ROUND(F45*G45,2)</f>
        <v/>
      </c>
      <c r="K45" s="154" t="n"/>
    </row>
    <row r="46">
      <c r="A46" s="240" t="inlineStr">
        <is>
          <t>Оборудование</t>
        </is>
      </c>
      <c r="B46" s="321" t="n"/>
      <c r="C46" s="321" t="n"/>
      <c r="D46" s="321" t="n"/>
      <c r="E46" s="322" t="n"/>
      <c r="F46" s="240" t="n"/>
      <c r="G46" s="153" t="n"/>
      <c r="H46" s="153">
        <f>SUM(H47:H83)</f>
        <v/>
      </c>
    </row>
    <row r="47" ht="31.5" customFormat="1" customHeight="1" s="188">
      <c r="A47" s="241" t="n">
        <v>32</v>
      </c>
      <c r="B47" s="241" t="inlineStr">
        <is>
          <t> </t>
        </is>
      </c>
      <c r="C47" s="242" t="inlineStr">
        <is>
          <t>Прайс из СД ОП</t>
        </is>
      </c>
      <c r="D47" s="242" t="inlineStr">
        <is>
          <t>Модуль  К2-1 МП (60-160-50) ЭмР-ЭМП на раме в комплекте</t>
        </is>
      </c>
      <c r="E47" s="161" t="inlineStr">
        <is>
          <t>к-т</t>
        </is>
      </c>
      <c r="F47" s="241" t="n">
        <v>1</v>
      </c>
      <c r="G47" s="151" t="n">
        <v>259933.87</v>
      </c>
      <c r="H47" s="151">
        <f>ROUND(F47*G47,2)</f>
        <v/>
      </c>
      <c r="J47" s="154" t="n"/>
    </row>
    <row r="48" customFormat="1" s="188">
      <c r="A48" s="241" t="n">
        <v>33</v>
      </c>
      <c r="B48" s="241" t="inlineStr">
        <is>
          <t> </t>
        </is>
      </c>
      <c r="C48" s="242" t="inlineStr">
        <is>
          <t>01.3.02.11-0022</t>
        </is>
      </c>
      <c r="D48" s="242" t="inlineStr">
        <is>
          <t>Фреон</t>
        </is>
      </c>
      <c r="E48" s="161" t="inlineStr">
        <is>
          <t>т</t>
        </is>
      </c>
      <c r="F48" s="241" t="n">
        <v>3.74</v>
      </c>
      <c r="G48" s="151" t="n">
        <v>68400</v>
      </c>
      <c r="H48" s="151">
        <f>ROUND(F48*G48,2)</f>
        <v/>
      </c>
      <c r="J48" s="154" t="n"/>
    </row>
    <row r="49" customFormat="1" s="188">
      <c r="A49" s="241" t="n">
        <v>34</v>
      </c>
      <c r="B49" s="241" t="inlineStr">
        <is>
          <t> </t>
        </is>
      </c>
      <c r="C49" s="242" t="inlineStr">
        <is>
          <t>Прайс из СД ОП</t>
        </is>
      </c>
      <c r="D49" s="242" t="inlineStr">
        <is>
          <t>Модуль  1 МП (60-160-50) запас</t>
        </is>
      </c>
      <c r="E49" s="161" t="inlineStr">
        <is>
          <t>к-т</t>
        </is>
      </c>
      <c r="F49" s="241" t="n">
        <v>8</v>
      </c>
      <c r="G49" s="151" t="n">
        <v>26987.96</v>
      </c>
      <c r="H49" s="151">
        <f>ROUND(F49*G49,2)</f>
        <v/>
      </c>
      <c r="J49" s="154" t="n"/>
    </row>
    <row r="50" ht="31.5" customFormat="1" customHeight="1" s="188">
      <c r="A50" s="241" t="n">
        <v>35</v>
      </c>
      <c r="B50" s="241" t="inlineStr">
        <is>
          <t> </t>
        </is>
      </c>
      <c r="C50" s="242" t="inlineStr">
        <is>
          <t>Прайс из СД ОП</t>
        </is>
      </c>
      <c r="D50" s="242" t="inlineStr">
        <is>
          <t>Модуль  К2-1 МП (60-100-50) ЭмР-ЭМП на раме в комплекте</t>
        </is>
      </c>
      <c r="E50" s="161" t="inlineStr">
        <is>
          <t>к-т</t>
        </is>
      </c>
      <c r="F50" s="241" t="n">
        <v>3</v>
      </c>
      <c r="G50" s="151" t="n">
        <v>51888.96</v>
      </c>
      <c r="H50" s="151">
        <f>ROUND(F50*G50,2)</f>
        <v/>
      </c>
      <c r="J50" s="154" t="n"/>
    </row>
    <row r="51" customFormat="1" s="188">
      <c r="A51" s="241" t="n">
        <v>36</v>
      </c>
      <c r="B51" s="241" t="inlineStr">
        <is>
          <t> </t>
        </is>
      </c>
      <c r="C51" s="242" t="inlineStr">
        <is>
          <t>Прайс из СД ОП</t>
        </is>
      </c>
      <c r="D51" s="242" t="inlineStr">
        <is>
          <t>Модуль  1 МП (60-100-50) запас</t>
        </is>
      </c>
      <c r="E51" s="161" t="inlineStr">
        <is>
          <t>к-т</t>
        </is>
      </c>
      <c r="F51" s="241" t="n">
        <v>6</v>
      </c>
      <c r="G51" s="151" t="n">
        <v>19543.01</v>
      </c>
      <c r="H51" s="151">
        <f>ROUND(F51*G51,2)</f>
        <v/>
      </c>
      <c r="J51" s="154" t="n"/>
    </row>
    <row r="52" ht="31.5" customFormat="1" customHeight="1" s="188">
      <c r="A52" s="241" t="n">
        <v>37</v>
      </c>
      <c r="B52" s="241" t="inlineStr">
        <is>
          <t> </t>
        </is>
      </c>
      <c r="C52" s="242" t="inlineStr">
        <is>
          <t>Прайс из СД ОП</t>
        </is>
      </c>
      <c r="D52" s="242" t="inlineStr">
        <is>
          <t>Модуль  К2-1 МП (60-60-50) ЭмР-ЭМП на раме в комплекте</t>
        </is>
      </c>
      <c r="E52" s="161" t="inlineStr">
        <is>
          <t>к-т</t>
        </is>
      </c>
      <c r="F52" s="241" t="n">
        <v>2</v>
      </c>
      <c r="G52" s="151" t="n">
        <v>42129.34</v>
      </c>
      <c r="H52" s="151">
        <f>ROUND(F52*G52,2)</f>
        <v/>
      </c>
      <c r="J52" s="154" t="n"/>
    </row>
    <row r="53" customFormat="1" s="188">
      <c r="A53" s="241" t="n">
        <v>38</v>
      </c>
      <c r="B53" s="241" t="inlineStr">
        <is>
          <t> </t>
        </is>
      </c>
      <c r="C53" s="242" t="inlineStr">
        <is>
          <t>Прайс из СД ОП</t>
        </is>
      </c>
      <c r="D53" s="242" t="inlineStr">
        <is>
          <t>Модуль  1 МП (60-60-50) запас</t>
        </is>
      </c>
      <c r="E53" s="161" t="inlineStr">
        <is>
          <t>к-т</t>
        </is>
      </c>
      <c r="F53" s="241" t="n">
        <v>4</v>
      </c>
      <c r="G53" s="151" t="n">
        <v>17978.77</v>
      </c>
      <c r="H53" s="151">
        <f>ROUND(F53*G53,2)</f>
        <v/>
      </c>
      <c r="J53" s="154" t="n"/>
    </row>
    <row r="54" ht="47.25" customFormat="1" customHeight="1" s="188">
      <c r="A54" s="241" t="n">
        <v>39</v>
      </c>
      <c r="B54" s="241" t="inlineStr">
        <is>
          <t> </t>
        </is>
      </c>
      <c r="C54" s="242" t="inlineStr">
        <is>
          <t>61.2.02.01-1004</t>
        </is>
      </c>
      <c r="D54" s="242" t="inlineStr">
        <is>
          <t>Извещатель пожарный дымовой ДИП-34А (ИП 212-34А) оптико-электронный адресно-аналоговый в комплекте с базой (розеткой)</t>
        </is>
      </c>
      <c r="E54" s="161" t="inlineStr">
        <is>
          <t>шт</t>
        </is>
      </c>
      <c r="F54" s="241" t="n">
        <v>457</v>
      </c>
      <c r="G54" s="151" t="n">
        <v>116.52</v>
      </c>
      <c r="H54" s="151">
        <f>ROUND(F54*G54,2)</f>
        <v/>
      </c>
      <c r="J54" s="154" t="n"/>
    </row>
    <row r="55" customFormat="1" s="188">
      <c r="A55" s="241" t="n">
        <v>40</v>
      </c>
      <c r="B55" s="241" t="inlineStr">
        <is>
          <t> </t>
        </is>
      </c>
      <c r="C55" s="242" t="inlineStr">
        <is>
          <t>61.2.02.01-0095</t>
        </is>
      </c>
      <c r="D55" s="242" t="inlineStr">
        <is>
          <t>Извещатель пожарный дымовой: ИПДЛ</t>
        </is>
      </c>
      <c r="E55" s="161" t="inlineStr">
        <is>
          <t>10 шт</t>
        </is>
      </c>
      <c r="F55" s="241" t="n">
        <v>6</v>
      </c>
      <c r="G55" s="151" t="n">
        <v>3463.94</v>
      </c>
      <c r="H55" s="151">
        <f>ROUND(F55*G55,2)</f>
        <v/>
      </c>
      <c r="J55" s="154" t="n"/>
    </row>
    <row r="56" ht="78.75" customFormat="1" customHeight="1" s="188">
      <c r="A56" s="241" t="n">
        <v>41</v>
      </c>
      <c r="B56" s="241" t="inlineStr">
        <is>
          <t> </t>
        </is>
      </c>
      <c r="C56" s="242" t="inlineStr">
        <is>
          <t>19.3.01.05-0033</t>
        </is>
      </c>
      <c r="D56" s="242" t="inlineStr">
        <is>
          <t>Клапаны обратные для регулирования воздушных потоков в вентиляционных системах во взрывобезопасном исполнении из горячекатаной стали, тип АЗЕ 101, диаметр 800 мм</t>
        </is>
      </c>
      <c r="E56" s="161" t="inlineStr">
        <is>
          <t>шт</t>
        </is>
      </c>
      <c r="F56" s="241" t="n">
        <v>6</v>
      </c>
      <c r="G56" s="151" t="n">
        <v>1958.38</v>
      </c>
      <c r="H56" s="151">
        <f>ROUND(F56*G56,2)</f>
        <v/>
      </c>
      <c r="J56" s="154" t="n"/>
    </row>
    <row r="57" ht="31.5" customFormat="1" customHeight="1" s="188">
      <c r="A57" s="241" t="n">
        <v>42</v>
      </c>
      <c r="B57" s="241" t="inlineStr">
        <is>
          <t> </t>
        </is>
      </c>
      <c r="C57" s="242" t="inlineStr">
        <is>
          <t>61.2.02.03-0025</t>
        </is>
      </c>
      <c r="D57" s="242" t="inlineStr">
        <is>
          <t>Извещатель пожарный ручной: ИПР-513-3 исп. 02</t>
        </is>
      </c>
      <c r="E57" s="161" t="inlineStr">
        <is>
          <t>10 шт</t>
        </is>
      </c>
      <c r="F57" s="241" t="n">
        <v>24</v>
      </c>
      <c r="G57" s="151" t="n">
        <v>410.04</v>
      </c>
      <c r="H57" s="151">
        <f>ROUND(F57*G57,2)</f>
        <v/>
      </c>
      <c r="J57" s="154" t="n"/>
    </row>
    <row r="58" customFormat="1" s="188">
      <c r="A58" s="241" t="n">
        <v>43</v>
      </c>
      <c r="B58" s="241" t="inlineStr">
        <is>
          <t> </t>
        </is>
      </c>
      <c r="C58" s="242" t="inlineStr">
        <is>
          <t>Прайс из СД ОП</t>
        </is>
      </c>
      <c r="D58" s="242" t="inlineStr">
        <is>
          <t>Коллектор на 8модуля 1МП (60-60-50)</t>
        </is>
      </c>
      <c r="E58" s="161" t="inlineStr">
        <is>
          <t>к-т</t>
        </is>
      </c>
      <c r="F58" s="241" t="n">
        <v>1</v>
      </c>
      <c r="G58" s="151" t="n">
        <v>9028.99</v>
      </c>
      <c r="H58" s="151">
        <f>ROUND(F58*G58,2)</f>
        <v/>
      </c>
      <c r="J58" s="154" t="n"/>
    </row>
    <row r="59" ht="31.5" customFormat="1" customHeight="1" s="188">
      <c r="A59" s="241" t="n">
        <v>44</v>
      </c>
      <c r="B59" s="241" t="inlineStr">
        <is>
          <t> </t>
        </is>
      </c>
      <c r="C59" s="242" t="inlineStr">
        <is>
          <t>61.2.04.05-0018</t>
        </is>
      </c>
      <c r="D59" s="242" t="inlineStr">
        <is>
          <t>Оповещатель охранно-пожарный звуковой, тип СВИРЕЛЬ-2 исп.00 6-15В/600мА</t>
        </is>
      </c>
      <c r="E59" s="161" t="inlineStr">
        <is>
          <t>шт</t>
        </is>
      </c>
      <c r="F59" s="241" t="n">
        <v>38</v>
      </c>
      <c r="G59" s="151" t="n">
        <v>187</v>
      </c>
      <c r="H59" s="151">
        <f>ROUND(F59*G59,2)</f>
        <v/>
      </c>
      <c r="J59" s="154" t="n"/>
      <c r="K59" s="155" t="n"/>
    </row>
    <row r="60" customFormat="1" s="188">
      <c r="A60" s="241" t="n">
        <v>45</v>
      </c>
      <c r="B60" s="241" t="inlineStr">
        <is>
          <t> </t>
        </is>
      </c>
      <c r="C60" s="242" t="inlineStr">
        <is>
          <t>Прайс из СД ОП</t>
        </is>
      </c>
      <c r="D60" s="242" t="inlineStr">
        <is>
          <t>Насадок НГ-3.1-1/2 В латунный с муфтой</t>
        </is>
      </c>
      <c r="E60" s="161" t="inlineStr">
        <is>
          <t>к-т</t>
        </is>
      </c>
      <c r="F60" s="241" t="n">
        <v>28</v>
      </c>
      <c r="G60" s="151" t="n">
        <v>218.79</v>
      </c>
      <c r="H60" s="151">
        <f>ROUND(F60*G60,2)</f>
        <v/>
      </c>
      <c r="K60" s="154" t="n"/>
    </row>
    <row r="61" ht="31.5" customFormat="1" customHeight="1" s="188">
      <c r="A61" s="241" t="n">
        <v>46</v>
      </c>
      <c r="B61" s="241" t="inlineStr">
        <is>
          <t> </t>
        </is>
      </c>
      <c r="C61" s="242" t="inlineStr">
        <is>
          <t>61.2.07.06-0006</t>
        </is>
      </c>
      <c r="D61" s="242" t="inlineStr">
        <is>
          <t>Расширитель адресный на восемь шлейфов с контролем на замыкание и обрыв</t>
        </is>
      </c>
      <c r="E61" s="161" t="inlineStr">
        <is>
          <t>шт</t>
        </is>
      </c>
      <c r="F61" s="241" t="n">
        <v>31</v>
      </c>
      <c r="G61" s="151" t="n">
        <v>182.89</v>
      </c>
      <c r="H61" s="151">
        <f>ROUND(F61*G61,2)</f>
        <v/>
      </c>
      <c r="K61" s="154" t="n"/>
    </row>
    <row r="62" customFormat="1" s="188">
      <c r="A62" s="241" t="n">
        <v>47</v>
      </c>
      <c r="B62" s="241" t="inlineStr">
        <is>
          <t> </t>
        </is>
      </c>
      <c r="C62" s="242" t="inlineStr">
        <is>
          <t>Прайс из СД ОП</t>
        </is>
      </c>
      <c r="D62" s="242" t="inlineStr">
        <is>
          <t>Насадок НГ-2.1-1 В латунный с муфтой</t>
        </is>
      </c>
      <c r="E62" s="161" t="inlineStr">
        <is>
          <t>к-т</t>
        </is>
      </c>
      <c r="F62" s="241" t="n">
        <v>26</v>
      </c>
      <c r="G62" s="151" t="n">
        <v>213.84</v>
      </c>
      <c r="H62" s="151">
        <f>ROUND(F62*G62,2)</f>
        <v/>
      </c>
      <c r="K62" s="154" t="n"/>
    </row>
    <row r="63" ht="31.5" customFormat="1" customHeight="1" s="188">
      <c r="A63" s="241" t="n">
        <v>48</v>
      </c>
      <c r="B63" s="241" t="inlineStr">
        <is>
          <t> </t>
        </is>
      </c>
      <c r="C63" s="242" t="inlineStr">
        <is>
          <t>18.4.01.01-0023</t>
        </is>
      </c>
      <c r="D63" s="242" t="inlineStr">
        <is>
          <t>Баллоны стальные для газов, рабочее давление до 19,6 МПа, (200 кг/см2), объем 40 л</t>
        </is>
      </c>
      <c r="E63" s="161" t="inlineStr">
        <is>
          <t>шт</t>
        </is>
      </c>
      <c r="F63" s="241" t="n">
        <v>6</v>
      </c>
      <c r="G63" s="151" t="n">
        <v>809.71</v>
      </c>
      <c r="H63" s="151">
        <f>ROUND(F63*G63,2)</f>
        <v/>
      </c>
      <c r="K63" s="154" t="n"/>
    </row>
    <row r="64" customFormat="1" s="188">
      <c r="A64" s="241" t="n">
        <v>49</v>
      </c>
      <c r="B64" s="241" t="inlineStr">
        <is>
          <t> </t>
        </is>
      </c>
      <c r="C64" s="242" t="inlineStr">
        <is>
          <t>Прайс из СД ОП</t>
        </is>
      </c>
      <c r="D64" s="242" t="inlineStr">
        <is>
          <t>Устройство для взведения</t>
        </is>
      </c>
      <c r="E64" s="161" t="inlineStr">
        <is>
          <t>шт</t>
        </is>
      </c>
      <c r="F64" s="241" t="n">
        <v>6</v>
      </c>
      <c r="G64" s="151" t="n">
        <v>752.42</v>
      </c>
      <c r="H64" s="151">
        <f>ROUND(F64*G64,2)</f>
        <v/>
      </c>
      <c r="K64" s="154" t="n"/>
    </row>
    <row r="65" customFormat="1" s="188">
      <c r="A65" s="241" t="n">
        <v>50</v>
      </c>
      <c r="B65" s="241" t="inlineStr">
        <is>
          <t> </t>
        </is>
      </c>
      <c r="C65" s="242" t="inlineStr">
        <is>
          <t>Прайс из СД ОП</t>
        </is>
      </c>
      <c r="D65" s="242" t="inlineStr">
        <is>
          <t>Коллектор на 2 модуля 1МП (60-100-50)</t>
        </is>
      </c>
      <c r="E65" s="161" t="inlineStr">
        <is>
          <t>к-т</t>
        </is>
      </c>
      <c r="F65" s="241" t="n">
        <v>2</v>
      </c>
      <c r="G65" s="151" t="n">
        <v>2110.72</v>
      </c>
      <c r="H65" s="151">
        <f>ROUND(F65*G65,2)</f>
        <v/>
      </c>
      <c r="K65" s="154" t="n"/>
    </row>
    <row r="66" ht="78.75" customFormat="1" customHeight="1" s="188">
      <c r="A66" s="241" t="n">
        <v>51</v>
      </c>
      <c r="B66" s="241" t="inlineStr">
        <is>
          <t> </t>
        </is>
      </c>
      <c r="C66" s="242" t="inlineStr">
        <is>
          <t>61.2.07.02-0050</t>
        </is>
      </c>
      <c r="D66" s="242" t="inlineStr">
        <is>
          <t>Блок разветвительно-изолирующий, марка "БРИЗ" исп. 01, встраиваемый в розетку адресных извещателей "ДИП-34А", "С2000-ИП", диаметр не более 100 мм, высота не более 15 мм</t>
        </is>
      </c>
      <c r="E66" s="161" t="inlineStr">
        <is>
          <t>10 шт</t>
        </is>
      </c>
      <c r="F66" s="241" t="n">
        <v>6</v>
      </c>
      <c r="G66" s="151" t="n">
        <v>688.2</v>
      </c>
      <c r="H66" s="151">
        <f>ROUND(F66*G66,2)</f>
        <v/>
      </c>
      <c r="K66" s="154" t="n"/>
    </row>
    <row r="67" customFormat="1" s="188">
      <c r="A67" s="241" t="n">
        <v>52</v>
      </c>
      <c r="B67" s="241" t="inlineStr">
        <is>
          <t> </t>
        </is>
      </c>
      <c r="C67" s="242" t="inlineStr">
        <is>
          <t>Прайс из СД ОП</t>
        </is>
      </c>
      <c r="D67" s="242" t="inlineStr">
        <is>
          <t>Насадок НГ-3.1-3/4 В латунный с муфтой</t>
        </is>
      </c>
      <c r="E67" s="161" t="inlineStr">
        <is>
          <t>к-т</t>
        </is>
      </c>
      <c r="F67" s="241" t="n">
        <v>16</v>
      </c>
      <c r="G67" s="151" t="n">
        <v>249.49</v>
      </c>
      <c r="H67" s="151">
        <f>ROUND(F67*G67,2)</f>
        <v/>
      </c>
      <c r="K67" s="154" t="n"/>
    </row>
    <row r="68" customFormat="1" s="188">
      <c r="A68" s="241" t="n">
        <v>53</v>
      </c>
      <c r="B68" s="241" t="inlineStr">
        <is>
          <t> </t>
        </is>
      </c>
      <c r="C68" s="242" t="inlineStr">
        <is>
          <t>Прайс из СД ОП</t>
        </is>
      </c>
      <c r="D68" s="242" t="inlineStr">
        <is>
          <t>Насадок НГ-3.1-1 В латунный с муфтой</t>
        </is>
      </c>
      <c r="E68" s="161" t="inlineStr">
        <is>
          <t>к-т</t>
        </is>
      </c>
      <c r="F68" s="241" t="n">
        <v>16</v>
      </c>
      <c r="G68" s="151" t="n">
        <v>218.79</v>
      </c>
      <c r="H68" s="151">
        <f>ROUND(F68*G68,2)</f>
        <v/>
      </c>
      <c r="K68" s="154" t="n"/>
    </row>
    <row r="69" customFormat="1" s="188">
      <c r="A69" s="241" t="n">
        <v>54</v>
      </c>
      <c r="B69" s="241" t="inlineStr">
        <is>
          <t> </t>
        </is>
      </c>
      <c r="C69" s="242" t="inlineStr">
        <is>
          <t>Прайс из СД ОП</t>
        </is>
      </c>
      <c r="D69" s="242" t="inlineStr">
        <is>
          <t>Коллектор на 2 модуля 1МП (60-60-50)</t>
        </is>
      </c>
      <c r="E69" s="161" t="inlineStr">
        <is>
          <t>к-т</t>
        </is>
      </c>
      <c r="F69" s="241" t="n">
        <v>2</v>
      </c>
      <c r="G69" s="151" t="n">
        <v>1643.43</v>
      </c>
      <c r="H69" s="151">
        <f>ROUND(F69*G69,2)</f>
        <v/>
      </c>
      <c r="K69" s="154" t="n"/>
    </row>
    <row r="70" customFormat="1" s="188">
      <c r="A70" s="241" t="n">
        <v>55</v>
      </c>
      <c r="B70" s="241" t="inlineStr">
        <is>
          <t> </t>
        </is>
      </c>
      <c r="C70" s="242" t="inlineStr">
        <is>
          <t>62.1.04.01-0003</t>
        </is>
      </c>
      <c r="D70" s="242" t="inlineStr">
        <is>
          <t>Датчик-реле давления ДРД-1, ДРД-6</t>
        </is>
      </c>
      <c r="E70" s="161" t="inlineStr">
        <is>
          <t>шт</t>
        </is>
      </c>
      <c r="F70" s="241" t="n">
        <v>7</v>
      </c>
      <c r="G70" s="151" t="n">
        <v>422.41</v>
      </c>
      <c r="H70" s="151">
        <f>ROUND(F70*G70,2)</f>
        <v/>
      </c>
      <c r="K70" s="154" t="n"/>
    </row>
    <row r="71" ht="63" customFormat="1" customHeight="1" s="188">
      <c r="A71" s="241" t="n">
        <v>56</v>
      </c>
      <c r="B71" s="241" t="inlineStr">
        <is>
          <t> </t>
        </is>
      </c>
      <c r="C71" s="242" t="inlineStr">
        <is>
          <t>23.8.02.01-0005</t>
        </is>
      </c>
      <c r="D71" s="242" t="inlineStr">
        <is>
          <t>Заглушка трубопровода стальная изолированная пенополиуретаном в полиэтиленовой оболочке, наружный диаметр 76 мм, диаметр изоляции 160 мм</t>
        </is>
      </c>
      <c r="E71" s="161" t="inlineStr">
        <is>
          <t>шт</t>
        </is>
      </c>
      <c r="F71" s="241" t="n">
        <v>17</v>
      </c>
      <c r="G71" s="151" t="n">
        <v>168.8</v>
      </c>
      <c r="H71" s="151">
        <f>ROUND(F71*G71,2)</f>
        <v/>
      </c>
      <c r="K71" s="154" t="n"/>
    </row>
    <row r="72" ht="31.5" customFormat="1" customHeight="1" s="188">
      <c r="A72" s="241" t="n">
        <v>57</v>
      </c>
      <c r="B72" s="241" t="inlineStr">
        <is>
          <t> </t>
        </is>
      </c>
      <c r="C72" s="242" t="inlineStr">
        <is>
          <t>Прайс из СД ОП</t>
        </is>
      </c>
      <c r="D72" s="242" t="inlineStr">
        <is>
          <t>Комплект деталей для принудительного пуска (В481-8/650)</t>
        </is>
      </c>
      <c r="E72" s="161" t="inlineStr">
        <is>
          <t>к-т</t>
        </is>
      </c>
      <c r="F72" s="241" t="n">
        <v>2</v>
      </c>
      <c r="G72" s="151" t="n">
        <v>1073.18</v>
      </c>
      <c r="H72" s="151">
        <f>ROUND(F72*G72,2)</f>
        <v/>
      </c>
      <c r="K72" s="154" t="n"/>
    </row>
    <row r="73" customFormat="1" s="188">
      <c r="A73" s="241" t="n">
        <v>58</v>
      </c>
      <c r="B73" s="241" t="n"/>
      <c r="C73" s="242" t="inlineStr">
        <is>
          <t>61.2.07.02-0034</t>
        </is>
      </c>
      <c r="D73" s="242" t="inlineStr">
        <is>
          <t>Блок контрольно-пусковой, марка "С2000-КПБ"</t>
        </is>
      </c>
      <c r="E73" s="161" t="inlineStr">
        <is>
          <t>шт</t>
        </is>
      </c>
      <c r="F73" s="241" t="n">
        <v>6</v>
      </c>
      <c r="G73" s="151" t="n">
        <v>243.85</v>
      </c>
      <c r="H73" s="151">
        <f>ROUND(F73*G73,2)</f>
        <v/>
      </c>
      <c r="K73" s="154" t="n"/>
    </row>
    <row r="74" customFormat="1" s="188">
      <c r="A74" s="241" t="n">
        <v>59</v>
      </c>
      <c r="B74" s="241" t="n"/>
      <c r="C74" s="242" t="inlineStr">
        <is>
          <t>61.2.04.07-0008</t>
        </is>
      </c>
      <c r="D74" s="242" t="inlineStr">
        <is>
          <t>Оповещатель световой МОЛНИЯ-12(24)</t>
        </is>
      </c>
      <c r="E74" s="161" t="inlineStr">
        <is>
          <t>шт</t>
        </is>
      </c>
      <c r="F74" s="241" t="n">
        <v>38</v>
      </c>
      <c r="G74" s="151" t="n">
        <v>38.38</v>
      </c>
      <c r="H74" s="151">
        <f>ROUND(F74*G74,2)</f>
        <v/>
      </c>
      <c r="K74" s="154" t="n"/>
    </row>
    <row r="75" customFormat="1" s="188">
      <c r="A75" s="241" t="n">
        <v>60</v>
      </c>
      <c r="B75" s="241" t="n"/>
      <c r="C75" s="242" t="inlineStr">
        <is>
          <t>Прайс из СД ОП</t>
        </is>
      </c>
      <c r="D75" s="242" t="inlineStr">
        <is>
          <t>Насадок НГ-2.1-3/4 В латунный с муфтой</t>
        </is>
      </c>
      <c r="E75" s="161" t="inlineStr">
        <is>
          <t>к-т</t>
        </is>
      </c>
      <c r="F75" s="241" t="n">
        <v>6</v>
      </c>
      <c r="G75" s="151" t="n">
        <v>213.84</v>
      </c>
      <c r="H75" s="151">
        <f>ROUND(F75*G75,2)</f>
        <v/>
      </c>
      <c r="K75" s="154" t="n"/>
    </row>
    <row r="76" ht="63" customFormat="1" customHeight="1" s="188">
      <c r="A76" s="241" t="n">
        <v>61</v>
      </c>
      <c r="B76" s="241" t="n"/>
      <c r="C76" s="242" t="inlineStr">
        <is>
          <t>61.2.07.02-0035</t>
        </is>
      </c>
      <c r="D76" s="242" t="inlineStr">
        <is>
          <t>Шкаф контрольно-пусковой для систем пожаротушения и дымоудаления, мощность управляемой нагрузки 10 кВт, номинальный коммутируемый ток 25 А</t>
        </is>
      </c>
      <c r="E76" s="161" t="inlineStr">
        <is>
          <t>шт</t>
        </is>
      </c>
      <c r="F76" s="241" t="n">
        <v>3</v>
      </c>
      <c r="G76" s="151" t="n">
        <v>396.74</v>
      </c>
      <c r="H76" s="151">
        <f>ROUND(F76*G76,2)</f>
        <v/>
      </c>
      <c r="K76" s="154" t="n"/>
    </row>
    <row r="77" ht="31.5" customFormat="1" customHeight="1" s="188">
      <c r="A77" s="241" t="n">
        <v>62</v>
      </c>
      <c r="B77" s="241" t="n"/>
      <c r="C77" s="242" t="inlineStr">
        <is>
          <t>Прайс из СД ОП</t>
        </is>
      </c>
      <c r="D77" s="242" t="inlineStr">
        <is>
          <t>Комплект деталей для принудительного пуска (В481-2/650)</t>
        </is>
      </c>
      <c r="E77" s="161" t="inlineStr">
        <is>
          <t>к-т</t>
        </is>
      </c>
      <c r="F77" s="241" t="n">
        <v>3</v>
      </c>
      <c r="G77" s="151" t="n">
        <v>279.19</v>
      </c>
      <c r="H77" s="151">
        <f>ROUND(F77*G77,2)</f>
        <v/>
      </c>
      <c r="K77" s="154" t="n"/>
    </row>
    <row r="78" ht="31.5" customFormat="1" customHeight="1" s="188">
      <c r="A78" s="241" t="n">
        <v>63</v>
      </c>
      <c r="B78" s="241" t="n"/>
      <c r="C78" s="242" t="inlineStr">
        <is>
          <t>61.2.04.10-0004</t>
        </is>
      </c>
      <c r="D78" s="242" t="inlineStr">
        <is>
          <t>Пульт контроля и управления охранно-пожарный с двухстрочным ЖК индикатором</t>
        </is>
      </c>
      <c r="E78" s="161" t="inlineStr">
        <is>
          <t>шт</t>
        </is>
      </c>
      <c r="F78" s="241" t="n">
        <v>1</v>
      </c>
      <c r="G78" s="151" t="n">
        <v>627.51</v>
      </c>
      <c r="H78" s="151">
        <f>ROUND(F78*G78,2)</f>
        <v/>
      </c>
      <c r="K78" s="154" t="n"/>
    </row>
    <row r="79" customFormat="1" s="188">
      <c r="A79" s="241" t="n">
        <v>64</v>
      </c>
      <c r="B79" s="241" t="n"/>
      <c r="C79" s="242" t="inlineStr">
        <is>
          <t>01.3.02.11-0023</t>
        </is>
      </c>
      <c r="D79" s="242" t="inlineStr">
        <is>
          <t>Фреон R410A (разовый баллон 11,30 кг)</t>
        </is>
      </c>
      <c r="E79" s="161" t="inlineStr">
        <is>
          <t>шт</t>
        </is>
      </c>
      <c r="F79" s="241" t="n">
        <v>1</v>
      </c>
      <c r="G79" s="151" t="n">
        <v>614.85</v>
      </c>
      <c r="H79" s="151">
        <f>ROUND(F79*G79,2)</f>
        <v/>
      </c>
      <c r="K79" s="154" t="n"/>
    </row>
    <row r="80" ht="47.25" customFormat="1" customHeight="1" s="188">
      <c r="A80" s="241" t="n">
        <v>65</v>
      </c>
      <c r="B80" s="241" t="n"/>
      <c r="C80" s="242" t="inlineStr">
        <is>
          <t>23.8.01.03-0002</t>
        </is>
      </c>
      <c r="D80" s="242" t="inlineStr">
        <is>
          <t>Заглушка универсальная для труб из термостойкого полиэтилена с внутренней резьбой, размер 1/2"</t>
        </is>
      </c>
      <c r="E80" s="161" t="inlineStr">
        <is>
          <t>10 шт</t>
        </is>
      </c>
      <c r="F80" s="241" t="n">
        <v>5.4</v>
      </c>
      <c r="G80" s="151" t="n">
        <v>62.4</v>
      </c>
      <c r="H80" s="151">
        <f>ROUND(F80*G80,2)</f>
        <v/>
      </c>
      <c r="K80" s="154" t="n"/>
    </row>
    <row r="81" customFormat="1" s="188">
      <c r="A81" s="241" t="n">
        <v>66</v>
      </c>
      <c r="B81" s="241" t="n"/>
      <c r="C81" s="242" t="inlineStr">
        <is>
          <t>24.3.05.18-0001</t>
        </is>
      </c>
      <c r="D81" s="242" t="inlineStr">
        <is>
          <t>Штуцеры, длина 200 мм</t>
        </is>
      </c>
      <c r="E81" s="161" t="inlineStr">
        <is>
          <t>шт</t>
        </is>
      </c>
      <c r="F81" s="241" t="n">
        <v>7</v>
      </c>
      <c r="G81" s="151" t="n">
        <v>44.3</v>
      </c>
      <c r="H81" s="151">
        <f>ROUND(F81*G81,2)</f>
        <v/>
      </c>
      <c r="K81" s="154" t="n"/>
    </row>
    <row r="82" ht="47.25" customFormat="1" customHeight="1" s="188">
      <c r="A82" s="241" t="n">
        <v>67</v>
      </c>
      <c r="B82" s="241" t="n"/>
      <c r="C82" s="242" t="inlineStr">
        <is>
          <t>23.8.01.03-0001</t>
        </is>
      </c>
      <c r="D82" s="242" t="inlineStr">
        <is>
          <t>Заглушка универсальная для труб из термостойкого полиэтилена с внутренней резьбой, размер 1"</t>
        </is>
      </c>
      <c r="E82" s="161" t="inlineStr">
        <is>
          <t>10 шт</t>
        </is>
      </c>
      <c r="F82" s="241" t="n">
        <v>1.6</v>
      </c>
      <c r="G82" s="151" t="n">
        <v>175.3</v>
      </c>
      <c r="H82" s="151">
        <f>ROUND(F82*G82,2)</f>
        <v/>
      </c>
      <c r="K82" s="154" t="n"/>
    </row>
    <row r="83" ht="47.25" customFormat="1" customHeight="1" s="188">
      <c r="A83" s="241" t="n">
        <v>68</v>
      </c>
      <c r="B83" s="241" t="n"/>
      <c r="C83" s="242" t="inlineStr">
        <is>
          <t>23.8.01.03-0006</t>
        </is>
      </c>
      <c r="D83" s="242" t="inlineStr">
        <is>
          <t>Заглушка универсальная для труб из термостойкого полиэтилена с наружной резьбой, размер 3/4"</t>
        </is>
      </c>
      <c r="E83" s="161" t="inlineStr">
        <is>
          <t>10 шт</t>
        </is>
      </c>
      <c r="F83" s="241" t="n">
        <v>2.2</v>
      </c>
      <c r="G83" s="151" t="n">
        <v>95.09999999999999</v>
      </c>
      <c r="H83" s="151">
        <f>ROUND(F83*G83,2)</f>
        <v/>
      </c>
      <c r="K83" s="154" t="n"/>
    </row>
    <row r="84">
      <c r="A84" s="240" t="inlineStr">
        <is>
          <t>Материалы</t>
        </is>
      </c>
      <c r="B84" s="321" t="n"/>
      <c r="C84" s="321" t="n"/>
      <c r="D84" s="321" t="n"/>
      <c r="E84" s="322" t="n"/>
      <c r="F84" s="240" t="n"/>
      <c r="G84" s="153" t="n"/>
      <c r="H84" s="153">
        <f>SUM(H85:H171)</f>
        <v/>
      </c>
    </row>
    <row r="85" ht="31.5" customHeight="1" s="197">
      <c r="A85" s="241" t="n">
        <v>69</v>
      </c>
      <c r="B85" s="241" t="inlineStr">
        <is>
          <t> </t>
        </is>
      </c>
      <c r="C85" s="242" t="inlineStr">
        <is>
          <t>25.1.01.04-0031</t>
        </is>
      </c>
      <c r="D85" s="242" t="inlineStr">
        <is>
          <t>Шпалы непропитанные для железных дорог, тип I</t>
        </is>
      </c>
      <c r="E85" s="161" t="inlineStr">
        <is>
          <t>шт</t>
        </is>
      </c>
      <c r="F85" s="241" t="n">
        <v>38</v>
      </c>
      <c r="G85" s="151" t="n">
        <v>266.67</v>
      </c>
      <c r="H85" s="151">
        <f>ROUND(F85*G85,2)</f>
        <v/>
      </c>
      <c r="J85" s="154" t="n"/>
    </row>
    <row r="86" ht="63" customHeight="1" s="197">
      <c r="A86" s="241" t="n">
        <v>70</v>
      </c>
      <c r="B86" s="241" t="inlineStr">
        <is>
          <t> </t>
        </is>
      </c>
      <c r="C86" s="242" t="inlineStr">
        <is>
          <t>23.8.04.12-0112</t>
        </is>
      </c>
      <c r="D86" s="242" t="inlineStr">
        <is>
          <t>Тройники равнопроходные, номинальное давление до 16 МПа, номинальный диаметр 40 мм, наружный диаметр и толщина стенки 45,0х2,5 мм</t>
        </is>
      </c>
      <c r="E86" s="161" t="inlineStr">
        <is>
          <t>шт</t>
        </is>
      </c>
      <c r="F86" s="241" t="n">
        <v>50</v>
      </c>
      <c r="G86" s="151" t="n">
        <v>101.46</v>
      </c>
      <c r="H86" s="151">
        <f>ROUND(F86*G86,2)</f>
        <v/>
      </c>
      <c r="J86" s="154" t="n"/>
    </row>
    <row r="87">
      <c r="A87" s="241" t="n">
        <v>71</v>
      </c>
      <c r="B87" s="241" t="inlineStr">
        <is>
          <t> </t>
        </is>
      </c>
      <c r="C87" s="242" t="inlineStr">
        <is>
          <t>07.2.07.13-0171</t>
        </is>
      </c>
      <c r="D87" s="242" t="inlineStr">
        <is>
          <t>Подкладки металлические</t>
        </is>
      </c>
      <c r="E87" s="161" t="inlineStr">
        <is>
          <t>кг</t>
        </is>
      </c>
      <c r="F87" s="241" t="n">
        <v>380</v>
      </c>
      <c r="G87" s="151" t="n">
        <v>12.6</v>
      </c>
      <c r="H87" s="151">
        <f>ROUND(F87*G87,2)</f>
        <v/>
      </c>
      <c r="J87" s="154" t="n"/>
    </row>
    <row r="88" ht="47.25" customHeight="1" s="197">
      <c r="A88" s="241" t="n">
        <v>72</v>
      </c>
      <c r="B88" s="241" t="inlineStr">
        <is>
          <t> </t>
        </is>
      </c>
      <c r="C88" s="242" t="inlineStr">
        <is>
          <t>23.8.04.08-0051</t>
        </is>
      </c>
      <c r="D88" s="242" t="inlineStr">
        <is>
          <t>Переходы концентрические, номинальное давление 16 МПа, наружный диаметр и толщина стенки 57х4-45х2,5 мм</t>
        </is>
      </c>
      <c r="E88" s="161" t="inlineStr">
        <is>
          <t>шт</t>
        </is>
      </c>
      <c r="F88" s="241" t="n">
        <v>99</v>
      </c>
      <c r="G88" s="151" t="n">
        <v>38.01</v>
      </c>
      <c r="H88" s="151">
        <f>ROUND(F88*G88,2)</f>
        <v/>
      </c>
      <c r="J88" s="154" t="n"/>
    </row>
    <row r="89" ht="31.5" customHeight="1" s="197">
      <c r="A89" s="241" t="n">
        <v>73</v>
      </c>
      <c r="B89" s="241" t="inlineStr">
        <is>
          <t> </t>
        </is>
      </c>
      <c r="C89" s="242" t="inlineStr">
        <is>
          <t>21.1.08.01-0313</t>
        </is>
      </c>
      <c r="D89" s="242" t="inlineStr">
        <is>
          <t>Кабель пожарной сигнализации КПСЭнг(A)-FRLS 1х2х1,5</t>
        </is>
      </c>
      <c r="E89" s="161" t="inlineStr">
        <is>
          <t>1000 м</t>
        </is>
      </c>
      <c r="F89" s="241" t="n">
        <v>0.545</v>
      </c>
      <c r="G89" s="151" t="n">
        <v>5545.45</v>
      </c>
      <c r="H89" s="151">
        <f>ROUND(F89*G89,2)</f>
        <v/>
      </c>
      <c r="J89" s="154" t="n"/>
    </row>
    <row r="90" ht="63" customHeight="1" s="197">
      <c r="A90" s="241" t="n">
        <v>74</v>
      </c>
      <c r="B90" s="241" t="inlineStr">
        <is>
          <t> </t>
        </is>
      </c>
      <c r="C90" s="242" t="inlineStr">
        <is>
          <t>23.7.01.03-0004</t>
        </is>
      </c>
      <c r="D90" s="242" t="inlineStr">
        <is>
          <t>Трубопроводы из стальных водогазопроводных неоцинкованных труб с гильзами и креплениями для газоснабжения, диаметр 32 мм</t>
        </is>
      </c>
      <c r="E90" s="161" t="inlineStr">
        <is>
          <t>м</t>
        </is>
      </c>
      <c r="F90" s="241" t="n">
        <v>88.47</v>
      </c>
      <c r="G90" s="151" t="n">
        <v>30.72</v>
      </c>
      <c r="H90" s="151">
        <f>ROUND(F90*G90,2)</f>
        <v/>
      </c>
      <c r="J90" s="154" t="n"/>
    </row>
    <row r="91" ht="31.5" customHeight="1" s="197">
      <c r="A91" s="241" t="n">
        <v>75</v>
      </c>
      <c r="B91" s="241" t="inlineStr">
        <is>
          <t> </t>
        </is>
      </c>
      <c r="C91" s="242" t="inlineStr">
        <is>
          <t>08.3.05.02-0058</t>
        </is>
      </c>
      <c r="D91" s="242" t="inlineStr">
        <is>
          <t>Прокат толстолистовой горячекатаный в листах, марка стали Ст3, толщина 6-8 мм</t>
        </is>
      </c>
      <c r="E91" s="161" t="inlineStr">
        <is>
          <t>т</t>
        </is>
      </c>
      <c r="F91" s="241" t="n">
        <v>0.4536</v>
      </c>
      <c r="G91" s="151" t="n">
        <v>5891.61</v>
      </c>
      <c r="H91" s="151">
        <f>ROUND(F91*G91,2)</f>
        <v/>
      </c>
      <c r="J91" s="154" t="n"/>
    </row>
    <row r="92" ht="63" customHeight="1" s="197">
      <c r="A92" s="241" t="n">
        <v>76</v>
      </c>
      <c r="B92" s="241" t="inlineStr">
        <is>
          <t> </t>
        </is>
      </c>
      <c r="C92" s="242" t="inlineStr">
        <is>
          <t>23.7.01.03-0005</t>
        </is>
      </c>
      <c r="D92" s="242" t="inlineStr">
        <is>
          <t>Трубопроводы из стальных водогазопроводных неоцинкованных труб с гильзами и креплениями для газоснабжения, диаметр 40 мм</t>
        </is>
      </c>
      <c r="E92" s="161" t="inlineStr">
        <is>
          <t>м</t>
        </is>
      </c>
      <c r="F92" s="241" t="n">
        <v>54.4</v>
      </c>
      <c r="G92" s="151" t="n">
        <v>35.84</v>
      </c>
      <c r="H92" s="151">
        <f>ROUND(F92*G92,2)</f>
        <v/>
      </c>
      <c r="J92" s="154" t="n"/>
    </row>
    <row r="93" ht="15.75" customHeight="1" s="197">
      <c r="A93" s="241" t="n">
        <v>77</v>
      </c>
      <c r="B93" s="241" t="inlineStr">
        <is>
          <t> </t>
        </is>
      </c>
      <c r="C93" s="242" t="inlineStr">
        <is>
          <t>23.7.01.03-0002</t>
        </is>
      </c>
      <c r="D93" s="242" t="inlineStr">
        <is>
          <t>Трубопроводы из стальных водогазопроводных неоцинкованных труб с гильзами и креплениями для газоснабжения, диаметр 20 мм</t>
        </is>
      </c>
      <c r="E93" s="161" t="inlineStr">
        <is>
          <t>м</t>
        </is>
      </c>
      <c r="F93" s="241" t="n">
        <v>63.02</v>
      </c>
      <c r="G93" s="151" t="n">
        <v>25.28</v>
      </c>
      <c r="H93" s="151">
        <f>ROUND(F93*G93,2)</f>
        <v/>
      </c>
      <c r="J93" s="154" t="n"/>
    </row>
    <row r="94" ht="63" customHeight="1" s="197">
      <c r="A94" s="241" t="n">
        <v>78</v>
      </c>
      <c r="B94" s="241" t="inlineStr">
        <is>
          <t> </t>
        </is>
      </c>
      <c r="C94" s="242" t="inlineStr">
        <is>
          <t>23.7.01.03-0003</t>
        </is>
      </c>
      <c r="D94" s="242" t="inlineStr">
        <is>
          <t>Трубопроводы из стальных водогазопроводных неоцинкованных труб с гильзами и креплениями для газоснабжения, диаметр 25 мм</t>
        </is>
      </c>
      <c r="E94" s="161" t="inlineStr">
        <is>
          <t>м</t>
        </is>
      </c>
      <c r="F94" s="241" t="n">
        <v>55.8</v>
      </c>
      <c r="G94" s="151" t="n">
        <v>27.2</v>
      </c>
      <c r="H94" s="151">
        <f>ROUND(F94*G94,2)</f>
        <v/>
      </c>
      <c r="J94" s="154" t="n"/>
    </row>
    <row r="95" ht="63" customHeight="1" s="197">
      <c r="A95" s="241" t="n">
        <v>79</v>
      </c>
      <c r="B95" s="241" t="inlineStr">
        <is>
          <t> </t>
        </is>
      </c>
      <c r="C95" s="242" t="inlineStr">
        <is>
          <t>23.7.01.03-0006</t>
        </is>
      </c>
      <c r="D95" s="242" t="inlineStr">
        <is>
          <t>Трубопроводы из стальных водогазопроводных неоцинкованных труб с гильзами и креплениями для газоснабжения, диаметр 50 мм</t>
        </is>
      </c>
      <c r="E95" s="161" t="inlineStr">
        <is>
          <t>м</t>
        </is>
      </c>
      <c r="F95" s="241" t="n">
        <v>32.58</v>
      </c>
      <c r="G95" s="151" t="n">
        <v>42.88</v>
      </c>
      <c r="H95" s="151">
        <f>ROUND(F95*G95,2)</f>
        <v/>
      </c>
      <c r="J95" s="154" t="n"/>
    </row>
    <row r="96" ht="63" customHeight="1" s="197">
      <c r="A96" s="241" t="n">
        <v>80</v>
      </c>
      <c r="B96" s="241" t="inlineStr">
        <is>
          <t> </t>
        </is>
      </c>
      <c r="C96" s="242" t="inlineStr">
        <is>
          <t>23.7.01.04-0004</t>
        </is>
      </c>
      <c r="D96" s="242" t="inlineStr">
        <is>
          <t>Трубопроводы из стальных электросварных труб с гильзами для отопления и водоснабжения, наружный диаметр 89 мм, толщина стенки 3,5 мм</t>
        </is>
      </c>
      <c r="E96" s="161" t="inlineStr">
        <is>
          <t>м</t>
        </is>
      </c>
      <c r="F96" s="241" t="n">
        <v>22.2</v>
      </c>
      <c r="G96" s="151" t="n">
        <v>61.76</v>
      </c>
      <c r="H96" s="151">
        <f>ROUND(F96*G96,2)</f>
        <v/>
      </c>
      <c r="J96" s="154" t="n"/>
    </row>
    <row r="97" ht="63" customHeight="1" s="197">
      <c r="A97" s="241" t="n">
        <v>81</v>
      </c>
      <c r="B97" s="241" t="inlineStr">
        <is>
          <t> </t>
        </is>
      </c>
      <c r="C97" s="242" t="inlineStr">
        <is>
          <t>23.7.01.04-0006</t>
        </is>
      </c>
      <c r="D97" s="242" t="inlineStr">
        <is>
          <t>Трубопроводы из стальных электросварных труб с гильзами для отопления и водоснабжения, наружный диаметр 133 мм, толщина стенки 4 мм</t>
        </is>
      </c>
      <c r="E97" s="161" t="inlineStr">
        <is>
          <t>м</t>
        </is>
      </c>
      <c r="F97" s="241" t="n">
        <v>13.075</v>
      </c>
      <c r="G97" s="151" t="n">
        <v>103.04</v>
      </c>
      <c r="H97" s="151">
        <f>ROUND(F97*G97,2)</f>
        <v/>
      </c>
      <c r="J97" s="154" t="n"/>
      <c r="K97" s="155" t="n"/>
    </row>
    <row r="98" ht="63" customHeight="1" s="197">
      <c r="A98" s="241" t="n">
        <v>82</v>
      </c>
      <c r="B98" s="241" t="inlineStr">
        <is>
          <t> </t>
        </is>
      </c>
      <c r="C98" s="242" t="inlineStr">
        <is>
          <t>23.7.01.04-0003</t>
        </is>
      </c>
      <c r="D98" s="242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E98" s="161" t="inlineStr">
        <is>
          <t>м</t>
        </is>
      </c>
      <c r="F98" s="241" t="n">
        <v>23.145</v>
      </c>
      <c r="G98" s="151" t="n">
        <v>53.12</v>
      </c>
      <c r="H98" s="151">
        <f>ROUND(F98*G98,2)</f>
        <v/>
      </c>
      <c r="J98" s="154" t="n"/>
    </row>
    <row r="99" ht="31.5" customHeight="1" s="197">
      <c r="A99" s="241" t="n">
        <v>83</v>
      </c>
      <c r="B99" s="241" t="inlineStr">
        <is>
          <t> </t>
        </is>
      </c>
      <c r="C99" s="242" t="inlineStr">
        <is>
          <t>01.7.15.07-0012</t>
        </is>
      </c>
      <c r="D99" s="242" t="inlineStr">
        <is>
          <t>Дюбели пластмассовые с шурупами, размер 12х70 мм</t>
        </is>
      </c>
      <c r="E99" s="161" t="inlineStr">
        <is>
          <t>100 шт</t>
        </is>
      </c>
      <c r="F99" s="241" t="n">
        <v>14.375</v>
      </c>
      <c r="G99" s="151" t="n">
        <v>83</v>
      </c>
      <c r="H99" s="151">
        <f>ROUND(F99*G99,2)</f>
        <v/>
      </c>
      <c r="J99" s="154" t="n"/>
    </row>
    <row r="100">
      <c r="A100" s="241" t="n">
        <v>84</v>
      </c>
      <c r="B100" s="241" t="inlineStr">
        <is>
          <t> </t>
        </is>
      </c>
      <c r="C100" s="242" t="inlineStr">
        <is>
          <t>01.7.11.07-0040</t>
        </is>
      </c>
      <c r="D100" s="242" t="inlineStr">
        <is>
          <t>Электроды сварочные Э50А, диаметр 4 мм</t>
        </is>
      </c>
      <c r="E100" s="161" t="inlineStr">
        <is>
          <t>т</t>
        </is>
      </c>
      <c r="F100" s="241" t="n">
        <v>0.09</v>
      </c>
      <c r="G100" s="151" t="n">
        <v>11524</v>
      </c>
      <c r="H100" s="151">
        <f>ROUND(F100*G100,2)</f>
        <v/>
      </c>
      <c r="J100" s="154" t="n"/>
    </row>
    <row r="101" ht="63" customHeight="1" s="197">
      <c r="A101" s="241" t="n">
        <v>85</v>
      </c>
      <c r="B101" s="241" t="inlineStr">
        <is>
          <t> </t>
        </is>
      </c>
      <c r="C101" s="242" t="inlineStr">
        <is>
          <t>23.8.04.12-0113</t>
        </is>
      </c>
      <c r="D101" s="242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01" s="161" t="inlineStr">
        <is>
          <t>шт</t>
        </is>
      </c>
      <c r="F101" s="241" t="n">
        <v>9</v>
      </c>
      <c r="G101" s="151" t="n">
        <v>111.84</v>
      </c>
      <c r="H101" s="151">
        <f>ROUND(F101*G101,2)</f>
        <v/>
      </c>
      <c r="J101" s="154" t="n"/>
    </row>
    <row r="102" ht="31.5" customHeight="1" s="197">
      <c r="A102" s="241" t="n">
        <v>86</v>
      </c>
      <c r="B102" s="241" t="inlineStr">
        <is>
          <t> </t>
        </is>
      </c>
      <c r="C102" s="242" t="inlineStr">
        <is>
          <t>08.3.05.02-0052</t>
        </is>
      </c>
      <c r="D102" s="242" t="inlineStr">
        <is>
          <t>Прокат толстолистовой горячекатаный марка стали Ст3, толщина 2-6 мм</t>
        </is>
      </c>
      <c r="E102" s="161" t="inlineStr">
        <is>
          <t>т</t>
        </is>
      </c>
      <c r="F102" s="241" t="n">
        <v>0.1515</v>
      </c>
      <c r="G102" s="151" t="n">
        <v>5941.89</v>
      </c>
      <c r="H102" s="151">
        <f>ROUND(F102*G102,2)</f>
        <v/>
      </c>
      <c r="J102" s="154" t="n"/>
    </row>
    <row r="103" ht="47.25" customHeight="1" s="197">
      <c r="A103" s="241" t="n">
        <v>87</v>
      </c>
      <c r="B103" s="241" t="inlineStr">
        <is>
          <t> </t>
        </is>
      </c>
      <c r="C103" s="242" t="inlineStr">
        <is>
          <t>23.8.04.08-0053</t>
        </is>
      </c>
      <c r="D103" s="242" t="inlineStr">
        <is>
          <t>Переходы концентрические, номинальное давление 16 МПа, наружный диаметр и толщина стенки 76х3,5-38х2,5 мм</t>
        </is>
      </c>
      <c r="E103" s="161" t="inlineStr">
        <is>
          <t>шт</t>
        </is>
      </c>
      <c r="F103" s="241" t="n">
        <v>18</v>
      </c>
      <c r="G103" s="151" t="n">
        <v>48.28</v>
      </c>
      <c r="H103" s="151">
        <f>ROUND(F103*G103,2)</f>
        <v/>
      </c>
      <c r="J103" s="154" t="n"/>
    </row>
    <row r="104" ht="63" customHeight="1" s="197">
      <c r="A104" s="241" t="n">
        <v>88</v>
      </c>
      <c r="B104" s="241" t="inlineStr">
        <is>
          <t> </t>
        </is>
      </c>
      <c r="C104" s="242" t="inlineStr">
        <is>
          <t>23.8.04.12-0111</t>
        </is>
      </c>
      <c r="D104" s="242" t="inlineStr">
        <is>
          <t>Тройники равнопроходные, номинальное давление до 16 МПа, номинальный диаметр 40 мм, наружный диаметр и толщина стенки 48,3х3,6 мм</t>
        </is>
      </c>
      <c r="E104" s="161" t="inlineStr">
        <is>
          <t>шт</t>
        </is>
      </c>
      <c r="F104" s="241" t="n">
        <v>9</v>
      </c>
      <c r="G104" s="151" t="n">
        <v>94.64</v>
      </c>
      <c r="H104" s="151">
        <f>ROUND(F104*G104,2)</f>
        <v/>
      </c>
      <c r="J104" s="154" t="n"/>
    </row>
    <row r="105" ht="31.5" customHeight="1" s="197">
      <c r="A105" s="241" t="n">
        <v>89</v>
      </c>
      <c r="B105" s="241" t="inlineStr">
        <is>
          <t> </t>
        </is>
      </c>
      <c r="C105" s="242" t="inlineStr">
        <is>
          <t>08.3.08.02-0091</t>
        </is>
      </c>
      <c r="D105" s="242" t="inlineStr">
        <is>
          <t>Уголок перфорированный, марка стали Ст3, размер 35х35 мм</t>
        </is>
      </c>
      <c r="E105" s="161" t="inlineStr">
        <is>
          <t>м</t>
        </is>
      </c>
      <c r="F105" s="241" t="n">
        <v>44.544</v>
      </c>
      <c r="G105" s="151" t="n">
        <v>15.13</v>
      </c>
      <c r="H105" s="151">
        <f>ROUND(F105*G105,2)</f>
        <v/>
      </c>
      <c r="J105" s="154" t="n"/>
    </row>
    <row r="106">
      <c r="A106" s="241" t="n">
        <v>90</v>
      </c>
      <c r="B106" s="241" t="inlineStr">
        <is>
          <t> </t>
        </is>
      </c>
      <c r="C106" s="242" t="inlineStr">
        <is>
          <t>14.4.04.09-0017</t>
        </is>
      </c>
      <c r="D106" s="242" t="inlineStr">
        <is>
          <t>Эмаль ХВ-124, защитная, зеленая</t>
        </is>
      </c>
      <c r="E106" s="161" t="inlineStr">
        <is>
          <t>т</t>
        </is>
      </c>
      <c r="F106" s="241" t="n">
        <v>0.02286</v>
      </c>
      <c r="G106" s="151" t="n">
        <v>28300.4</v>
      </c>
      <c r="H106" s="151">
        <f>ROUND(F106*G106,2)</f>
        <v/>
      </c>
      <c r="J106" s="154" t="n"/>
    </row>
    <row r="107" ht="31.5" customHeight="1" s="197">
      <c r="A107" s="241" t="n">
        <v>91</v>
      </c>
      <c r="B107" s="241" t="inlineStr">
        <is>
          <t> </t>
        </is>
      </c>
      <c r="C107" s="242" t="inlineStr">
        <is>
          <t>999-9950</t>
        </is>
      </c>
      <c r="D107" s="242" t="inlineStr">
        <is>
          <t>Вспомогательные ненормируемые ресурсы (2% от Оплаты труда рабочих)</t>
        </is>
      </c>
      <c r="E107" s="161" t="inlineStr">
        <is>
          <t>руб</t>
        </is>
      </c>
      <c r="F107" s="241" t="n">
        <v>620.551407</v>
      </c>
      <c r="G107" s="151" t="n">
        <v>1</v>
      </c>
      <c r="H107" s="151">
        <f>ROUND(F107*G107,2)</f>
        <v/>
      </c>
      <c r="J107" s="154" t="n"/>
    </row>
    <row r="108" ht="63" customHeight="1" s="197">
      <c r="A108" s="241" t="n">
        <v>92</v>
      </c>
      <c r="B108" s="241" t="inlineStr">
        <is>
          <t> </t>
        </is>
      </c>
      <c r="C108" s="242" t="inlineStr">
        <is>
          <t>23.7.01.04-0005</t>
        </is>
      </c>
      <c r="D108" s="242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E108" s="161" t="inlineStr">
        <is>
          <t>м</t>
        </is>
      </c>
      <c r="F108" s="241" t="n">
        <v>7.52</v>
      </c>
      <c r="G108" s="151" t="n">
        <v>79.36</v>
      </c>
      <c r="H108" s="151">
        <f>ROUND(F108*G108,2)</f>
        <v/>
      </c>
      <c r="J108" s="154" t="n"/>
    </row>
    <row r="109">
      <c r="A109" s="241" t="n">
        <v>93</v>
      </c>
      <c r="B109" s="241" t="inlineStr">
        <is>
          <t> </t>
        </is>
      </c>
      <c r="C109" s="242" t="inlineStr">
        <is>
          <t>01.7.11.07-0032</t>
        </is>
      </c>
      <c r="D109" s="242" t="inlineStr">
        <is>
          <t>Электроды сварочные Э42, диаметр 4 мм</t>
        </is>
      </c>
      <c r="E109" s="161" t="inlineStr">
        <is>
          <t>т</t>
        </is>
      </c>
      <c r="F109" s="241" t="n">
        <v>0.057804</v>
      </c>
      <c r="G109" s="151" t="n">
        <v>10315.01</v>
      </c>
      <c r="H109" s="151">
        <f>ROUND(F109*G109,2)</f>
        <v/>
      </c>
      <c r="J109" s="154" t="n"/>
    </row>
    <row r="110" ht="31.5" customHeight="1" s="197">
      <c r="A110" s="241" t="n">
        <v>94</v>
      </c>
      <c r="B110" s="241" t="inlineStr">
        <is>
          <t> </t>
        </is>
      </c>
      <c r="C110" s="242" t="inlineStr">
        <is>
          <t>08.1.02.11-0023</t>
        </is>
      </c>
      <c r="D110" s="242" t="inlineStr">
        <is>
          <t>Поковки простые строительные (скобы, закрепы, хомуты), масса до 1,6 кг</t>
        </is>
      </c>
      <c r="E110" s="161" t="inlineStr">
        <is>
          <t>кг</t>
        </is>
      </c>
      <c r="F110" s="241" t="n">
        <v>38</v>
      </c>
      <c r="G110" s="151" t="n">
        <v>15.14</v>
      </c>
      <c r="H110" s="151">
        <f>ROUND(F110*G110,2)</f>
        <v/>
      </c>
      <c r="J110" s="154" t="n"/>
    </row>
    <row r="111" ht="63" customHeight="1" s="197">
      <c r="A111" s="241" t="n">
        <v>95</v>
      </c>
      <c r="B111" s="241" t="inlineStr">
        <is>
          <t> </t>
        </is>
      </c>
      <c r="C111" s="242" t="inlineStr">
        <is>
          <t>23.7.01.04-0002</t>
        </is>
      </c>
      <c r="D111" s="242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E111" s="161" t="inlineStr">
        <is>
          <t>м</t>
        </is>
      </c>
      <c r="F111" s="241" t="n">
        <v>13.385</v>
      </c>
      <c r="G111" s="151" t="n">
        <v>41.28</v>
      </c>
      <c r="H111" s="151">
        <f>ROUND(F111*G111,2)</f>
        <v/>
      </c>
      <c r="J111" s="154" t="n"/>
    </row>
    <row r="112" ht="47.25" customHeight="1" s="197">
      <c r="A112" s="241" t="n">
        <v>96</v>
      </c>
      <c r="B112" s="241" t="inlineStr">
        <is>
          <t> </t>
        </is>
      </c>
      <c r="C112" s="242" t="inlineStr">
        <is>
          <t>23.8.04.08-0059</t>
        </is>
      </c>
      <c r="D112" s="242" t="inlineStr">
        <is>
          <t>Переходы концентрические, номинальное давление 16 МПа, наружный диаметр и толщина стенки 89х3,5-45х2,5 мм</t>
        </is>
      </c>
      <c r="E112" s="161" t="inlineStr">
        <is>
          <t>шт</t>
        </is>
      </c>
      <c r="F112" s="241" t="n">
        <v>8</v>
      </c>
      <c r="G112" s="151" t="n">
        <v>58.12</v>
      </c>
      <c r="H112" s="151">
        <f>ROUND(F112*G112,2)</f>
        <v/>
      </c>
      <c r="J112" s="154" t="n"/>
    </row>
    <row r="113" ht="47.25" customHeight="1" s="197">
      <c r="A113" s="241" t="n">
        <v>97</v>
      </c>
      <c r="B113" s="241" t="inlineStr">
        <is>
          <t> </t>
        </is>
      </c>
      <c r="C113" s="242" t="inlineStr">
        <is>
          <t>23.8.04.08-0055</t>
        </is>
      </c>
      <c r="D113" s="242" t="inlineStr">
        <is>
          <t>Переходы концентрические, номинальное давление 16 МПа, наружный диаметр и толщина стенки 76х3,5-45х2,5 мм</t>
        </is>
      </c>
      <c r="E113" s="161" t="inlineStr">
        <is>
          <t>шт</t>
        </is>
      </c>
      <c r="F113" s="241" t="n">
        <v>9</v>
      </c>
      <c r="G113" s="151" t="n">
        <v>50.14</v>
      </c>
      <c r="H113" s="151">
        <f>ROUND(F113*G113,2)</f>
        <v/>
      </c>
      <c r="J113" s="154" t="n"/>
    </row>
    <row r="114" ht="63" customHeight="1" s="197">
      <c r="A114" s="241" t="n">
        <v>98</v>
      </c>
      <c r="B114" s="241" t="inlineStr">
        <is>
          <t> </t>
        </is>
      </c>
      <c r="C114" s="242" t="inlineStr">
        <is>
          <t>23.8.04.06-0309</t>
        </is>
      </c>
      <c r="D114" s="242" t="inlineStr">
        <is>
          <t>Отводы 90 °C радиусом кривизны R=1,5 Ду на давление до 16 МПа, номинальный диаметр 30 мм, наружный диаметр 33,7 мм, толщина стенки 2,3 мм</t>
        </is>
      </c>
      <c r="E114" s="161" t="inlineStr">
        <is>
          <t>шт</t>
        </is>
      </c>
      <c r="F114" s="241" t="n">
        <v>66</v>
      </c>
      <c r="G114" s="151" t="n">
        <v>6.65</v>
      </c>
      <c r="H114" s="151">
        <f>ROUND(F114*G114,2)</f>
        <v/>
      </c>
      <c r="J114" s="154" t="n"/>
    </row>
    <row r="115" ht="63" customHeight="1" s="197">
      <c r="A115" s="241" t="n">
        <v>99</v>
      </c>
      <c r="B115" s="241" t="inlineStr">
        <is>
          <t> </t>
        </is>
      </c>
      <c r="C115" s="242" t="inlineStr">
        <is>
          <t>23.8.04.12-0116</t>
        </is>
      </c>
      <c r="D115" s="242" t="inlineStr">
        <is>
          <t>Тройники равнопроходные, номинальное давление до 16 МПа, номинальный диаметр 65 мм, наружный диаметр и толщина стенки 76,1х5,0 мм</t>
        </is>
      </c>
      <c r="E115" s="161" t="inlineStr">
        <is>
          <t>шт</t>
        </is>
      </c>
      <c r="F115" s="241" t="n">
        <v>3</v>
      </c>
      <c r="G115" s="151" t="n">
        <v>141.68</v>
      </c>
      <c r="H115" s="151">
        <f>ROUND(F115*G115,2)</f>
        <v/>
      </c>
      <c r="J115" s="154" t="n"/>
    </row>
    <row r="116" ht="63" customHeight="1" s="197">
      <c r="A116" s="241" t="n">
        <v>100</v>
      </c>
      <c r="B116" s="241" t="inlineStr">
        <is>
          <t> </t>
        </is>
      </c>
      <c r="C116" s="242" t="inlineStr">
        <is>
          <t>23.8.04.06-0061</t>
        </is>
      </c>
      <c r="D116" s="242" t="inlineStr">
        <is>
          <t>Отвод крутоизогнутый, радиус кривизны 1,5 мм, номинальное давление до 16 МПа, номинальный диаметр 40 мм, наружный диаметр 45 мм, толщина стенки 2,5 мм</t>
        </is>
      </c>
      <c r="E116" s="161" t="inlineStr">
        <is>
          <t>шт</t>
        </is>
      </c>
      <c r="F116" s="241" t="n">
        <v>20</v>
      </c>
      <c r="G116" s="151" t="n">
        <v>21.15</v>
      </c>
      <c r="H116" s="151">
        <f>ROUND(F116*G116,2)</f>
        <v/>
      </c>
      <c r="J116" s="154" t="n"/>
      <c r="K116" s="155" t="n"/>
    </row>
    <row r="117" ht="31.5" customHeight="1" s="197">
      <c r="A117" s="241" t="n">
        <v>101</v>
      </c>
      <c r="B117" s="241" t="inlineStr">
        <is>
          <t> </t>
        </is>
      </c>
      <c r="C117" s="242" t="inlineStr">
        <is>
          <t>10.3.02.03-0012</t>
        </is>
      </c>
      <c r="D117" s="242" t="inlineStr">
        <is>
          <t>Припои оловянно-свинцовые бессурьмянистые, марка ПОС40</t>
        </is>
      </c>
      <c r="E117" s="161" t="inlineStr">
        <is>
          <t>т</t>
        </is>
      </c>
      <c r="F117" s="241" t="n">
        <v>0.006196</v>
      </c>
      <c r="G117" s="151" t="n">
        <v>65750</v>
      </c>
      <c r="H117" s="151">
        <f>ROUND(F117*G117,2)</f>
        <v/>
      </c>
      <c r="J117" s="154" t="n"/>
    </row>
    <row r="118" ht="63" customHeight="1" s="197">
      <c r="A118" s="241" t="n">
        <v>102</v>
      </c>
      <c r="B118" s="241" t="inlineStr">
        <is>
          <t> </t>
        </is>
      </c>
      <c r="C118" s="242" t="inlineStr">
        <is>
          <t>23.8.04.12-0125</t>
        </is>
      </c>
      <c r="D118" s="242" t="inlineStr">
        <is>
          <t>Тройники равнопроходные, номинальное давление до 16 МПа, номинальный диаметр 125 мм, наружный диаметр и толщина стенки 133х4,0 мм</t>
        </is>
      </c>
      <c r="E118" s="161" t="inlineStr">
        <is>
          <t>шт</t>
        </is>
      </c>
      <c r="F118" s="241" t="n">
        <v>2</v>
      </c>
      <c r="G118" s="151" t="n">
        <v>185.81</v>
      </c>
      <c r="H118" s="151">
        <f>ROUND(F118*G118,2)</f>
        <v/>
      </c>
      <c r="J118" s="154" t="n"/>
    </row>
    <row r="119">
      <c r="A119" s="241" t="n">
        <v>103</v>
      </c>
      <c r="B119" s="241" t="inlineStr">
        <is>
          <t> </t>
        </is>
      </c>
      <c r="C119" s="242" t="inlineStr">
        <is>
          <t>14.4.01.01-0003</t>
        </is>
      </c>
      <c r="D119" s="242" t="inlineStr">
        <is>
          <t>Грунтовка ГФ-021</t>
        </is>
      </c>
      <c r="E119" s="161" t="inlineStr">
        <is>
          <t>т</t>
        </is>
      </c>
      <c r="F119" s="241" t="n">
        <v>0.0228477</v>
      </c>
      <c r="G119" s="151" t="n">
        <v>15620</v>
      </c>
      <c r="H119" s="151">
        <f>ROUND(F119*G119,2)</f>
        <v/>
      </c>
      <c r="J119" s="154" t="n"/>
    </row>
    <row r="120" ht="63" customHeight="1" s="197">
      <c r="A120" s="241" t="n">
        <v>104</v>
      </c>
      <c r="B120" s="241" t="inlineStr">
        <is>
          <t> </t>
        </is>
      </c>
      <c r="C120" s="242" t="inlineStr">
        <is>
          <t>23.8.04.12-0103</t>
        </is>
      </c>
      <c r="D120" s="242" t="inlineStr">
        <is>
          <t>Тройники равнопроходные, номинальное давление до 16 МПа, номинальный диаметр 80 мм, наружный диаметр и толщина стенки 88,9х3,2 мм</t>
        </is>
      </c>
      <c r="E120" s="161" t="inlineStr">
        <is>
          <t>шт</t>
        </is>
      </c>
      <c r="F120" s="241" t="n">
        <v>4</v>
      </c>
      <c r="G120" s="151" t="n">
        <v>88.14</v>
      </c>
      <c r="H120" s="151">
        <f>ROUND(F120*G120,2)</f>
        <v/>
      </c>
      <c r="J120" s="154" t="n"/>
    </row>
    <row r="121">
      <c r="A121" s="241" t="n">
        <v>105</v>
      </c>
      <c r="B121" s="241" t="inlineStr">
        <is>
          <t> </t>
        </is>
      </c>
      <c r="C121" s="242" t="inlineStr">
        <is>
          <t>21.2.03.09-0105</t>
        </is>
      </c>
      <c r="D121" s="242" t="inlineStr">
        <is>
          <t>Провод силовой ПРТО 1х1,5-660</t>
        </is>
      </c>
      <c r="E121" s="161" t="inlineStr">
        <is>
          <t>1000 м</t>
        </is>
      </c>
      <c r="F121" s="241" t="n">
        <v>0.19</v>
      </c>
      <c r="G121" s="151" t="n">
        <v>1819.3</v>
      </c>
      <c r="H121" s="151">
        <f>ROUND(F121*G121,2)</f>
        <v/>
      </c>
      <c r="J121" s="154" t="n"/>
    </row>
    <row r="122" ht="63" customHeight="1" s="197">
      <c r="A122" s="241" t="n">
        <v>106</v>
      </c>
      <c r="B122" s="241" t="inlineStr">
        <is>
          <t> </t>
        </is>
      </c>
      <c r="C122" s="242" t="inlineStr">
        <is>
          <t>23.8.04.12-0115</t>
        </is>
      </c>
      <c r="D122" s="242" t="inlineStr">
        <is>
          <t>Тройники равнопроходные, номинальное давление до 16 МПа, номинальный диаметр 65 мм, наружный диаметр и толщина стенки 76,1х2,9 мм</t>
        </is>
      </c>
      <c r="E122" s="161" t="inlineStr">
        <is>
          <t>шт</t>
        </is>
      </c>
      <c r="F122" s="241" t="n">
        <v>3</v>
      </c>
      <c r="G122" s="151" t="n">
        <v>110.07</v>
      </c>
      <c r="H122" s="151">
        <f>ROUND(F122*G122,2)</f>
        <v/>
      </c>
      <c r="J122" s="154" t="n"/>
    </row>
    <row r="123" ht="63" customHeight="1" s="197">
      <c r="A123" s="241" t="n">
        <v>107</v>
      </c>
      <c r="B123" s="241" t="inlineStr">
        <is>
          <t> </t>
        </is>
      </c>
      <c r="C123" s="242" t="inlineStr">
        <is>
          <t>23.8.04.12-0104</t>
        </is>
      </c>
      <c r="D123" s="242" t="inlineStr">
        <is>
          <t>Тройники равнопроходные, номинальное давление до 16 МПа, номинальный диаметр 100 мм, наружный диаметр и толщина стенки 114,3х3,6 мм</t>
        </is>
      </c>
      <c r="E123" s="161" t="inlineStr">
        <is>
          <t>шт</t>
        </is>
      </c>
      <c r="F123" s="241" t="n">
        <v>2</v>
      </c>
      <c r="G123" s="151" t="n">
        <v>155.94</v>
      </c>
      <c r="H123" s="151">
        <f>ROUND(F123*G123,2)</f>
        <v/>
      </c>
      <c r="J123" s="154" t="n"/>
    </row>
    <row r="124" ht="63" customHeight="1" s="197">
      <c r="A124" s="241" t="n">
        <v>108</v>
      </c>
      <c r="B124" s="241" t="inlineStr">
        <is>
          <t> </t>
        </is>
      </c>
      <c r="C124" s="242" t="inlineStr">
        <is>
          <t>23.7.01.04-0001</t>
        </is>
      </c>
      <c r="D124" s="242" t="inlineStr">
        <is>
          <t>Трубопроводы из стальных электросварных труб с гильзами для отопления и водоснабжения, наружный диаметр 45 мм, толщина стенки 3,5 мм</t>
        </is>
      </c>
      <c r="E124" s="161" t="inlineStr">
        <is>
          <t>м</t>
        </is>
      </c>
      <c r="F124" s="241" t="n">
        <v>9.44</v>
      </c>
      <c r="G124" s="151" t="n">
        <v>31.75</v>
      </c>
      <c r="H124" s="151">
        <f>ROUND(F124*G124,2)</f>
        <v/>
      </c>
      <c r="J124" s="154" t="n"/>
    </row>
    <row r="125">
      <c r="A125" s="241" t="n">
        <v>109</v>
      </c>
      <c r="B125" s="241" t="inlineStr">
        <is>
          <t> </t>
        </is>
      </c>
      <c r="C125" s="242" t="inlineStr">
        <is>
          <t>01.3.02.08-0001</t>
        </is>
      </c>
      <c r="D125" s="242" t="inlineStr">
        <is>
          <t>Кислород газообразный технический</t>
        </is>
      </c>
      <c r="E125" s="161" t="inlineStr">
        <is>
          <t>м3</t>
        </is>
      </c>
      <c r="F125" s="241" t="n">
        <v>37.6231077</v>
      </c>
      <c r="G125" s="151" t="n">
        <v>6.22</v>
      </c>
      <c r="H125" s="151">
        <f>ROUND(F125*G125,2)</f>
        <v/>
      </c>
      <c r="J125" s="154" t="n"/>
    </row>
    <row r="126" ht="31.5" customHeight="1" s="197">
      <c r="A126" s="241" t="n">
        <v>110</v>
      </c>
      <c r="B126" s="241" t="inlineStr">
        <is>
          <t> </t>
        </is>
      </c>
      <c r="C126" s="242" t="inlineStr">
        <is>
          <t>08.3.11.01-0032</t>
        </is>
      </c>
      <c r="D126" s="242" t="inlineStr">
        <is>
          <t>Сталь швеллерная, перфорированная ШП, марка Ст3, размер 60х35 мм</t>
        </is>
      </c>
      <c r="E126" s="161" t="inlineStr">
        <is>
          <t>м</t>
        </is>
      </c>
      <c r="F126" s="241" t="n">
        <v>9.048</v>
      </c>
      <c r="G126" s="151" t="n">
        <v>23.79</v>
      </c>
      <c r="H126" s="151">
        <f>ROUND(F126*G126,2)</f>
        <v/>
      </c>
      <c r="J126" s="154" t="n"/>
    </row>
    <row r="127" ht="63" customHeight="1" s="197">
      <c r="A127" s="241" t="n">
        <v>111</v>
      </c>
      <c r="B127" s="241" t="inlineStr">
        <is>
          <t> </t>
        </is>
      </c>
      <c r="C127" s="242" t="inlineStr">
        <is>
          <t>23.8.04.06-0063</t>
        </is>
      </c>
      <c r="D127" s="242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3 мм</t>
        </is>
      </c>
      <c r="E127" s="161" t="inlineStr">
        <is>
          <t>шт</t>
        </is>
      </c>
      <c r="F127" s="241" t="n">
        <v>8</v>
      </c>
      <c r="G127" s="151" t="n">
        <v>25.06</v>
      </c>
      <c r="H127" s="151">
        <f>ROUND(F127*G127,2)</f>
        <v/>
      </c>
      <c r="J127" s="154" t="n"/>
    </row>
    <row r="128">
      <c r="A128" s="241" t="n">
        <v>112</v>
      </c>
      <c r="B128" s="241" t="inlineStr">
        <is>
          <t> </t>
        </is>
      </c>
      <c r="C128" s="242" t="inlineStr">
        <is>
          <t>01.7.11.07-0044</t>
        </is>
      </c>
      <c r="D128" s="242" t="inlineStr">
        <is>
          <t>Электроды сварочные Э42, диаметр 5 мм</t>
        </is>
      </c>
      <c r="E128" s="161" t="inlineStr">
        <is>
          <t>т</t>
        </is>
      </c>
      <c r="F128" s="241" t="n">
        <v>0.020443</v>
      </c>
      <c r="G128" s="151" t="n">
        <v>9765</v>
      </c>
      <c r="H128" s="151">
        <f>ROUND(F128*G128,2)</f>
        <v/>
      </c>
      <c r="J128" s="154" t="n"/>
    </row>
    <row r="129" ht="31.5" customHeight="1" s="197">
      <c r="A129" s="241" t="n">
        <v>113</v>
      </c>
      <c r="B129" s="241" t="inlineStr">
        <is>
          <t> </t>
        </is>
      </c>
      <c r="C129" s="242" t="inlineStr">
        <is>
          <t>10.3.02.03-0011</t>
        </is>
      </c>
      <c r="D129" s="242" t="inlineStr">
        <is>
          <t>Припои оловянно-свинцовые бессурьмянистые, марка ПОС30</t>
        </is>
      </c>
      <c r="E129" s="161" t="inlineStr">
        <is>
          <t>т</t>
        </is>
      </c>
      <c r="F129" s="241" t="n">
        <v>0.002825</v>
      </c>
      <c r="G129" s="151" t="n">
        <v>68050</v>
      </c>
      <c r="H129" s="151">
        <f>ROUND(F129*G129,2)</f>
        <v/>
      </c>
      <c r="J129" s="154" t="n"/>
    </row>
    <row r="130" ht="63" customHeight="1" s="197">
      <c r="A130" s="241" t="n">
        <v>114</v>
      </c>
      <c r="B130" s="241" t="inlineStr">
        <is>
          <t> </t>
        </is>
      </c>
      <c r="C130" s="242" t="inlineStr">
        <is>
          <t>23.3.03.02-0111</t>
        </is>
      </c>
      <c r="D130" s="242" t="inlineStr">
        <is>
          <t>Трубы стальные бесшовные горячедеформированные со снятой фаской из стали марок 15, 20, 35, наружный диаметр 133 мм, толщина стенки 4 мм</t>
        </is>
      </c>
      <c r="E130" s="161" t="inlineStr">
        <is>
          <t>м</t>
        </is>
      </c>
      <c r="F130" s="241" t="n">
        <v>1.98</v>
      </c>
      <c r="G130" s="151" t="n">
        <v>93.26000000000001</v>
      </c>
      <c r="H130" s="151">
        <f>ROUND(F130*G130,2)</f>
        <v/>
      </c>
      <c r="J130" s="154" t="n"/>
    </row>
    <row r="131" ht="47.25" customHeight="1" s="197">
      <c r="A131" s="241" t="n">
        <v>115</v>
      </c>
      <c r="B131" s="241" t="inlineStr">
        <is>
          <t> </t>
        </is>
      </c>
      <c r="C131" s="242" t="inlineStr">
        <is>
          <t>23.8.04.08-0165</t>
        </is>
      </c>
      <c r="D131" s="242" t="inlineStr">
        <is>
          <t>Переходы стальные концентрические бесшовные приварные, наружный диаметр и толщина стенки 133х4,0-108х4,0 мм</t>
        </is>
      </c>
      <c r="E131" s="161" t="inlineStr">
        <is>
          <t>шт</t>
        </is>
      </c>
      <c r="F131" s="241" t="n">
        <v>4</v>
      </c>
      <c r="G131" s="151" t="n">
        <v>45.75</v>
      </c>
      <c r="H131" s="151">
        <f>ROUND(F131*G131,2)</f>
        <v/>
      </c>
      <c r="J131" s="154" t="n"/>
    </row>
    <row r="132" ht="31.5" customHeight="1" s="197">
      <c r="A132" s="241" t="n">
        <v>116</v>
      </c>
      <c r="B132" s="241" t="inlineStr">
        <is>
          <t> </t>
        </is>
      </c>
      <c r="C132" s="242" t="inlineStr">
        <is>
          <t>23.8.04.08-0090</t>
        </is>
      </c>
      <c r="D132" s="242" t="inlineStr">
        <is>
          <t>Переходы концентрические, номинальное давление 16 МПа, наружный диаметр и толщина стенки 159х4,5-133х4 мм</t>
        </is>
      </c>
      <c r="E132" s="161" t="inlineStr">
        <is>
          <t>шт</t>
        </is>
      </c>
      <c r="F132" s="241" t="n">
        <v>2</v>
      </c>
      <c r="G132" s="151" t="n">
        <v>87.12</v>
      </c>
      <c r="H132" s="151">
        <f>ROUND(F132*G132,2)</f>
        <v/>
      </c>
      <c r="J132" s="154" t="n"/>
    </row>
    <row r="133" ht="47.25" customHeight="1" s="197">
      <c r="A133" s="241" t="n">
        <v>117</v>
      </c>
      <c r="B133" s="241" t="inlineStr">
        <is>
          <t> </t>
        </is>
      </c>
      <c r="C133" s="242" t="inlineStr">
        <is>
          <t>23.8.04.08-0052</t>
        </is>
      </c>
      <c r="D133" s="242" t="inlineStr">
        <is>
          <t>Переходы концентрические, номинальное давление 16 МПа, наружный диаметр и толщина стенки 57х5-45х4 мм</t>
        </is>
      </c>
      <c r="E133" s="161" t="inlineStr">
        <is>
          <t>шт</t>
        </is>
      </c>
      <c r="F133" s="241" t="n">
        <v>3</v>
      </c>
      <c r="G133" s="151" t="n">
        <v>44.49</v>
      </c>
      <c r="H133" s="151">
        <f>ROUND(F133*G133,2)</f>
        <v/>
      </c>
      <c r="J133" s="154" t="n"/>
    </row>
    <row r="134" ht="31.5" customHeight="1" s="197">
      <c r="A134" s="241" t="n">
        <v>118</v>
      </c>
      <c r="B134" s="241" t="inlineStr">
        <is>
          <t> </t>
        </is>
      </c>
      <c r="C134" s="242" t="inlineStr">
        <is>
          <t>21.1.08.01-0095</t>
        </is>
      </c>
      <c r="D134" s="242" t="inlineStr">
        <is>
          <t>Кабель пожарной сигнализации КПСВВнг-LS 2х2х0,75</t>
        </is>
      </c>
      <c r="E134" s="161" t="inlineStr">
        <is>
          <t>1000 м</t>
        </is>
      </c>
      <c r="F134" s="241" t="n">
        <v>0.02</v>
      </c>
      <c r="G134" s="151" t="n">
        <v>6663.65</v>
      </c>
      <c r="H134" s="151">
        <f>ROUND(F134*G134,2)</f>
        <v/>
      </c>
      <c r="J134" s="154" t="n"/>
    </row>
    <row r="135" ht="63" customHeight="1" s="197">
      <c r="A135" s="241" t="n">
        <v>119</v>
      </c>
      <c r="B135" s="241" t="inlineStr">
        <is>
          <t> </t>
        </is>
      </c>
      <c r="C135" s="242" t="inlineStr">
        <is>
          <t>23.8.04.06-0080</t>
        </is>
      </c>
      <c r="D135" s="242" t="inlineStr">
        <is>
          <t>Отвод крутоизогнутый, радиус кривизны 1,5 мм, номинальное давление до 16 МПа, номинальный диаметр 125 мм, наружный диаметр 133 мм, толщина стенки 6 мм</t>
        </is>
      </c>
      <c r="E135" s="161" t="inlineStr">
        <is>
          <t>шт</t>
        </is>
      </c>
      <c r="F135" s="241" t="n">
        <v>1</v>
      </c>
      <c r="G135" s="151" t="n">
        <v>116.94</v>
      </c>
      <c r="H135" s="151">
        <f>ROUND(F135*G135,2)</f>
        <v/>
      </c>
      <c r="J135" s="154" t="n"/>
    </row>
    <row r="136">
      <c r="A136" s="241" t="n">
        <v>120</v>
      </c>
      <c r="B136" s="241" t="inlineStr">
        <is>
          <t> </t>
        </is>
      </c>
      <c r="C136" s="242" t="inlineStr">
        <is>
          <t>14.5.09.07-0030</t>
        </is>
      </c>
      <c r="D136" s="242" t="inlineStr">
        <is>
          <t>Растворитель Р-4</t>
        </is>
      </c>
      <c r="E136" s="161" t="inlineStr">
        <is>
          <t>кг</t>
        </is>
      </c>
      <c r="F136" s="241" t="n">
        <v>10.128</v>
      </c>
      <c r="G136" s="151" t="n">
        <v>9.42</v>
      </c>
      <c r="H136" s="151">
        <f>ROUND(F136*G136,2)</f>
        <v/>
      </c>
      <c r="J136" s="154" t="n"/>
    </row>
    <row r="137" ht="47.25" customHeight="1" s="197">
      <c r="A137" s="241" t="n">
        <v>121</v>
      </c>
      <c r="B137" s="241" t="inlineStr">
        <is>
          <t> </t>
        </is>
      </c>
      <c r="C137" s="242" t="inlineStr">
        <is>
          <t>23.8.04.08-0084</t>
        </is>
      </c>
      <c r="D137" s="242" t="inlineStr">
        <is>
          <t>Переходы концентрические, номинальное давление 16 МПа, наружный диаметр и толщина стенки 159х4,5-76х3,5 мм</t>
        </is>
      </c>
      <c r="E137" s="161" t="inlineStr">
        <is>
          <t>шт</t>
        </is>
      </c>
      <c r="F137" s="241" t="n">
        <v>1</v>
      </c>
      <c r="G137" s="151" t="n">
        <v>91.41</v>
      </c>
      <c r="H137" s="151">
        <f>ROUND(F137*G137,2)</f>
        <v/>
      </c>
      <c r="J137" s="154" t="n"/>
    </row>
    <row r="138">
      <c r="A138" s="241" t="n">
        <v>122</v>
      </c>
      <c r="B138" s="241" t="inlineStr">
        <is>
          <t> </t>
        </is>
      </c>
      <c r="C138" s="242" t="inlineStr">
        <is>
          <t>01.7.03.01-0002</t>
        </is>
      </c>
      <c r="D138" s="242" t="inlineStr">
        <is>
          <t>Вода водопроводная</t>
        </is>
      </c>
      <c r="E138" s="161" t="inlineStr">
        <is>
          <t>м3</t>
        </is>
      </c>
      <c r="F138" s="241" t="n">
        <v>21.8187105</v>
      </c>
      <c r="G138" s="151" t="n">
        <v>3.15</v>
      </c>
      <c r="H138" s="151">
        <f>ROUND(F138*G138,2)</f>
        <v/>
      </c>
      <c r="J138" s="154" t="n"/>
    </row>
    <row r="139">
      <c r="A139" s="241" t="n">
        <v>123</v>
      </c>
      <c r="B139" s="241" t="inlineStr">
        <is>
          <t> </t>
        </is>
      </c>
      <c r="C139" s="242" t="inlineStr">
        <is>
          <t>22.2.02.23-0011</t>
        </is>
      </c>
      <c r="D139" s="242" t="inlineStr">
        <is>
          <t>Глухари</t>
        </is>
      </c>
      <c r="E139" s="161" t="inlineStr">
        <is>
          <t>100 шт</t>
        </is>
      </c>
      <c r="F139" s="241" t="n">
        <v>0.418</v>
      </c>
      <c r="G139" s="151" t="n">
        <v>164</v>
      </c>
      <c r="H139" s="151">
        <f>ROUND(F139*G139,2)</f>
        <v/>
      </c>
      <c r="J139" s="154" t="n"/>
    </row>
    <row r="140" ht="63" customHeight="1" s="197">
      <c r="A140" s="241" t="n">
        <v>124</v>
      </c>
      <c r="B140" s="241" t="inlineStr">
        <is>
          <t> </t>
        </is>
      </c>
      <c r="C140" s="242" t="inlineStr">
        <is>
          <t>23.8.04.06-0066</t>
        </is>
      </c>
      <c r="D140" s="242" t="inlineStr">
        <is>
          <t>Отвод крутоизогнутый, радиус кривизны 1,5 мм, номинальное давление до 16 МПа, номинальный диаметр 65 мм, наружный диаметр 76 мм, толщина стенки 3,5 мм</t>
        </is>
      </c>
      <c r="E140" s="161" t="inlineStr">
        <is>
          <t>шт</t>
        </is>
      </c>
      <c r="F140" s="241" t="n">
        <v>2</v>
      </c>
      <c r="G140" s="151" t="n">
        <v>33.76</v>
      </c>
      <c r="H140" s="151">
        <f>ROUND(F140*G140,2)</f>
        <v/>
      </c>
      <c r="J140" s="154" t="n"/>
    </row>
    <row r="141">
      <c r="A141" s="241" t="n">
        <v>125</v>
      </c>
      <c r="B141" s="241" t="inlineStr">
        <is>
          <t> </t>
        </is>
      </c>
      <c r="C141" s="242" t="inlineStr">
        <is>
          <t>14.4.04.08-0003</t>
        </is>
      </c>
      <c r="D141" s="242" t="inlineStr">
        <is>
          <t>Эмаль ПФ-115, серая</t>
        </is>
      </c>
      <c r="E141" s="161" t="inlineStr">
        <is>
          <t>т</t>
        </is>
      </c>
      <c r="F141" s="241" t="n">
        <v>0.0045215</v>
      </c>
      <c r="G141" s="151" t="n">
        <v>14312.87</v>
      </c>
      <c r="H141" s="151">
        <f>ROUND(F141*G141,2)</f>
        <v/>
      </c>
      <c r="J141" s="154" t="n"/>
    </row>
    <row r="142" ht="31.5" customHeight="1" s="197">
      <c r="A142" s="241" t="n">
        <v>126</v>
      </c>
      <c r="B142" s="241" t="inlineStr">
        <is>
          <t> </t>
        </is>
      </c>
      <c r="C142" s="242" t="inlineStr">
        <is>
          <t>01.7.15.03-0033</t>
        </is>
      </c>
      <c r="D142" s="242" t="inlineStr">
        <is>
          <t>Болты с гайками и шайбами оцинкованные, диаметр 10 мм</t>
        </is>
      </c>
      <c r="E142" s="161" t="inlineStr">
        <is>
          <t>кг</t>
        </is>
      </c>
      <c r="F142" s="241" t="n">
        <v>2.418</v>
      </c>
      <c r="G142" s="151" t="n">
        <v>26.32</v>
      </c>
      <c r="H142" s="151">
        <f>ROUND(F142*G142,2)</f>
        <v/>
      </c>
      <c r="J142" s="154" t="n"/>
    </row>
    <row r="143" ht="47.25" customHeight="1" s="197">
      <c r="A143" s="241" t="n">
        <v>127</v>
      </c>
      <c r="B143" s="241" t="inlineStr">
        <is>
          <t> </t>
        </is>
      </c>
      <c r="C143" s="242" t="inlineStr">
        <is>
          <t>01.7.06.05-0042</t>
        </is>
      </c>
      <c r="D143" s="242" t="inlineStr">
        <is>
          <t>Лента липкая изоляционная на поликасиновом компаунде, ширина 20-30 мм, толщина от 0,14 до 0,19 мм</t>
        </is>
      </c>
      <c r="E143" s="161" t="inlineStr">
        <is>
          <t>кг</t>
        </is>
      </c>
      <c r="F143" s="241" t="n">
        <v>0.57</v>
      </c>
      <c r="G143" s="151" t="n">
        <v>91.29000000000001</v>
      </c>
      <c r="H143" s="151">
        <f>ROUND(F143*G143,2)</f>
        <v/>
      </c>
      <c r="J143" s="154" t="n"/>
    </row>
    <row r="144" ht="31.5" customHeight="1" s="197">
      <c r="A144" s="241" t="n">
        <v>128</v>
      </c>
      <c r="B144" s="241" t="inlineStr">
        <is>
          <t> </t>
        </is>
      </c>
      <c r="C144" s="242" t="inlineStr">
        <is>
          <t>01.7.15.07-0062</t>
        </is>
      </c>
      <c r="D144" s="242" t="inlineStr">
        <is>
          <t>Дюбели с калиброванной головкой (россыпью), размер 3х58,5 мм</t>
        </is>
      </c>
      <c r="E144" s="161" t="inlineStr">
        <is>
          <t>т</t>
        </is>
      </c>
      <c r="F144" s="241" t="n">
        <v>0.0020348</v>
      </c>
      <c r="G144" s="151" t="n">
        <v>25425</v>
      </c>
      <c r="H144" s="151">
        <f>ROUND(F144*G144,2)</f>
        <v/>
      </c>
      <c r="J144" s="154" t="n"/>
    </row>
    <row r="145" ht="47.25" customHeight="1" s="197">
      <c r="A145" s="241" t="n">
        <v>129</v>
      </c>
      <c r="B145" s="241" t="inlineStr">
        <is>
          <t> </t>
        </is>
      </c>
      <c r="C145" s="242" t="inlineStr">
        <is>
          <t>23.8.04.08-0058</t>
        </is>
      </c>
      <c r="D145" s="242" t="inlineStr">
        <is>
          <t>Переходы концентрические, номинальное давление 16 МПа, наружный диаметр и толщина стенки 76х6-57х5 мм</t>
        </is>
      </c>
      <c r="E145" s="161" t="inlineStr">
        <is>
          <t>шт</t>
        </is>
      </c>
      <c r="F145" s="241" t="n">
        <v>1</v>
      </c>
      <c r="G145" s="151" t="n">
        <v>49.54</v>
      </c>
      <c r="H145" s="151">
        <f>ROUND(F145*G145,2)</f>
        <v/>
      </c>
      <c r="J145" s="154" t="n"/>
    </row>
    <row r="146" ht="31.5" customHeight="1" s="197">
      <c r="A146" s="241" t="n">
        <v>130</v>
      </c>
      <c r="B146" s="241" t="inlineStr">
        <is>
          <t> </t>
        </is>
      </c>
      <c r="C146" s="242" t="inlineStr">
        <is>
          <t>01.7.07.10-0001</t>
        </is>
      </c>
      <c r="D146" s="242" t="inlineStr">
        <is>
          <t>Патроны для строительно-монтажного пистолета</t>
        </is>
      </c>
      <c r="E146" s="161" t="inlineStr">
        <is>
          <t>1000 шт</t>
        </is>
      </c>
      <c r="F146" s="241" t="n">
        <v>0.1910038</v>
      </c>
      <c r="G146" s="151" t="n">
        <v>253.8</v>
      </c>
      <c r="H146" s="151">
        <f>ROUND(F146*G146,2)</f>
        <v/>
      </c>
      <c r="J146" s="154" t="n"/>
    </row>
    <row r="147">
      <c r="A147" s="241" t="n">
        <v>131</v>
      </c>
      <c r="B147" s="241" t="inlineStr">
        <is>
          <t> </t>
        </is>
      </c>
      <c r="C147" s="242" t="inlineStr">
        <is>
          <t>01.3.02.03-0001</t>
        </is>
      </c>
      <c r="D147" s="242" t="inlineStr">
        <is>
          <t>Ацетилен газообразный технический</t>
        </is>
      </c>
      <c r="E147" s="161" t="inlineStr">
        <is>
          <t>м3</t>
        </is>
      </c>
      <c r="F147" s="241" t="n">
        <v>1.0275397</v>
      </c>
      <c r="G147" s="151" t="n">
        <v>38.51</v>
      </c>
      <c r="H147" s="151">
        <f>ROUND(F147*G147,2)</f>
        <v/>
      </c>
      <c r="J147" s="154" t="n"/>
    </row>
    <row r="148" ht="63" customHeight="1" s="197">
      <c r="A148" s="241" t="n">
        <v>132</v>
      </c>
      <c r="B148" s="241" t="inlineStr">
        <is>
          <t> </t>
        </is>
      </c>
      <c r="C148" s="242" t="inlineStr">
        <is>
          <t>23.8.04.06-0067</t>
        </is>
      </c>
      <c r="D148" s="242" t="inlineStr">
        <is>
          <t>Отвод крутоизогнутый, радиус кривизны 1,5 мм, номинальное давление до 16 МПа, номинальный диаметр 65 мм, наружный диаметр 76 мм, толщина стенки 5 мм</t>
        </is>
      </c>
      <c r="E148" s="161" t="inlineStr">
        <is>
          <t>шт</t>
        </is>
      </c>
      <c r="F148" s="241" t="n">
        <v>1</v>
      </c>
      <c r="G148" s="151" t="n">
        <v>36.69</v>
      </c>
      <c r="H148" s="151">
        <f>ROUND(F148*G148,2)</f>
        <v/>
      </c>
      <c r="J148" s="154" t="n"/>
    </row>
    <row r="149">
      <c r="A149" s="241" t="n">
        <v>133</v>
      </c>
      <c r="B149" s="241" t="inlineStr">
        <is>
          <t> </t>
        </is>
      </c>
      <c r="C149" s="242" t="inlineStr">
        <is>
          <t>01.3.02.09-0022</t>
        </is>
      </c>
      <c r="D149" s="242" t="inlineStr">
        <is>
          <t>Пропан-бутан смесь техническая</t>
        </is>
      </c>
      <c r="E149" s="161" t="inlineStr">
        <is>
          <t>кг</t>
        </is>
      </c>
      <c r="F149" s="241" t="n">
        <v>6</v>
      </c>
      <c r="G149" s="151" t="n">
        <v>6.09</v>
      </c>
      <c r="H149" s="151">
        <f>ROUND(F149*G149,2)</f>
        <v/>
      </c>
      <c r="J149" s="154" t="n"/>
    </row>
    <row r="150">
      <c r="A150" s="241" t="n">
        <v>134</v>
      </c>
      <c r="B150" s="241" t="inlineStr">
        <is>
          <t> </t>
        </is>
      </c>
      <c r="C150" s="242" t="inlineStr">
        <is>
          <t>01.7.07.29-0101</t>
        </is>
      </c>
      <c r="D150" s="242" t="inlineStr">
        <is>
          <t>Очес льняной</t>
        </is>
      </c>
      <c r="E150" s="161" t="inlineStr">
        <is>
          <t>кг</t>
        </is>
      </c>
      <c r="F150" s="241" t="n">
        <v>0.9362</v>
      </c>
      <c r="G150" s="151" t="n">
        <v>37.29</v>
      </c>
      <c r="H150" s="151">
        <f>ROUND(F150*G150,2)</f>
        <v/>
      </c>
      <c r="J150" s="154" t="n"/>
    </row>
    <row r="151" ht="47.25" customHeight="1" s="197">
      <c r="A151" s="241" t="n">
        <v>135</v>
      </c>
      <c r="B151" s="241" t="inlineStr">
        <is>
          <t> </t>
        </is>
      </c>
      <c r="C151" s="242" t="inlineStr">
        <is>
          <t>23.8.04.12-0031</t>
        </is>
      </c>
      <c r="D151" s="242" t="inlineStr">
        <is>
          <t>Тройники переходные диаметром условного прохода: 50/40 мм, и наружным диаметром 67/45 мм</t>
        </is>
      </c>
      <c r="E151" s="161" t="inlineStr">
        <is>
          <t>шт</t>
        </is>
      </c>
      <c r="F151" s="241" t="n">
        <v>1</v>
      </c>
      <c r="G151" s="151" t="n">
        <v>29.95</v>
      </c>
      <c r="H151" s="151">
        <f>ROUND(F151*G151,2)</f>
        <v/>
      </c>
      <c r="J151" s="154" t="n"/>
    </row>
    <row r="152" ht="31.5" customHeight="1" s="197">
      <c r="A152" s="241" t="n">
        <v>136</v>
      </c>
      <c r="B152" s="241" t="inlineStr">
        <is>
          <t> </t>
        </is>
      </c>
      <c r="C152" s="242" t="inlineStr">
        <is>
          <t>14.4.02.04-0142</t>
        </is>
      </c>
      <c r="D152" s="242" t="inlineStr">
        <is>
          <t>Краска масляная земляная МА-0115, мумия, сурик железный</t>
        </is>
      </c>
      <c r="E152" s="161" t="inlineStr">
        <is>
          <t>кг</t>
        </is>
      </c>
      <c r="F152" s="241" t="n">
        <v>1.8724</v>
      </c>
      <c r="G152" s="151" t="n">
        <v>15.12</v>
      </c>
      <c r="H152" s="151">
        <f>ROUND(F152*G152,2)</f>
        <v/>
      </c>
      <c r="J152" s="154" t="n"/>
    </row>
    <row r="153" ht="31.5" customHeight="1" s="197">
      <c r="A153" s="241" t="n">
        <v>137</v>
      </c>
      <c r="B153" s="241" t="inlineStr">
        <is>
          <t> </t>
        </is>
      </c>
      <c r="C153" s="242" t="inlineStr">
        <is>
          <t>18.5.08.18-0061</t>
        </is>
      </c>
      <c r="D153" s="242" t="inlineStr">
        <is>
          <t>Колпачки изоляции места соединения однопроволочных жил</t>
        </is>
      </c>
      <c r="E153" s="161" t="inlineStr">
        <is>
          <t>1000 шт</t>
        </is>
      </c>
      <c r="F153" s="241" t="n">
        <v>0.1910038</v>
      </c>
      <c r="G153" s="151" t="n">
        <v>135.82</v>
      </c>
      <c r="H153" s="151">
        <f>ROUND(F153*G153,2)</f>
        <v/>
      </c>
      <c r="J153" s="154" t="n"/>
    </row>
    <row r="154" ht="63" customHeight="1" s="197">
      <c r="A154" s="241" t="n">
        <v>138</v>
      </c>
      <c r="B154" s="241" t="inlineStr">
        <is>
          <t> </t>
        </is>
      </c>
      <c r="C154" s="242" t="inlineStr">
        <is>
          <t>23.8.04.06-0062</t>
        </is>
      </c>
      <c r="D154" s="242" t="inlineStr">
        <is>
          <t>Отвод крутоизогнутый, радиус кривизны 1,5 мм, номинальное давление до 16 МПа, номинальный диаметр 40 мм, наружный диаметр 45 мм, толщина стенки 4 мм</t>
        </is>
      </c>
      <c r="E154" s="161" t="inlineStr">
        <is>
          <t>шт</t>
        </is>
      </c>
      <c r="F154" s="241" t="n">
        <v>1</v>
      </c>
      <c r="G154" s="151" t="n">
        <v>22.44</v>
      </c>
      <c r="H154" s="151">
        <f>ROUND(F154*G154,2)</f>
        <v/>
      </c>
      <c r="J154" s="154" t="n"/>
    </row>
    <row r="155" ht="31.5" customHeight="1" s="197">
      <c r="A155" s="241" t="n">
        <v>139</v>
      </c>
      <c r="B155" s="241" t="inlineStr">
        <is>
          <t> </t>
        </is>
      </c>
      <c r="C155" s="242" t="inlineStr">
        <is>
          <t>01.7.15.03-0031</t>
        </is>
      </c>
      <c r="D155" s="242" t="inlineStr">
        <is>
          <t>Болты с гайками и шайбами оцинкованные, диаметр 6 мм</t>
        </is>
      </c>
      <c r="E155" s="161" t="inlineStr">
        <is>
          <t>кг</t>
        </is>
      </c>
      <c r="F155" s="241" t="n">
        <v>0.708</v>
      </c>
      <c r="G155" s="151" t="n">
        <v>28.22</v>
      </c>
      <c r="H155" s="151">
        <f>ROUND(F155*G155,2)</f>
        <v/>
      </c>
      <c r="J155" s="154" t="n"/>
    </row>
    <row r="156" ht="31.5" customHeight="1" s="197">
      <c r="A156" s="241" t="n">
        <v>140</v>
      </c>
      <c r="B156" s="241" t="inlineStr">
        <is>
          <t> </t>
        </is>
      </c>
      <c r="C156" s="242" t="inlineStr">
        <is>
          <t>14.5.05.01-0011</t>
        </is>
      </c>
      <c r="D156" s="242" t="inlineStr">
        <is>
          <t>Олифа комбинированная для отделочных работ внутри помещений</t>
        </is>
      </c>
      <c r="E156" s="161" t="inlineStr">
        <is>
          <t>т</t>
        </is>
      </c>
      <c r="F156" s="241" t="n">
        <v>0.00092</v>
      </c>
      <c r="G156" s="151" t="n">
        <v>20775</v>
      </c>
      <c r="H156" s="151">
        <f>ROUND(F156*G156,2)</f>
        <v/>
      </c>
      <c r="J156" s="154" t="n"/>
    </row>
    <row r="157" ht="31.5" customHeight="1" s="197">
      <c r="A157" s="241" t="n">
        <v>141</v>
      </c>
      <c r="B157" s="241" t="inlineStr">
        <is>
          <t> </t>
        </is>
      </c>
      <c r="C157" s="242" t="inlineStr">
        <is>
          <t>01.7.15.03-0034</t>
        </is>
      </c>
      <c r="D157" s="242" t="inlineStr">
        <is>
          <t>Болты с гайками и шайбами оцинкованные, диаметр 12 мм</t>
        </is>
      </c>
      <c r="E157" s="161" t="inlineStr">
        <is>
          <t>кг</t>
        </is>
      </c>
      <c r="F157" s="241" t="n">
        <v>0.603</v>
      </c>
      <c r="G157" s="151" t="n">
        <v>25.76</v>
      </c>
      <c r="H157" s="151">
        <f>ROUND(F157*G157,2)</f>
        <v/>
      </c>
      <c r="J157" s="154" t="n"/>
    </row>
    <row r="158">
      <c r="A158" s="241" t="n">
        <v>142</v>
      </c>
      <c r="B158" s="241" t="inlineStr">
        <is>
          <t> </t>
        </is>
      </c>
      <c r="C158" s="242" t="inlineStr">
        <is>
          <t>01.7.15.03-0042</t>
        </is>
      </c>
      <c r="D158" s="242" t="inlineStr">
        <is>
          <t>Болты с гайками и шайбами строительные</t>
        </is>
      </c>
      <c r="E158" s="161" t="inlineStr">
        <is>
          <t>кг</t>
        </is>
      </c>
      <c r="F158" s="241" t="n">
        <v>1.44</v>
      </c>
      <c r="G158" s="151" t="n">
        <v>9.039999999999999</v>
      </c>
      <c r="H158" s="151">
        <f>ROUND(F158*G158,2)</f>
        <v/>
      </c>
      <c r="J158" s="154" t="n"/>
    </row>
    <row r="159">
      <c r="A159" s="241" t="n">
        <v>143</v>
      </c>
      <c r="B159" s="241" t="inlineStr">
        <is>
          <t> </t>
        </is>
      </c>
      <c r="C159" s="242" t="inlineStr">
        <is>
          <t>14.5.09.11-0102</t>
        </is>
      </c>
      <c r="D159" s="242" t="inlineStr">
        <is>
          <t>Уайт-спирит</t>
        </is>
      </c>
      <c r="E159" s="161" t="inlineStr">
        <is>
          <t>кг</t>
        </is>
      </c>
      <c r="F159" s="241" t="n">
        <v>1.711346</v>
      </c>
      <c r="G159" s="151" t="n">
        <v>6.67</v>
      </c>
      <c r="H159" s="151">
        <f>ROUND(F159*G159,2)</f>
        <v/>
      </c>
      <c r="J159" s="154" t="n"/>
    </row>
    <row r="160">
      <c r="A160" s="241" t="n">
        <v>144</v>
      </c>
      <c r="B160" s="241" t="inlineStr">
        <is>
          <t> </t>
        </is>
      </c>
      <c r="C160" s="242" t="inlineStr">
        <is>
          <t>01.3.05.17-0002</t>
        </is>
      </c>
      <c r="D160" s="242" t="inlineStr">
        <is>
          <t>Канифоль сосновая</t>
        </is>
      </c>
      <c r="E160" s="161" t="inlineStr">
        <is>
          <t>кг</t>
        </is>
      </c>
      <c r="F160" s="241" t="n">
        <v>0.3959</v>
      </c>
      <c r="G160" s="151" t="n">
        <v>27.74</v>
      </c>
      <c r="H160" s="151">
        <f>ROUND(F160*G160,2)</f>
        <v/>
      </c>
      <c r="J160" s="154" t="n"/>
    </row>
    <row r="161">
      <c r="A161" s="241" t="n">
        <v>145</v>
      </c>
      <c r="B161" s="241" t="inlineStr">
        <is>
          <t> </t>
        </is>
      </c>
      <c r="C161" s="242" t="inlineStr">
        <is>
          <t>01.7.11.04-0052</t>
        </is>
      </c>
      <c r="D161" s="242" t="inlineStr">
        <is>
          <t>Проволока сварочная СВ-08Г2С, диаметр 2 мм</t>
        </is>
      </c>
      <c r="E161" s="161" t="inlineStr">
        <is>
          <t>кг</t>
        </is>
      </c>
      <c r="F161" s="241" t="n">
        <v>0.604567</v>
      </c>
      <c r="G161" s="151" t="n">
        <v>17.92</v>
      </c>
      <c r="H161" s="151">
        <f>ROUND(F161*G161,2)</f>
        <v/>
      </c>
      <c r="J161" s="154" t="n"/>
    </row>
    <row r="162">
      <c r="A162" s="241" t="n">
        <v>146</v>
      </c>
      <c r="B162" s="241" t="inlineStr">
        <is>
          <t> </t>
        </is>
      </c>
      <c r="C162" s="242" t="inlineStr">
        <is>
          <t>14.5.09.02-0002</t>
        </is>
      </c>
      <c r="D162" s="242" t="inlineStr">
        <is>
          <t>Ксилол нефтяной, марка А</t>
        </is>
      </c>
      <c r="E162" s="161" t="inlineStr">
        <is>
          <t>т</t>
        </is>
      </c>
      <c r="F162" s="241" t="n">
        <v>0.0008961</v>
      </c>
      <c r="G162" s="151" t="n">
        <v>7640</v>
      </c>
      <c r="H162" s="151">
        <f>ROUND(F162*G162,2)</f>
        <v/>
      </c>
      <c r="J162" s="154" t="n"/>
    </row>
    <row r="163">
      <c r="A163" s="241" t="n">
        <v>147</v>
      </c>
      <c r="B163" s="241" t="inlineStr">
        <is>
          <t> </t>
        </is>
      </c>
      <c r="C163" s="242" t="inlineStr">
        <is>
          <t>01.7.15.07-0007</t>
        </is>
      </c>
      <c r="D163" s="242" t="inlineStr">
        <is>
          <t>Дюбели пластмассовые, диаметр 14 мм</t>
        </is>
      </c>
      <c r="E163" s="161" t="inlineStr">
        <is>
          <t>100 шт</t>
        </is>
      </c>
      <c r="F163" s="241" t="n">
        <v>0.24</v>
      </c>
      <c r="G163" s="151" t="n">
        <v>26.6</v>
      </c>
      <c r="H163" s="151">
        <f>ROUND(F163*G163,2)</f>
        <v/>
      </c>
      <c r="J163" s="154" t="n"/>
    </row>
    <row r="164">
      <c r="A164" s="241" t="n">
        <v>148</v>
      </c>
      <c r="B164" s="241" t="inlineStr">
        <is>
          <t> </t>
        </is>
      </c>
      <c r="C164" s="242" t="inlineStr">
        <is>
          <t>03.1.01.01-0002</t>
        </is>
      </c>
      <c r="D164" s="242" t="inlineStr">
        <is>
          <t>Гипс строительный Г-3</t>
        </is>
      </c>
      <c r="E164" s="161" t="inlineStr">
        <is>
          <t>т</t>
        </is>
      </c>
      <c r="F164" s="241" t="n">
        <v>0.00553</v>
      </c>
      <c r="G164" s="151" t="n">
        <v>729.98</v>
      </c>
      <c r="H164" s="151">
        <f>ROUND(F164*G164,2)</f>
        <v/>
      </c>
      <c r="J164" s="154" t="n"/>
    </row>
    <row r="165">
      <c r="A165" s="241" t="n">
        <v>149</v>
      </c>
      <c r="B165" s="241" t="inlineStr">
        <is>
          <t> </t>
        </is>
      </c>
      <c r="C165" s="242" t="inlineStr">
        <is>
          <t>01.7.06.07-0002</t>
        </is>
      </c>
      <c r="D165" s="242" t="inlineStr">
        <is>
          <t>Лента монтажная, тип ЛМ-5</t>
        </is>
      </c>
      <c r="E165" s="161" t="inlineStr">
        <is>
          <t>10 м</t>
        </is>
      </c>
      <c r="F165" s="241" t="n">
        <v>0.5424</v>
      </c>
      <c r="G165" s="151" t="n">
        <v>6.9</v>
      </c>
      <c r="H165" s="151">
        <f>ROUND(F165*G165,2)</f>
        <v/>
      </c>
      <c r="J165" s="154" t="n"/>
    </row>
    <row r="166" ht="31.5" customHeight="1" s="197">
      <c r="A166" s="241" t="n">
        <v>150</v>
      </c>
      <c r="B166" s="241" t="inlineStr">
        <is>
          <t> </t>
        </is>
      </c>
      <c r="C166" s="242" t="inlineStr">
        <is>
          <t>01.7.19.04-0031</t>
        </is>
      </c>
      <c r="D166" s="242" t="inlineStr">
        <is>
          <t>Прокладки резиновые (пластина техническая прессованная)</t>
        </is>
      </c>
      <c r="E166" s="161" t="inlineStr">
        <is>
          <t>кг</t>
        </is>
      </c>
      <c r="F166" s="241" t="n">
        <v>0.12</v>
      </c>
      <c r="G166" s="151" t="n">
        <v>23.09</v>
      </c>
      <c r="H166" s="151">
        <f>ROUND(F166*G166,2)</f>
        <v/>
      </c>
      <c r="J166" s="154" t="n"/>
    </row>
    <row r="167">
      <c r="A167" s="241" t="n">
        <v>151</v>
      </c>
      <c r="B167" s="241" t="inlineStr">
        <is>
          <t> </t>
        </is>
      </c>
      <c r="C167" s="242" t="inlineStr">
        <is>
          <t>14.4.03.03-0002</t>
        </is>
      </c>
      <c r="D167" s="242" t="inlineStr">
        <is>
          <t>Лак битумный БТ-123</t>
        </is>
      </c>
      <c r="E167" s="161" t="inlineStr">
        <is>
          <t>т</t>
        </is>
      </c>
      <c r="F167" s="241" t="n">
        <v>0.000339</v>
      </c>
      <c r="G167" s="151" t="n">
        <v>7826.9</v>
      </c>
      <c r="H167" s="151">
        <f>ROUND(F167*G167,2)</f>
        <v/>
      </c>
      <c r="J167" s="154" t="n"/>
    </row>
    <row r="168">
      <c r="A168" s="241" t="n">
        <v>152</v>
      </c>
      <c r="B168" s="241" t="inlineStr">
        <is>
          <t> </t>
        </is>
      </c>
      <c r="C168" s="242" t="inlineStr">
        <is>
          <t>14.5.05.02-0001</t>
        </is>
      </c>
      <c r="D168" s="242" t="inlineStr">
        <is>
          <t>Олифа натуральная</t>
        </is>
      </c>
      <c r="E168" s="161" t="inlineStr">
        <is>
          <t>кг</t>
        </is>
      </c>
      <c r="F168" s="241" t="n">
        <v>0.036</v>
      </c>
      <c r="G168" s="151" t="n">
        <v>32.6</v>
      </c>
      <c r="H168" s="151">
        <f>ROUND(F168*G168,2)</f>
        <v/>
      </c>
      <c r="J168" s="154" t="n"/>
    </row>
    <row r="169">
      <c r="A169" s="241" t="n">
        <v>153</v>
      </c>
      <c r="B169" s="241" t="inlineStr">
        <is>
          <t> </t>
        </is>
      </c>
      <c r="C169" s="242" t="inlineStr">
        <is>
          <t>14.1.04.02-0002</t>
        </is>
      </c>
      <c r="D169" s="242" t="inlineStr">
        <is>
          <t>Клей 88-СА</t>
        </is>
      </c>
      <c r="E169" s="161" t="inlineStr">
        <is>
          <t>кг</t>
        </is>
      </c>
      <c r="F169" s="241" t="n">
        <v>0.03</v>
      </c>
      <c r="G169" s="151" t="n">
        <v>28.93</v>
      </c>
      <c r="H169" s="151">
        <f>ROUND(F169*G169,2)</f>
        <v/>
      </c>
      <c r="J169" s="154" t="n"/>
    </row>
    <row r="170">
      <c r="A170" s="241" t="n">
        <v>154</v>
      </c>
      <c r="B170" s="241" t="inlineStr">
        <is>
          <t> </t>
        </is>
      </c>
      <c r="C170" s="242" t="inlineStr">
        <is>
          <t>01.1.02.08-0031</t>
        </is>
      </c>
      <c r="D170" s="242" t="inlineStr">
        <is>
          <t>Прокладки паронитовые</t>
        </is>
      </c>
      <c r="E170" s="161" t="inlineStr">
        <is>
          <t>кг</t>
        </is>
      </c>
      <c r="F170" s="241" t="n">
        <v>0.018</v>
      </c>
      <c r="G170" s="151" t="n">
        <v>26.44</v>
      </c>
      <c r="H170" s="151">
        <f>ROUND(F170*G170,2)</f>
        <v/>
      </c>
      <c r="J170" s="154" t="n"/>
    </row>
    <row r="171">
      <c r="A171" s="241" t="n">
        <v>155</v>
      </c>
      <c r="B171" s="241" t="inlineStr">
        <is>
          <t> </t>
        </is>
      </c>
      <c r="C171" s="242" t="inlineStr">
        <is>
          <t>01.7.07.08-0003</t>
        </is>
      </c>
      <c r="D171" s="242" t="inlineStr">
        <is>
          <t>Мыло хозяйственное твердое 72%</t>
        </is>
      </c>
      <c r="E171" s="161" t="inlineStr">
        <is>
          <t>шт</t>
        </is>
      </c>
      <c r="F171" s="241" t="n">
        <v>0.008999999999999999</v>
      </c>
      <c r="G171" s="151" t="n">
        <v>4.5</v>
      </c>
      <c r="H171" s="151">
        <f>ROUND(F171*G171,2)</f>
        <v/>
      </c>
      <c r="J171" s="154" t="n"/>
    </row>
    <row r="174">
      <c r="B174" s="199" t="inlineStr">
        <is>
          <t>Составил ______________________        Д.Ю. Нефедова</t>
        </is>
      </c>
    </row>
    <row r="175">
      <c r="B175" s="139" t="inlineStr">
        <is>
          <t xml:space="preserve">                         (подпись, инициалы, фамилия)</t>
        </is>
      </c>
    </row>
    <row r="177">
      <c r="B177" s="199" t="inlineStr">
        <is>
          <t>Проверил ______________________        А.В. Костянецкая</t>
        </is>
      </c>
    </row>
    <row r="178">
      <c r="B178" s="139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A24:E24"/>
    <mergeCell ref="F9:F10"/>
    <mergeCell ref="A9:A10"/>
    <mergeCell ref="A2:H2"/>
    <mergeCell ref="A46:E46"/>
    <mergeCell ref="A84:E84"/>
    <mergeCell ref="A5:H5"/>
    <mergeCell ref="G9:H9"/>
    <mergeCell ref="A22:E22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K49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97" min="1" max="1"/>
    <col width="36.28515625" customWidth="1" style="197" min="2" max="2"/>
    <col width="18.85546875" customWidth="1" style="197" min="3" max="3"/>
    <col width="18.28515625" customWidth="1" style="197" min="4" max="4"/>
    <col width="18.85546875" customWidth="1" style="197" min="5" max="5"/>
    <col width="11.42578125" customWidth="1" style="197" min="6" max="6"/>
    <col width="9.140625" customWidth="1" style="197" min="7" max="10"/>
    <col width="13.5703125" customWidth="1" style="197" min="11" max="11"/>
    <col width="9.140625" customWidth="1" style="197" min="12" max="12"/>
  </cols>
  <sheetData>
    <row r="1">
      <c r="B1" s="193" t="n"/>
      <c r="C1" s="193" t="n"/>
      <c r="D1" s="193" t="n"/>
      <c r="E1" s="193" t="n"/>
    </row>
    <row r="2">
      <c r="B2" s="193" t="n"/>
      <c r="C2" s="193" t="n"/>
      <c r="D2" s="193" t="n"/>
      <c r="E2" s="264" t="inlineStr">
        <is>
          <t>Приложение № 4</t>
        </is>
      </c>
    </row>
    <row r="3">
      <c r="B3" s="193" t="n"/>
      <c r="C3" s="193" t="n"/>
      <c r="D3" s="193" t="n"/>
      <c r="E3" s="193" t="n"/>
    </row>
    <row r="4">
      <c r="B4" s="220" t="inlineStr">
        <is>
          <t>Ресурсная модель</t>
        </is>
      </c>
    </row>
    <row r="5">
      <c r="B5" s="138" t="n"/>
      <c r="C5" s="193" t="n"/>
      <c r="D5" s="193" t="n"/>
      <c r="E5" s="193" t="n"/>
    </row>
    <row r="6" ht="25.5" customHeight="1" s="197">
      <c r="B6" s="232" t="inlineStr">
        <is>
          <t>Наименование разрабатываемого показателя УНЦ —Система автоматического пожаротушения.</t>
        </is>
      </c>
    </row>
    <row r="7">
      <c r="B7" s="243" t="inlineStr">
        <is>
          <t>Единица измерения  — 1 м2</t>
        </is>
      </c>
    </row>
    <row r="8">
      <c r="B8" s="138" t="n"/>
      <c r="C8" s="193" t="n"/>
      <c r="D8" s="193" t="n"/>
      <c r="E8" s="193" t="n"/>
    </row>
    <row r="9" ht="51" customHeight="1" s="197">
      <c r="B9" s="251" t="inlineStr">
        <is>
          <t>Наименование</t>
        </is>
      </c>
      <c r="C9" s="251" t="inlineStr">
        <is>
          <t>Сметная стоимость в ценах на 01.01.2023
 (руб.)</t>
        </is>
      </c>
      <c r="D9" s="251" t="inlineStr">
        <is>
          <t>Удельный вес, 
(в СМР)</t>
        </is>
      </c>
      <c r="E9" s="251" t="inlineStr">
        <is>
          <t>Удельный вес, % 
(от всего по РМ)</t>
        </is>
      </c>
    </row>
    <row r="10">
      <c r="B10" s="25" t="inlineStr">
        <is>
          <t>Оплата труда рабочих</t>
        </is>
      </c>
      <c r="C10" s="136">
        <f>'Прил.5 Расчет СМР и ОБ'!J15</f>
        <v/>
      </c>
      <c r="D10" s="27">
        <f>C10/$C$23</f>
        <v/>
      </c>
      <c r="E10" s="27">
        <f>C10/$C$39</f>
        <v/>
      </c>
    </row>
    <row r="11">
      <c r="B11" s="25" t="inlineStr">
        <is>
          <t>Эксплуатация машин основных</t>
        </is>
      </c>
      <c r="C11" s="136">
        <f>'Прил.5 Расчет СМР и ОБ'!J33</f>
        <v/>
      </c>
      <c r="D11" s="27">
        <f>C11/$C$23</f>
        <v/>
      </c>
      <c r="E11" s="27">
        <f>C11/$C$39</f>
        <v/>
      </c>
    </row>
    <row r="12">
      <c r="B12" s="25" t="inlineStr">
        <is>
          <t>Эксплуатация машин прочих</t>
        </is>
      </c>
      <c r="C12" s="136">
        <f>'Прил.5 Расчет СМР и ОБ'!J45</f>
        <v/>
      </c>
      <c r="D12" s="27">
        <f>C12/$C$23</f>
        <v/>
      </c>
      <c r="E12" s="27">
        <f>C12/$C$39</f>
        <v/>
      </c>
    </row>
    <row r="13">
      <c r="B13" s="25" t="inlineStr">
        <is>
          <t>ЭКСПЛУАТАЦИЯ МАШИН, ВСЕГО:</t>
        </is>
      </c>
      <c r="C13" s="136">
        <f>C12+C11</f>
        <v/>
      </c>
      <c r="D13" s="27">
        <f>C13/$C$23</f>
        <v/>
      </c>
      <c r="E13" s="27">
        <f>C13/$C$39</f>
        <v/>
      </c>
    </row>
    <row r="14">
      <c r="B14" s="25" t="inlineStr">
        <is>
          <t>в том числе зарплата машинистов</t>
        </is>
      </c>
      <c r="C14" s="136">
        <f>'Прил.5 Расчет СМР и ОБ'!J17</f>
        <v/>
      </c>
      <c r="D14" s="27">
        <f>C14/$C$23</f>
        <v/>
      </c>
      <c r="E14" s="27">
        <f>C14/$C$39</f>
        <v/>
      </c>
    </row>
    <row r="15">
      <c r="B15" s="25" t="inlineStr">
        <is>
          <t>Материалы основные</t>
        </is>
      </c>
      <c r="C15" s="136">
        <f>'Прил.5 Расчет СМР и ОБ'!J139</f>
        <v/>
      </c>
      <c r="D15" s="27">
        <f>C15/$C$23</f>
        <v/>
      </c>
      <c r="E15" s="27">
        <f>C15/$C$39</f>
        <v/>
      </c>
    </row>
    <row r="16">
      <c r="B16" s="25" t="inlineStr">
        <is>
          <t>Материалы прочие</t>
        </is>
      </c>
      <c r="C16" s="136">
        <f>'Прил.5 Расчет СМР и ОБ'!J189</f>
        <v/>
      </c>
      <c r="D16" s="27">
        <f>C16/$C$23</f>
        <v/>
      </c>
      <c r="E16" s="27">
        <f>C16/$C$39</f>
        <v/>
      </c>
    </row>
    <row r="17">
      <c r="B17" s="25" t="inlineStr">
        <is>
          <t>МАТЕРИАЛЫ, ВСЕГО:</t>
        </is>
      </c>
      <c r="C17" s="136">
        <f>C16+C15</f>
        <v/>
      </c>
      <c r="D17" s="27">
        <f>C17/$C$23</f>
        <v/>
      </c>
      <c r="E17" s="27">
        <f>C17/$C$39</f>
        <v/>
      </c>
    </row>
    <row r="18">
      <c r="B18" s="25" t="inlineStr">
        <is>
          <t>ИТОГО</t>
        </is>
      </c>
      <c r="C18" s="136">
        <f>C17+C13+C10</f>
        <v/>
      </c>
      <c r="D18" s="27" t="n"/>
      <c r="E18" s="25" t="n"/>
    </row>
    <row r="19">
      <c r="B19" s="25" t="inlineStr">
        <is>
          <t>Сметная прибыль, руб.</t>
        </is>
      </c>
      <c r="C19" s="136">
        <f>ROUND(C20*(C10+C14),2)</f>
        <v/>
      </c>
      <c r="D19" s="27">
        <f>C19/$C$23</f>
        <v/>
      </c>
      <c r="E19" s="27">
        <f>C19/$C$39</f>
        <v/>
      </c>
    </row>
    <row r="20">
      <c r="B20" s="25" t="inlineStr">
        <is>
          <t>Сметная прибыль, %</t>
        </is>
      </c>
      <c r="C20" s="29">
        <f>'Прил.5 Расчет СМР и ОБ'!D193</f>
        <v/>
      </c>
      <c r="D20" s="27" t="n"/>
      <c r="E20" s="25" t="n"/>
    </row>
    <row r="21">
      <c r="B21" s="25" t="inlineStr">
        <is>
          <t>Накладные расходы, руб.</t>
        </is>
      </c>
      <c r="C21" s="136">
        <f>ROUND(C22*(C10+C14),2)</f>
        <v/>
      </c>
      <c r="D21" s="27">
        <f>C21/$C$23</f>
        <v/>
      </c>
      <c r="E21" s="27">
        <f>C21/$C$39</f>
        <v/>
      </c>
    </row>
    <row r="22">
      <c r="B22" s="25" t="inlineStr">
        <is>
          <t>Накладные расходы, %</t>
        </is>
      </c>
      <c r="C22" s="29">
        <f>'Прил.5 Расчет СМР и ОБ'!D192</f>
        <v/>
      </c>
      <c r="D22" s="27" t="n"/>
      <c r="E22" s="25" t="n"/>
    </row>
    <row r="23">
      <c r="B23" s="25" t="inlineStr">
        <is>
          <t>ВСЕГО СМР с НР и СП</t>
        </is>
      </c>
      <c r="C23" s="136">
        <f>C18+C19+C21</f>
        <v/>
      </c>
      <c r="D23" s="27">
        <f>C23/$C$23</f>
        <v/>
      </c>
      <c r="E23" s="27">
        <f>C23/$C$39</f>
        <v/>
      </c>
    </row>
    <row r="24" ht="25.5" customHeight="1" s="197">
      <c r="B24" s="25" t="inlineStr">
        <is>
          <t>ВСЕГО стоимость оборудования, в том числе</t>
        </is>
      </c>
      <c r="C24" s="136">
        <f>'Прил.5 Расчет СМР и ОБ'!J90</f>
        <v/>
      </c>
      <c r="D24" s="27" t="n"/>
      <c r="E24" s="27">
        <f>C24/$C$39</f>
        <v/>
      </c>
    </row>
    <row r="25" ht="25.5" customHeight="1" s="197">
      <c r="B25" s="25" t="inlineStr">
        <is>
          <t>стоимость оборудования технологического</t>
        </is>
      </c>
      <c r="C25" s="136">
        <f>'Прил.5 Расчет СМР и ОБ'!J91</f>
        <v/>
      </c>
      <c r="D25" s="27" t="n"/>
      <c r="E25" s="27">
        <f>C25/$C$39</f>
        <v/>
      </c>
    </row>
    <row r="26">
      <c r="B26" s="25" t="inlineStr">
        <is>
          <t>ИТОГО (СМР + ОБОРУДОВАНИЕ)</t>
        </is>
      </c>
      <c r="C26" s="26">
        <f>C23+C24</f>
        <v/>
      </c>
      <c r="D26" s="27" t="n"/>
      <c r="E26" s="27">
        <f>C26/$C$39</f>
        <v/>
      </c>
    </row>
    <row r="27" ht="33" customHeight="1" s="197">
      <c r="B27" s="25" t="inlineStr">
        <is>
          <t>ПРОЧ. ЗАТР., УЧТЕННЫЕ ПОКАЗАТЕЛЕМ,  в том числе</t>
        </is>
      </c>
      <c r="C27" s="25" t="n"/>
      <c r="D27" s="25" t="n"/>
      <c r="E27" s="25" t="n"/>
      <c r="F27" s="137" t="n"/>
    </row>
    <row r="28" ht="25.5" customHeight="1" s="197">
      <c r="B28" s="25" t="inlineStr">
        <is>
          <t>Временные здания и сооружения - 2,5%</t>
        </is>
      </c>
      <c r="C28" s="26">
        <f>ROUND(C23*2.5%,2)</f>
        <v/>
      </c>
      <c r="D28" s="25" t="n"/>
      <c r="E28" s="27">
        <f>C28/$C$39</f>
        <v/>
      </c>
    </row>
    <row r="29" ht="38.25" customHeight="1" s="197">
      <c r="B29" s="25" t="inlineStr">
        <is>
          <t>Дополнительные затраты при производстве строительно-монтажных работ в зимнее время - 2,1%</t>
        </is>
      </c>
      <c r="C29" s="26">
        <f>ROUND((C23+C28)*2.1%,2)</f>
        <v/>
      </c>
      <c r="D29" s="25" t="n"/>
      <c r="E29" s="27">
        <f>C29/$C$39</f>
        <v/>
      </c>
      <c r="F29" s="137" t="n"/>
    </row>
    <row r="30">
      <c r="B30" s="25" t="inlineStr">
        <is>
          <t>Пусконаладочные работы</t>
        </is>
      </c>
      <c r="C30" s="26" t="n">
        <v>518684.24</v>
      </c>
      <c r="D30" s="25" t="n"/>
      <c r="E30" s="27">
        <f>C30/$C$39</f>
        <v/>
      </c>
    </row>
    <row r="31" ht="25.5" customHeight="1" s="197">
      <c r="B31" s="25" t="inlineStr">
        <is>
          <t>Затраты по перевозке работников к месту работы и обратно</t>
        </is>
      </c>
      <c r="C31" s="26">
        <f>ROUND($C$26*0,2)</f>
        <v/>
      </c>
      <c r="D31" s="25" t="n"/>
      <c r="E31" s="27">
        <f>C31/$C$39</f>
        <v/>
      </c>
    </row>
    <row r="32" ht="25.5" customHeight="1" s="197">
      <c r="B32" s="25" t="inlineStr">
        <is>
          <t>Затраты, связанные с осуществлением работ вахтовым методом</t>
        </is>
      </c>
      <c r="C32" s="26">
        <f>ROUND($C$26*0,2)</f>
        <v/>
      </c>
      <c r="D32" s="25" t="n"/>
      <c r="E32" s="27">
        <f>C32/$C$39</f>
        <v/>
      </c>
    </row>
    <row r="33" ht="51" customHeight="1" s="197">
      <c r="B33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6">
        <f>ROUND($C$26*0,2)</f>
        <v/>
      </c>
      <c r="D33" s="25" t="n"/>
      <c r="E33" s="27">
        <f>C33/$C$39</f>
        <v/>
      </c>
    </row>
    <row r="34" ht="76.5" customHeight="1" s="197">
      <c r="B34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6">
        <f>ROUND($C$26*0,2)</f>
        <v/>
      </c>
      <c r="D34" s="25" t="n"/>
      <c r="E34" s="27">
        <f>C34/$C$39</f>
        <v/>
      </c>
    </row>
    <row r="35" ht="25.5" customHeight="1" s="197">
      <c r="B35" s="25" t="inlineStr">
        <is>
          <t>Строительный контроль и содержание службы заказчика - 2,14%</t>
        </is>
      </c>
      <c r="C35" s="26">
        <f>ROUND((C26+C31+C32+C33+C34+C28+C30+C29)*2.14%,2)</f>
        <v/>
      </c>
      <c r="D35" s="25" t="n"/>
      <c r="E35" s="27">
        <f>C35/$C$39</f>
        <v/>
      </c>
      <c r="K35" s="137" t="n"/>
    </row>
    <row r="36">
      <c r="B36" s="25" t="inlineStr">
        <is>
          <t>Авторский надзор - 0,2%</t>
        </is>
      </c>
      <c r="C36" s="26">
        <f>ROUND((C26+C31+C32+C33+C34+C28+C30+C29)*0.2%,2)</f>
        <v/>
      </c>
      <c r="D36" s="25" t="n"/>
      <c r="E36" s="27">
        <f>C36/$C$39</f>
        <v/>
      </c>
      <c r="K36" s="137" t="n"/>
    </row>
    <row r="37" ht="38.25" customHeight="1" s="197">
      <c r="B37" s="25" t="inlineStr">
        <is>
          <t>ИТОГО (СМР+ОБОРУДОВАНИЕ+ПРОЧ. ЗАТР., УЧТЕННЫЕ ПОКАЗАТЕЛЕМ)</t>
        </is>
      </c>
      <c r="C37" s="136">
        <f>C26+C31+C32+C33+C34+C28+C30+C29+C35+C36</f>
        <v/>
      </c>
      <c r="D37" s="25" t="n"/>
      <c r="E37" s="27">
        <f>C37/$C$39</f>
        <v/>
      </c>
    </row>
    <row r="38" ht="13.5" customHeight="1" s="197">
      <c r="B38" s="25" t="inlineStr">
        <is>
          <t>Непредвиденные расходы</t>
        </is>
      </c>
      <c r="C38" s="136">
        <f>ROUND(C37*3%,2)</f>
        <v/>
      </c>
      <c r="D38" s="25" t="n"/>
      <c r="E38" s="27">
        <f>C38/$C$37</f>
        <v/>
      </c>
    </row>
    <row r="39">
      <c r="B39" s="25" t="inlineStr">
        <is>
          <t>ВСЕГО:</t>
        </is>
      </c>
      <c r="C39" s="136">
        <f>C38+C37</f>
        <v/>
      </c>
      <c r="D39" s="25" t="n"/>
      <c r="E39" s="27">
        <f>C39/$C$39</f>
        <v/>
      </c>
    </row>
    <row r="40">
      <c r="B40" s="25" t="inlineStr">
        <is>
          <t>ИТОГО ПОКАЗАТЕЛЬ НА ЕД. ИЗМ.</t>
        </is>
      </c>
      <c r="C40" s="136">
        <f>C39/'Прил.5 Расчет СМР и ОБ'!E196</f>
        <v/>
      </c>
      <c r="D40" s="25" t="n"/>
      <c r="E40" s="25" t="n"/>
    </row>
    <row r="41">
      <c r="B41" s="140" t="n"/>
      <c r="C41" s="193" t="n"/>
      <c r="D41" s="193" t="n"/>
      <c r="E41" s="193" t="n"/>
    </row>
    <row r="42">
      <c r="B42" s="140" t="inlineStr">
        <is>
          <t>Составил ____________________________ Д.Ю. Нефедова</t>
        </is>
      </c>
      <c r="C42" s="193" t="n"/>
      <c r="D42" s="193" t="n"/>
      <c r="E42" s="193" t="n"/>
    </row>
    <row r="43">
      <c r="B43" s="140" t="inlineStr">
        <is>
          <t xml:space="preserve">(должность, подпись, инициалы, фамилия) </t>
        </is>
      </c>
      <c r="C43" s="193" t="n"/>
      <c r="D43" s="193" t="n"/>
      <c r="E43" s="193" t="n"/>
    </row>
    <row r="44">
      <c r="B44" s="140" t="n"/>
      <c r="C44" s="193" t="n"/>
      <c r="D44" s="193" t="n"/>
      <c r="E44" s="193" t="n"/>
    </row>
    <row r="45">
      <c r="B45" s="140" t="inlineStr">
        <is>
          <t>Проверил ____________________________ А.В. Костянецкая</t>
        </is>
      </c>
      <c r="C45" s="193" t="n"/>
      <c r="D45" s="193" t="n"/>
      <c r="E45" s="193" t="n"/>
    </row>
    <row r="46">
      <c r="B46" s="243" t="inlineStr">
        <is>
          <t>(должность, подпись, инициалы, фамилия)</t>
        </is>
      </c>
      <c r="D46" s="193" t="n"/>
      <c r="E46" s="193" t="n"/>
    </row>
    <row r="48">
      <c r="B48" s="193" t="n"/>
      <c r="C48" s="193" t="n"/>
      <c r="D48" s="193" t="n"/>
      <c r="E48" s="193" t="n"/>
    </row>
    <row r="49">
      <c r="B49" s="193" t="n"/>
      <c r="C49" s="193" t="n"/>
      <c r="D49" s="193" t="n"/>
      <c r="E49" s="193" t="n"/>
    </row>
  </sheetData>
  <mergeCells count="4">
    <mergeCell ref="B46:C46"/>
    <mergeCell ref="B7:E7"/>
    <mergeCell ref="B6:E6"/>
    <mergeCell ref="B4:E4"/>
  </mergeCells>
  <pageMargins left="0.7" right="0.7" top="0.75" bottom="0.75" header="0.3" footer="0.3"/>
  <pageSetup orientation="portrait" paperSize="9" scale="88"/>
  <rowBreaks count="1" manualBreakCount="1">
    <brk id="30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R209"/>
  <sheetViews>
    <sheetView view="pageBreakPreview" topLeftCell="A95" zoomScale="85" workbookViewId="0">
      <selection activeCell="B199" sqref="B199"/>
    </sheetView>
  </sheetViews>
  <sheetFormatPr baseColWidth="8" defaultColWidth="9.140625" defaultRowHeight="15" outlineLevelRow="1"/>
  <cols>
    <col width="5.7109375" customWidth="1" style="194" min="1" max="1"/>
    <col width="22.5703125" customWidth="1" style="194" min="2" max="2"/>
    <col width="39.140625" customWidth="1" style="194" min="3" max="3"/>
    <col width="10.7109375" customWidth="1" style="194" min="4" max="4"/>
    <col width="12.7109375" customWidth="1" style="194" min="5" max="5"/>
    <col width="15" customWidth="1" style="194" min="6" max="6"/>
    <col width="13.42578125" customWidth="1" style="194" min="7" max="7"/>
    <col width="12.7109375" customWidth="1" style="194" min="8" max="8"/>
    <col width="13.85546875" customWidth="1" style="194" min="9" max="9"/>
    <col width="17.5703125" customWidth="1" style="194" min="10" max="10"/>
    <col width="10.85546875" customWidth="1" style="194" min="11" max="11"/>
    <col width="9.140625" customWidth="1" style="194" min="12" max="12"/>
    <col width="25.7109375" customWidth="1" style="197" min="16" max="17"/>
  </cols>
  <sheetData>
    <row r="1">
      <c r="M1" s="194" t="n"/>
      <c r="N1" s="194" t="n"/>
    </row>
    <row r="2" ht="15.75" customHeight="1" s="197">
      <c r="H2" s="259" t="inlineStr">
        <is>
          <t>Приложение №5</t>
        </is>
      </c>
      <c r="M2" s="194" t="n"/>
      <c r="N2" s="194" t="n"/>
    </row>
    <row r="3">
      <c r="M3" s="194" t="n"/>
      <c r="N3" s="194" t="n"/>
    </row>
    <row r="4" ht="12.75" customFormat="1" customHeight="1" s="193">
      <c r="A4" s="220" t="inlineStr">
        <is>
          <t>Расчет стоимости СМР и оборудования</t>
        </is>
      </c>
    </row>
    <row r="5" ht="12.75" customFormat="1" customHeight="1" s="193">
      <c r="A5" s="220" t="n"/>
      <c r="B5" s="220" t="n"/>
      <c r="C5" s="272" t="n"/>
      <c r="D5" s="220" t="n"/>
      <c r="E5" s="220" t="n"/>
      <c r="F5" s="220" t="n"/>
      <c r="G5" s="220" t="n"/>
      <c r="H5" s="220" t="n"/>
      <c r="I5" s="220" t="n"/>
      <c r="J5" s="220" t="n"/>
    </row>
    <row r="6" ht="12.75" customFormat="1" customHeight="1" s="193">
      <c r="A6" s="145" t="inlineStr">
        <is>
          <t>Наименование разрабатываемого показателя УНЦ</t>
        </is>
      </c>
      <c r="B6" s="146" t="n"/>
      <c r="C6" s="146" t="n"/>
      <c r="D6" s="263" t="inlineStr">
        <is>
          <t>Система автоматического пожаротушения.</t>
        </is>
      </c>
    </row>
    <row r="7" ht="12.75" customFormat="1" customHeight="1" s="193">
      <c r="A7" s="223" t="inlineStr">
        <is>
          <t>Единица измерения  — 1 м2</t>
        </is>
      </c>
      <c r="I7" s="232" t="n"/>
      <c r="J7" s="232" t="n"/>
    </row>
    <row r="8" ht="13.5" customFormat="1" customHeight="1" s="193">
      <c r="A8" s="223" t="n"/>
    </row>
    <row r="9" ht="13.15" customFormat="1" customHeight="1" s="193"/>
    <row r="10" ht="27" customHeight="1" s="197">
      <c r="A10" s="251" t="inlineStr">
        <is>
          <t>№ пп.</t>
        </is>
      </c>
      <c r="B10" s="251" t="inlineStr">
        <is>
          <t>Код ресурса</t>
        </is>
      </c>
      <c r="C10" s="251" t="inlineStr">
        <is>
          <t>Наименование</t>
        </is>
      </c>
      <c r="D10" s="251" t="inlineStr">
        <is>
          <t>Ед. изм.</t>
        </is>
      </c>
      <c r="E10" s="251" t="inlineStr">
        <is>
          <t>Кол-во единиц по проектным данным</t>
        </is>
      </c>
      <c r="F10" s="251" t="inlineStr">
        <is>
          <t>Сметная стоимость в ценах на 01.01.2000 (руб.)</t>
        </is>
      </c>
      <c r="G10" s="322" t="n"/>
      <c r="H10" s="251" t="inlineStr">
        <is>
          <t>Удельный вес, %</t>
        </is>
      </c>
      <c r="I10" s="251" t="inlineStr">
        <is>
          <t>Сметная стоимость в ценах на 01.01.2023 (руб.)</t>
        </is>
      </c>
      <c r="J10" s="322" t="n"/>
      <c r="M10" s="194" t="n"/>
      <c r="N10" s="194" t="n"/>
    </row>
    <row r="11" ht="28.5" customHeight="1" s="197">
      <c r="A11" s="324" t="n"/>
      <c r="B11" s="324" t="n"/>
      <c r="C11" s="324" t="n"/>
      <c r="D11" s="324" t="n"/>
      <c r="E11" s="324" t="n"/>
      <c r="F11" s="251" t="inlineStr">
        <is>
          <t>на ед. изм.</t>
        </is>
      </c>
      <c r="G11" s="251" t="inlineStr">
        <is>
          <t>общая</t>
        </is>
      </c>
      <c r="H11" s="324" t="n"/>
      <c r="I11" s="251" t="inlineStr">
        <is>
          <t>на ед. изм.</t>
        </is>
      </c>
      <c r="J11" s="251" t="inlineStr">
        <is>
          <t>общая</t>
        </is>
      </c>
      <c r="M11" s="194" t="n"/>
      <c r="N11" s="194" t="n"/>
    </row>
    <row r="12">
      <c r="A12" s="251" t="n">
        <v>1</v>
      </c>
      <c r="B12" s="251" t="n">
        <v>2</v>
      </c>
      <c r="C12" s="251" t="n">
        <v>3</v>
      </c>
      <c r="D12" s="251" t="n">
        <v>4</v>
      </c>
      <c r="E12" s="251" t="n">
        <v>5</v>
      </c>
      <c r="F12" s="251" t="n">
        <v>6</v>
      </c>
      <c r="G12" s="251" t="n">
        <v>7</v>
      </c>
      <c r="H12" s="251" t="n">
        <v>8</v>
      </c>
      <c r="I12" s="245" t="n">
        <v>9</v>
      </c>
      <c r="J12" s="245" t="n">
        <v>10</v>
      </c>
      <c r="M12" s="194" t="n"/>
      <c r="N12" s="194" t="n"/>
    </row>
    <row r="13">
      <c r="A13" s="251" t="n"/>
      <c r="B13" s="249" t="inlineStr">
        <is>
          <t>Затраты труда рабочих-строителей</t>
        </is>
      </c>
      <c r="C13" s="321" t="n"/>
      <c r="D13" s="321" t="n"/>
      <c r="E13" s="321" t="n"/>
      <c r="F13" s="321" t="n"/>
      <c r="G13" s="321" t="n"/>
      <c r="H13" s="322" t="n"/>
      <c r="I13" s="123" t="n"/>
      <c r="J13" s="123" t="n"/>
    </row>
    <row r="14" ht="25.5" customHeight="1" s="197">
      <c r="A14" s="251" t="n">
        <v>1</v>
      </c>
      <c r="B14" s="162" t="inlineStr">
        <is>
          <t>1-4-0</t>
        </is>
      </c>
      <c r="C14" s="250" t="inlineStr">
        <is>
          <t>Затраты труда рабочих-строителей среднего разряда (4,0)</t>
        </is>
      </c>
      <c r="D14" s="251" t="inlineStr">
        <is>
          <t>чел.-ч.</t>
        </is>
      </c>
      <c r="E14" s="326" t="n">
        <v>3240.1736638</v>
      </c>
      <c r="F14" s="32" t="n">
        <v>9.619999999999999</v>
      </c>
      <c r="G14" s="32">
        <f>'Прил. 3'!H12</f>
        <v/>
      </c>
      <c r="H14" s="126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4">
      <c r="A15" s="251" t="n"/>
      <c r="B15" s="251" t="n"/>
      <c r="C15" s="249" t="inlineStr">
        <is>
          <t>Итого по разделу "Затраты труда рабочих-строителей"</t>
        </is>
      </c>
      <c r="D15" s="251" t="inlineStr">
        <is>
          <t>чел.-ч.</t>
        </is>
      </c>
      <c r="E15" s="326">
        <f>SUM(E14:E14)</f>
        <v/>
      </c>
      <c r="F15" s="32" t="n"/>
      <c r="G15" s="32">
        <f>SUM(G14:G14)</f>
        <v/>
      </c>
      <c r="H15" s="254" t="n">
        <v>1</v>
      </c>
      <c r="I15" s="123" t="n"/>
      <c r="J15" s="32">
        <f>SUM(J14:J14)</f>
        <v/>
      </c>
    </row>
    <row r="16" ht="14.25" customFormat="1" customHeight="1" s="194">
      <c r="A16" s="251" t="n"/>
      <c r="B16" s="250" t="inlineStr">
        <is>
          <t>Затраты труда машинистов</t>
        </is>
      </c>
      <c r="C16" s="321" t="n"/>
      <c r="D16" s="321" t="n"/>
      <c r="E16" s="321" t="n"/>
      <c r="F16" s="321" t="n"/>
      <c r="G16" s="321" t="n"/>
      <c r="H16" s="322" t="n"/>
      <c r="I16" s="123" t="n"/>
      <c r="J16" s="123" t="n"/>
      <c r="Q16" s="327" t="n"/>
    </row>
    <row r="17" ht="14.25" customFormat="1" customHeight="1" s="194">
      <c r="A17" s="251" t="n">
        <v>2</v>
      </c>
      <c r="B17" s="251" t="n">
        <v>2</v>
      </c>
      <c r="C17" s="250" t="inlineStr">
        <is>
          <t>Затраты труда машинистов</t>
        </is>
      </c>
      <c r="D17" s="251" t="inlineStr">
        <is>
          <t>чел.-ч.</t>
        </is>
      </c>
      <c r="E17" s="326" t="n">
        <v>128.6302805</v>
      </c>
      <c r="F17" s="32">
        <f>G17/E17</f>
        <v/>
      </c>
      <c r="G17" s="32">
        <f>'Прил. 3'!H22</f>
        <v/>
      </c>
      <c r="H17" s="254" t="n">
        <v>1</v>
      </c>
      <c r="I17" s="32">
        <f>ROUND(F17*'Прил. 10'!D11,2)</f>
        <v/>
      </c>
      <c r="J17" s="32">
        <f>ROUND(I17*E17,2)</f>
        <v/>
      </c>
      <c r="Q17" s="327" t="n"/>
    </row>
    <row r="18" ht="14.25" customFormat="1" customHeight="1" s="194">
      <c r="A18" s="251" t="n"/>
      <c r="B18" s="249" t="inlineStr">
        <is>
          <t>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23" t="n"/>
      <c r="J18" s="123" t="n"/>
      <c r="Q18" s="327" t="n"/>
    </row>
    <row r="19" ht="14.25" customFormat="1" customHeight="1" s="194">
      <c r="A19" s="251" t="n"/>
      <c r="B19" s="250" t="inlineStr">
        <is>
          <t>Основные машины и механизмы</t>
        </is>
      </c>
      <c r="C19" s="321" t="n"/>
      <c r="D19" s="321" t="n"/>
      <c r="E19" s="321" t="n"/>
      <c r="F19" s="321" t="n"/>
      <c r="G19" s="321" t="n"/>
      <c r="H19" s="322" t="n"/>
      <c r="I19" s="123" t="n"/>
      <c r="J19" s="123" t="n"/>
      <c r="Q19" s="327" t="n"/>
    </row>
    <row r="20" ht="25.5" customFormat="1" customHeight="1" s="194">
      <c r="A20" s="251" t="n">
        <v>3</v>
      </c>
      <c r="B20" s="162" t="inlineStr">
        <is>
          <t>91.06.03-058</t>
        </is>
      </c>
      <c r="C20" s="250" t="inlineStr">
        <is>
          <t>Лебедки электрические тяговым усилием 156,96 кН (16 т)</t>
        </is>
      </c>
      <c r="D20" s="251" t="inlineStr">
        <is>
          <t>маш.час</t>
        </is>
      </c>
      <c r="E20" s="326" t="n">
        <v>73.22922</v>
      </c>
      <c r="F20" s="253" t="n">
        <v>131.44</v>
      </c>
      <c r="G20" s="32">
        <f>SUM(G21:G24)</f>
        <v/>
      </c>
      <c r="H20" s="126">
        <f>G20/$G$46</f>
        <v/>
      </c>
      <c r="I20" s="32">
        <f>ROUND(F20*'Прил. 10'!$D$12,2)</f>
        <v/>
      </c>
      <c r="J20" s="32">
        <f>ROUND(I20*E20,2)</f>
        <v/>
      </c>
      <c r="Q20" s="327" t="n"/>
    </row>
    <row r="21" hidden="1" outlineLevel="1" ht="25.5" customFormat="1" customHeight="1" s="194">
      <c r="A21" s="251" t="n"/>
      <c r="B21" s="162" t="inlineStr">
        <is>
          <t>91.06.03-058</t>
        </is>
      </c>
      <c r="C21" s="250" t="inlineStr">
        <is>
          <t>Лебедки электрические тяговым усилием 156,96 кН (16 т)</t>
        </is>
      </c>
      <c r="D21" s="251" t="inlineStr">
        <is>
          <t>маш.час</t>
        </is>
      </c>
      <c r="E21" s="326" t="n">
        <v>72.5</v>
      </c>
      <c r="F21" s="253" t="n">
        <v>131.44</v>
      </c>
      <c r="G21" s="32">
        <f>ROUND(E21*F21,2)</f>
        <v/>
      </c>
      <c r="H21" s="126">
        <f>G21/$G$46</f>
        <v/>
      </c>
      <c r="I21" s="32">
        <f>ROUND(F21*'Прил. 10'!$D$12,2)</f>
        <v/>
      </c>
      <c r="J21" s="32">
        <f>ROUND(I21*E21,2)</f>
        <v/>
      </c>
      <c r="Q21" s="327" t="n"/>
    </row>
    <row r="22" hidden="1" outlineLevel="1" ht="25.5" customFormat="1" customHeight="1" s="194">
      <c r="A22" s="251" t="n"/>
      <c r="B22" s="162" t="inlineStr">
        <is>
          <t>91.06.03-055</t>
        </is>
      </c>
      <c r="C22" s="250" t="inlineStr">
        <is>
          <t>Лебедки электрические тяговым усилием 19,62 кН (2 т)</t>
        </is>
      </c>
      <c r="D22" s="251" t="inlineStr">
        <is>
          <t>маш.час</t>
        </is>
      </c>
      <c r="E22" s="326" t="n">
        <v>7.4939292</v>
      </c>
      <c r="F22" s="253" t="n">
        <v>6.66</v>
      </c>
      <c r="G22" s="32">
        <f>ROUND(E22*F22,2)</f>
        <v/>
      </c>
      <c r="H22" s="126">
        <f>G22/$G$46</f>
        <v/>
      </c>
      <c r="I22" s="32">
        <f>ROUND(F22*'Прил. 10'!$D$12,2)</f>
        <v/>
      </c>
      <c r="J22" s="32">
        <f>ROUND(I22*E22,2)</f>
        <v/>
      </c>
      <c r="Q22" s="327" t="n"/>
    </row>
    <row r="23" hidden="1" outlineLevel="1" ht="25.5" customFormat="1" customHeight="1" s="194">
      <c r="A23" s="251" t="n"/>
      <c r="B23" s="162" t="inlineStr">
        <is>
          <t>91.06.03-061</t>
        </is>
      </c>
      <c r="C23" s="250" t="inlineStr">
        <is>
          <t>Лебедки электрические тяговым усилием до 12,26 кН (1,25 т)</t>
        </is>
      </c>
      <c r="D23" s="251" t="inlineStr">
        <is>
          <t>маш.час</t>
        </is>
      </c>
      <c r="E23" s="326" t="n">
        <v>13.56</v>
      </c>
      <c r="F23" s="253" t="n">
        <v>3.28</v>
      </c>
      <c r="G23" s="32">
        <f>ROUND(E23*F23,2)</f>
        <v/>
      </c>
      <c r="H23" s="126">
        <f>G23/$G$46</f>
        <v/>
      </c>
      <c r="I23" s="32">
        <f>ROUND(F23*'Прил. 10'!$D$12,2)</f>
        <v/>
      </c>
      <c r="J23" s="32">
        <f>ROUND(I23*E23,2)</f>
        <v/>
      </c>
      <c r="Q23" s="327" t="n"/>
    </row>
    <row r="24" hidden="1" outlineLevel="1" ht="25.5" customFormat="1" customHeight="1" s="194">
      <c r="A24" s="251" t="n"/>
      <c r="B24" s="162" t="inlineStr">
        <is>
          <t>91.06.03-060</t>
        </is>
      </c>
      <c r="C24" s="250" t="inlineStr">
        <is>
          <t>Лебедки электрические тяговым усилием до 5,79 кН (0,59 т)</t>
        </is>
      </c>
      <c r="D24" s="251" t="inlineStr">
        <is>
          <t>маш.час</t>
        </is>
      </c>
      <c r="E24" s="326" t="n">
        <v>0.8609969</v>
      </c>
      <c r="F24" s="253" t="n">
        <v>1.7</v>
      </c>
      <c r="G24" s="32">
        <f>ROUND(E24*F24,2)</f>
        <v/>
      </c>
      <c r="H24" s="126">
        <f>G24/$G$46</f>
        <v/>
      </c>
      <c r="I24" s="32">
        <f>ROUND(F24*'Прил. 10'!$D$12,2)</f>
        <v/>
      </c>
      <c r="J24" s="32">
        <f>ROUND(I24*E24,2)</f>
        <v/>
      </c>
    </row>
    <row r="25" collapsed="1" ht="25.5" customFormat="1" customHeight="1" s="194">
      <c r="A25" s="251" t="n">
        <v>4</v>
      </c>
      <c r="B25" s="162" t="inlineStr">
        <is>
          <t>91.05.05-015</t>
        </is>
      </c>
      <c r="C25" s="250" t="inlineStr">
        <is>
          <t>Краны на автомобильном ходу, грузоподъемность 16 т</t>
        </is>
      </c>
      <c r="D25" s="251" t="inlineStr">
        <is>
          <t>маш.час</t>
        </is>
      </c>
      <c r="E25" s="326" t="n">
        <v>11.6417872</v>
      </c>
      <c r="F25" s="253" t="n">
        <v>115.4</v>
      </c>
      <c r="G25" s="32">
        <f>ROUND(E25*F25,2)</f>
        <v/>
      </c>
      <c r="H25" s="126">
        <f>G25/$G$46</f>
        <v/>
      </c>
      <c r="I25" s="32">
        <f>ROUND(F25*'Прил. 10'!$D$12,2)</f>
        <v/>
      </c>
      <c r="J25" s="32">
        <f>ROUND(I25*E25,2)</f>
        <v/>
      </c>
    </row>
    <row r="26" ht="25.5" customFormat="1" customHeight="1" s="194">
      <c r="A26" s="251" t="n">
        <v>5</v>
      </c>
      <c r="B26" s="162" t="inlineStr">
        <is>
          <t>91.17.04-233</t>
        </is>
      </c>
      <c r="C26" s="250" t="inlineStr">
        <is>
          <t>Установки для сварки ручной дуговой (постоянного тока)</t>
        </is>
      </c>
      <c r="D26" s="251" t="inlineStr">
        <is>
          <t>маш.час</t>
        </is>
      </c>
      <c r="E26" s="326" t="n">
        <v>138.83045</v>
      </c>
      <c r="F26" s="253" t="n">
        <v>8.1</v>
      </c>
      <c r="G26" s="32">
        <f>SUM(G27:G28)</f>
        <v/>
      </c>
      <c r="H26" s="126">
        <f>G26/$G$46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94">
      <c r="A27" s="251" t="n"/>
      <c r="B27" s="162" t="inlineStr">
        <is>
          <t>91.17.04-233</t>
        </is>
      </c>
      <c r="C27" s="250" t="inlineStr">
        <is>
          <t>Установки для сварки ручной дуговой (постоянного тока)</t>
        </is>
      </c>
      <c r="D27" s="251" t="inlineStr">
        <is>
          <t>маш.час</t>
        </is>
      </c>
      <c r="E27" s="326" t="n">
        <v>138.201031</v>
      </c>
      <c r="F27" s="253" t="n">
        <v>8.1</v>
      </c>
      <c r="G27" s="32">
        <f>ROUND(E27*F27,2)</f>
        <v/>
      </c>
      <c r="H27" s="126">
        <f>G27/$G$46</f>
        <v/>
      </c>
      <c r="I27" s="32">
        <f>ROUND(F27*'Прил. 10'!$D$12,2)</f>
        <v/>
      </c>
      <c r="J27" s="32">
        <f>ROUND(I27*E27,2)</f>
        <v/>
      </c>
    </row>
    <row r="28" hidden="1" outlineLevel="1" ht="14.25" customFormat="1" customHeight="1" s="194">
      <c r="A28" s="251" t="n"/>
      <c r="B28" s="162" t="inlineStr">
        <is>
          <t>91.17.04-042</t>
        </is>
      </c>
      <c r="C28" s="250" t="inlineStr">
        <is>
          <t>Аппараты для газовой сварки и резки</t>
        </is>
      </c>
      <c r="D28" s="251" t="inlineStr">
        <is>
          <t>маш.час</t>
        </is>
      </c>
      <c r="E28" s="326" t="n">
        <v>4.25</v>
      </c>
      <c r="F28" s="253" t="n">
        <v>1.2</v>
      </c>
      <c r="G28" s="32">
        <f>ROUND(E28*F28,2)</f>
        <v/>
      </c>
      <c r="H28" s="126">
        <f>G28/$G$46</f>
        <v/>
      </c>
      <c r="I28" s="32">
        <f>ROUND(F28*'Прил. 10'!$D$12,2)</f>
        <v/>
      </c>
      <c r="J28" s="32">
        <f>ROUND(I28*E28,2)</f>
        <v/>
      </c>
    </row>
    <row r="29" collapsed="1" ht="25.5" customFormat="1" customHeight="1" s="194">
      <c r="A29" s="251" t="n">
        <v>6</v>
      </c>
      <c r="B29" s="162" t="inlineStr">
        <is>
          <t>91.14.02-001</t>
        </is>
      </c>
      <c r="C29" s="250" t="inlineStr">
        <is>
          <t>Автомобили бортовые, грузоподъемность до 5 т</t>
        </is>
      </c>
      <c r="D29" s="251" t="inlineStr">
        <is>
          <t>маш.час</t>
        </is>
      </c>
      <c r="E29" s="326" t="n">
        <v>14.2007841</v>
      </c>
      <c r="F29" s="253" t="n">
        <v>65.70999999999999</v>
      </c>
      <c r="G29" s="32">
        <f>ROUND(E29*F29,2)</f>
        <v/>
      </c>
      <c r="H29" s="126">
        <f>G29/$G$46</f>
        <v/>
      </c>
      <c r="I29" s="32">
        <f>ROUND(F29*'Прил. 10'!$D$12,2)</f>
        <v/>
      </c>
      <c r="J29" s="32">
        <f>ROUND(I29*E29,2)</f>
        <v/>
      </c>
    </row>
    <row r="30" ht="38.25" customFormat="1" customHeight="1" s="194">
      <c r="A30" s="251" t="n">
        <v>7</v>
      </c>
      <c r="B30" s="162" t="inlineStr">
        <is>
          <t>91.18.01-015</t>
        </is>
      </c>
      <c r="C30" s="250" t="inlineStr">
        <is>
          <t>Компрессоры самоходные с двигателем внутреннего сгорания, давление 800 кПа (8 ат), производительность 6,3 м3/мин</t>
        </is>
      </c>
      <c r="D30" s="251" t="inlineStr">
        <is>
          <t>маш.час</t>
        </is>
      </c>
      <c r="E30" s="326" t="n">
        <v>7.90592</v>
      </c>
      <c r="F30" s="253" t="n">
        <v>100</v>
      </c>
      <c r="G30" s="32">
        <f>G31+G32</f>
        <v/>
      </c>
      <c r="H30" s="126">
        <f>G30/$G$46</f>
        <v/>
      </c>
      <c r="I30" s="32">
        <f>ROUND(F30*'Прил. 10'!$D$12,2)</f>
        <v/>
      </c>
      <c r="J30" s="32">
        <f>ROUND(I30*E30,2)</f>
        <v/>
      </c>
    </row>
    <row r="31" hidden="1" outlineLevel="1" ht="38.25" customFormat="1" customHeight="1" s="194">
      <c r="A31" s="251" t="n"/>
      <c r="B31" s="162" t="inlineStr">
        <is>
          <t>91.18.01-015</t>
        </is>
      </c>
      <c r="C31" s="250" t="inlineStr">
        <is>
          <t>Компрессоры самоходные с двигателем внутреннего сгорания, давление 800 кПа (8 ат), производительность 6,3 м3/мин</t>
        </is>
      </c>
      <c r="D31" s="251" t="inlineStr">
        <is>
          <t>маш.час</t>
        </is>
      </c>
      <c r="E31" s="326" t="n">
        <v>6.2741875</v>
      </c>
      <c r="F31" s="253" t="n">
        <v>100</v>
      </c>
      <c r="G31" s="32">
        <f>ROUND(E31*F31,2)</f>
        <v/>
      </c>
      <c r="H31" s="126">
        <f>G31/$G$46</f>
        <v/>
      </c>
      <c r="I31" s="32">
        <f>ROUND(F31*'Прил. 10'!$D$12,2)</f>
        <v/>
      </c>
      <c r="J31" s="32">
        <f>ROUND(I31*E31,2)</f>
        <v/>
      </c>
    </row>
    <row r="32" hidden="1" outlineLevel="1" ht="38.25" customFormat="1" customHeight="1" s="194">
      <c r="A32" s="251" t="n"/>
      <c r="B32" s="162" t="inlineStr">
        <is>
          <t>91.18.01-011</t>
        </is>
      </c>
      <c r="C32" s="250" t="inlineStr">
        <is>
          <t>Компрессоры передвижные с электродвигателем давление 600 кПа (6 ат), производительность 0,5 м3/мин</t>
        </is>
      </c>
      <c r="D32" s="251" t="inlineStr">
        <is>
          <t>маш.час</t>
        </is>
      </c>
      <c r="E32" s="326" t="n">
        <v>44.1</v>
      </c>
      <c r="F32" s="253" t="n">
        <v>3.7</v>
      </c>
      <c r="G32" s="32">
        <f>ROUND(E32*F32,2)</f>
        <v/>
      </c>
      <c r="H32" s="126">
        <f>G32/$G$46</f>
        <v/>
      </c>
      <c r="I32" s="32">
        <f>ROUND(F32*'Прил. 10'!$D$12,2)</f>
        <v/>
      </c>
      <c r="J32" s="32">
        <f>ROUND(I32*E32,2)</f>
        <v/>
      </c>
    </row>
    <row r="33" collapsed="1" ht="14.25" customFormat="1" customHeight="1" s="194">
      <c r="A33" s="251" t="n"/>
      <c r="B33" s="251" t="n"/>
      <c r="C33" s="250" t="inlineStr">
        <is>
          <t>Итого основные машины и механизмы</t>
        </is>
      </c>
      <c r="D33" s="251" t="n"/>
      <c r="E33" s="326" t="n"/>
      <c r="F33" s="32" t="n"/>
      <c r="G33" s="32">
        <f>G20+G25+G26+G29+G30</f>
        <v/>
      </c>
      <c r="H33" s="254">
        <f>G33/G46</f>
        <v/>
      </c>
      <c r="I33" s="125" t="n"/>
      <c r="J33" s="32">
        <f>J20+J25+J26+J29+J30</f>
        <v/>
      </c>
    </row>
    <row r="34" hidden="1" outlineLevel="1" ht="25.5" customFormat="1" customHeight="1" s="194">
      <c r="A34" s="251" t="n">
        <v>8</v>
      </c>
      <c r="B34" s="162" t="inlineStr">
        <is>
          <t>91.05.04-006</t>
        </is>
      </c>
      <c r="C34" s="250" t="inlineStr">
        <is>
          <t>Краны мостовые электрические, грузоподъемность 10 т</t>
        </is>
      </c>
      <c r="D34" s="251" t="inlineStr">
        <is>
          <t>маш.час</t>
        </is>
      </c>
      <c r="E34" s="326" t="n">
        <v>10.18</v>
      </c>
      <c r="F34" s="253" t="n">
        <v>73.12</v>
      </c>
      <c r="G34" s="32">
        <f>ROUND(E34*F34,2)</f>
        <v/>
      </c>
      <c r="H34" s="126">
        <f>G34/$G$46</f>
        <v/>
      </c>
      <c r="I34" s="32">
        <f>ROUND(F34*'Прил. 10'!$D$12,2)</f>
        <v/>
      </c>
      <c r="J34" s="32">
        <f>ROUND(I34*E34,2)</f>
        <v/>
      </c>
    </row>
    <row r="35" hidden="1" outlineLevel="1" ht="14.25" customFormat="1" customHeight="1" s="194">
      <c r="A35" s="251" t="n">
        <v>9</v>
      </c>
      <c r="B35" s="162" t="inlineStr">
        <is>
          <t>91.19.08-007</t>
        </is>
      </c>
      <c r="C35" s="250" t="inlineStr">
        <is>
          <t>Насосы мощностью 7,2 м3/ч</t>
        </is>
      </c>
      <c r="D35" s="251" t="inlineStr">
        <is>
          <t>маш.час</t>
        </is>
      </c>
      <c r="E35" s="326" t="n">
        <v>25.09675</v>
      </c>
      <c r="F35" s="253" t="n">
        <v>18.68</v>
      </c>
      <c r="G35" s="32">
        <f>ROUND(E35*F35,2)</f>
        <v/>
      </c>
      <c r="H35" s="126">
        <f>G35/$G$46</f>
        <v/>
      </c>
      <c r="I35" s="32">
        <f>ROUND(F35*'Прил. 10'!$D$12,2)</f>
        <v/>
      </c>
      <c r="J35" s="32">
        <f>ROUND(I35*E35,2)</f>
        <v/>
      </c>
    </row>
    <row r="36" hidden="1" outlineLevel="1" ht="25.5" customFormat="1" customHeight="1" s="194">
      <c r="A36" s="251" t="n">
        <v>10</v>
      </c>
      <c r="B36" s="162" t="inlineStr">
        <is>
          <t>91.21.12-002</t>
        </is>
      </c>
      <c r="C36" s="250" t="inlineStr">
        <is>
          <t>Ножницы листовые кривошипные гильотинные</t>
        </is>
      </c>
      <c r="D36" s="251" t="inlineStr">
        <is>
          <t>маш.час</t>
        </is>
      </c>
      <c r="E36" s="326" t="n">
        <v>6.036</v>
      </c>
      <c r="F36" s="253" t="n">
        <v>70</v>
      </c>
      <c r="G36" s="32">
        <f>ROUND(E36*F36,2)</f>
        <v/>
      </c>
      <c r="H36" s="126">
        <f>G36/$G$46</f>
        <v/>
      </c>
      <c r="I36" s="32">
        <f>ROUND(F36*'Прил. 10'!$D$12,2)</f>
        <v/>
      </c>
      <c r="J36" s="32">
        <f>ROUND(I36*E36,2)</f>
        <v/>
      </c>
    </row>
    <row r="37" hidden="1" outlineLevel="1" ht="25.5" customFormat="1" customHeight="1" s="194">
      <c r="A37" s="251" t="n">
        <v>11</v>
      </c>
      <c r="B37" s="162" t="inlineStr">
        <is>
          <t>91.21.16-014</t>
        </is>
      </c>
      <c r="C37" s="250" t="inlineStr">
        <is>
          <t>Прессы листогибочные кривошипные 1000 кН (100 тс)</t>
        </is>
      </c>
      <c r="D37" s="251" t="inlineStr">
        <is>
          <t>маш.час</t>
        </is>
      </c>
      <c r="E37" s="326" t="n">
        <v>6.036</v>
      </c>
      <c r="F37" s="253" t="n">
        <v>56.24</v>
      </c>
      <c r="G37" s="32">
        <f>ROUND(E37*F37,2)</f>
        <v/>
      </c>
      <c r="H37" s="126">
        <f>G37/$G$46</f>
        <v/>
      </c>
      <c r="I37" s="32">
        <f>ROUND(F37*'Прил. 10'!$D$12,2)</f>
        <v/>
      </c>
      <c r="J37" s="32">
        <f>ROUND(I37*E37,2)</f>
        <v/>
      </c>
    </row>
    <row r="38" hidden="1" outlineLevel="1" ht="25.5" customFormat="1" customHeight="1" s="194">
      <c r="A38" s="251" t="n">
        <v>12</v>
      </c>
      <c r="B38" s="162" t="inlineStr">
        <is>
          <t>91.21.16-013</t>
        </is>
      </c>
      <c r="C38" s="250" t="inlineStr">
        <is>
          <t>Прессы кривошипные простого действия 25 кН (2,5 тс)</t>
        </is>
      </c>
      <c r="D38" s="251" t="inlineStr">
        <is>
          <t>маш.час</t>
        </is>
      </c>
      <c r="E38" s="326" t="n">
        <v>6.036</v>
      </c>
      <c r="F38" s="253" t="n">
        <v>16.92</v>
      </c>
      <c r="G38" s="32">
        <f>ROUND(E38*F38,2)</f>
        <v/>
      </c>
      <c r="H38" s="126">
        <f>G38/$G$46</f>
        <v/>
      </c>
      <c r="I38" s="32">
        <f>ROUND(F38*'Прил. 10'!$D$12,2)</f>
        <v/>
      </c>
      <c r="J38" s="32">
        <f>ROUND(I38*E38,2)</f>
        <v/>
      </c>
    </row>
    <row r="39" hidden="1" outlineLevel="1" ht="38.25" customFormat="1" customHeight="1" s="194">
      <c r="A39" s="251" t="n">
        <v>13</v>
      </c>
      <c r="B39" s="162" t="inlineStr">
        <is>
          <t>91.21.01-012</t>
        </is>
      </c>
      <c r="C39" s="250" t="inlineStr">
        <is>
          <t>Агрегаты окрасочные высокого давления для окраски поверхностей конструкций, мощность 1 кВт</t>
        </is>
      </c>
      <c r="D39" s="251" t="inlineStr">
        <is>
          <t>маш.час</t>
        </is>
      </c>
      <c r="E39" s="326" t="n">
        <v>7.1935295</v>
      </c>
      <c r="F39" s="253" t="n">
        <v>6.82</v>
      </c>
      <c r="G39" s="32">
        <f>ROUND(E39*F39,2)</f>
        <v/>
      </c>
      <c r="H39" s="126">
        <f>G39/$G$46</f>
        <v/>
      </c>
      <c r="I39" s="32">
        <f>ROUND(F39*'Прил. 10'!$D$12,2)</f>
        <v/>
      </c>
      <c r="J39" s="32">
        <f>ROUND(I39*E39,2)</f>
        <v/>
      </c>
    </row>
    <row r="40" hidden="1" outlineLevel="1" ht="14.25" customFormat="1" customHeight="1" s="194">
      <c r="A40" s="251" t="n">
        <v>14</v>
      </c>
      <c r="B40" s="162" t="inlineStr">
        <is>
          <t>91.21.19-035</t>
        </is>
      </c>
      <c r="C40" s="250" t="inlineStr">
        <is>
          <t>Станки трубонарезные</t>
        </is>
      </c>
      <c r="D40" s="251" t="inlineStr">
        <is>
          <t>маш.час</t>
        </is>
      </c>
      <c r="E40" s="326" t="n">
        <v>1.22818</v>
      </c>
      <c r="F40" s="253" t="n">
        <v>30.46</v>
      </c>
      <c r="G40" s="32">
        <f>ROUND(E40*F40,2)</f>
        <v/>
      </c>
      <c r="H40" s="126">
        <f>G40/$G$46</f>
        <v/>
      </c>
      <c r="I40" s="32">
        <f>ROUND(F40*'Прил. 10'!$D$12,2)</f>
        <v/>
      </c>
      <c r="J40" s="32">
        <f>ROUND(I40*E40,2)</f>
        <v/>
      </c>
    </row>
    <row r="41" hidden="1" outlineLevel="1" ht="14.25" customFormat="1" customHeight="1" s="194">
      <c r="A41" s="251" t="n">
        <v>15</v>
      </c>
      <c r="B41" s="162" t="inlineStr">
        <is>
          <t>91.21.19-031</t>
        </is>
      </c>
      <c r="C41" s="250" t="inlineStr">
        <is>
          <t>Станки сверлильные</t>
        </is>
      </c>
      <c r="D41" s="251" t="inlineStr">
        <is>
          <t>маш.час</t>
        </is>
      </c>
      <c r="E41" s="326" t="n">
        <v>6.036</v>
      </c>
      <c r="F41" s="253" t="n">
        <v>2.36</v>
      </c>
      <c r="G41" s="32">
        <f>ROUND(E41*F41,2)</f>
        <v/>
      </c>
      <c r="H41" s="126">
        <f>G41/$G$46</f>
        <v/>
      </c>
      <c r="I41" s="32">
        <f>ROUND(F41*'Прил. 10'!$D$12,2)</f>
        <v/>
      </c>
      <c r="J41" s="32">
        <f>ROUND(I41*E41,2)</f>
        <v/>
      </c>
    </row>
    <row r="42" hidden="1" outlineLevel="1" ht="25.5" customFormat="1" customHeight="1" s="194">
      <c r="A42" s="251" t="n">
        <v>16</v>
      </c>
      <c r="B42" s="162" t="inlineStr">
        <is>
          <t>91.06.01-003</t>
        </is>
      </c>
      <c r="C42" s="250" t="inlineStr">
        <is>
          <t>Домкраты гидравлические, грузоподъемность 63-100 т</t>
        </is>
      </c>
      <c r="D42" s="251" t="inlineStr">
        <is>
          <t>маш.час</t>
        </is>
      </c>
      <c r="E42" s="326" t="n">
        <v>13.56</v>
      </c>
      <c r="F42" s="253" t="n">
        <v>0.9</v>
      </c>
      <c r="G42" s="32">
        <f>ROUND(E42*F42,2)</f>
        <v/>
      </c>
      <c r="H42" s="126">
        <f>G42/$G$46</f>
        <v/>
      </c>
      <c r="I42" s="32">
        <f>ROUND(F42*'Прил. 10'!$D$12,2)</f>
        <v/>
      </c>
      <c r="J42" s="32">
        <f>ROUND(I42*E42,2)</f>
        <v/>
      </c>
    </row>
    <row r="43" hidden="1" outlineLevel="1" ht="14.25" customFormat="1" customHeight="1" s="194">
      <c r="A43" s="251" t="n">
        <v>17</v>
      </c>
      <c r="B43" s="162" t="inlineStr">
        <is>
          <t>91.21.19-033</t>
        </is>
      </c>
      <c r="C43" s="250" t="inlineStr">
        <is>
          <t>Станки токарно-винторезные</t>
        </is>
      </c>
      <c r="D43" s="251" t="inlineStr">
        <is>
          <t>маш.час</t>
        </is>
      </c>
      <c r="E43" s="326" t="n">
        <v>0.5223449999999999</v>
      </c>
      <c r="F43" s="253" t="n">
        <v>19.76</v>
      </c>
      <c r="G43" s="32">
        <f>ROUND(E43*F43,2)</f>
        <v/>
      </c>
      <c r="H43" s="126">
        <f>G43/$G$46</f>
        <v/>
      </c>
      <c r="I43" s="32">
        <f>ROUND(F43*'Прил. 10'!$D$12,2)</f>
        <v/>
      </c>
      <c r="J43" s="32">
        <f>ROUND(I43*E43,2)</f>
        <v/>
      </c>
    </row>
    <row r="44" hidden="1" outlineLevel="1" ht="14.25" customFormat="1" customHeight="1" s="194">
      <c r="A44" s="251" t="n">
        <v>18</v>
      </c>
      <c r="B44" s="162" t="inlineStr">
        <is>
          <t>91.06.05-011</t>
        </is>
      </c>
      <c r="C44" s="250" t="inlineStr">
        <is>
          <t>Погрузчики, грузоподъемность 5 т</t>
        </is>
      </c>
      <c r="D44" s="251" t="inlineStr">
        <is>
          <t>маш.час</t>
        </is>
      </c>
      <c r="E44" s="326" t="n">
        <v>0.0109969</v>
      </c>
      <c r="F44" s="253" t="n">
        <v>89.98999999999999</v>
      </c>
      <c r="G44" s="32">
        <f>ROUND(E44*F44,2)</f>
        <v/>
      </c>
      <c r="H44" s="126">
        <f>G44/$G$46</f>
        <v/>
      </c>
      <c r="I44" s="32">
        <f>ROUND(F44*'Прил. 10'!$D$12,2)</f>
        <v/>
      </c>
      <c r="J44" s="32">
        <f>ROUND(I44*E44,2)</f>
        <v/>
      </c>
    </row>
    <row r="45" collapsed="1" ht="14.25" customFormat="1" customHeight="1" s="194">
      <c r="A45" s="251" t="n"/>
      <c r="B45" s="251" t="n"/>
      <c r="C45" s="250" t="inlineStr">
        <is>
          <t>Итого прочие машины и механизмы</t>
        </is>
      </c>
      <c r="D45" s="251" t="n"/>
      <c r="E45" s="252" t="n"/>
      <c r="F45" s="32" t="n"/>
      <c r="G45" s="125">
        <f>SUM(G34:G44)</f>
        <v/>
      </c>
      <c r="H45" s="126">
        <f>G45/G46</f>
        <v/>
      </c>
      <c r="I45" s="32" t="n"/>
      <c r="J45" s="32">
        <f>SUM(J34:J44)</f>
        <v/>
      </c>
    </row>
    <row r="46" ht="25.5" customFormat="1" customHeight="1" s="194">
      <c r="A46" s="251" t="n"/>
      <c r="B46" s="251" t="n"/>
      <c r="C46" s="249" t="inlineStr">
        <is>
          <t>Итого по разделу «Машины и механизмы»</t>
        </is>
      </c>
      <c r="D46" s="251" t="n"/>
      <c r="E46" s="252" t="n"/>
      <c r="F46" s="32" t="n"/>
      <c r="G46" s="32">
        <f>G45+G33</f>
        <v/>
      </c>
      <c r="H46" s="127" t="n">
        <v>1</v>
      </c>
      <c r="I46" s="128" t="n"/>
      <c r="J46" s="129">
        <f>J45+J33</f>
        <v/>
      </c>
    </row>
    <row r="47" ht="14.25" customFormat="1" customHeight="1" s="194">
      <c r="A47" s="251" t="n"/>
      <c r="B47" s="249" t="inlineStr">
        <is>
          <t>Оборудование</t>
        </is>
      </c>
      <c r="C47" s="321" t="n"/>
      <c r="D47" s="321" t="n"/>
      <c r="E47" s="321" t="n"/>
      <c r="F47" s="321" t="n"/>
      <c r="G47" s="321" t="n"/>
      <c r="H47" s="322" t="n"/>
      <c r="I47" s="123" t="n"/>
      <c r="J47" s="123" t="n"/>
    </row>
    <row r="48">
      <c r="A48" s="251" t="n"/>
      <c r="B48" s="250" t="inlineStr">
        <is>
          <t>Основное оборудование</t>
        </is>
      </c>
      <c r="C48" s="321" t="n"/>
      <c r="D48" s="321" t="n"/>
      <c r="E48" s="321" t="n"/>
      <c r="F48" s="321" t="n"/>
      <c r="G48" s="321" t="n"/>
      <c r="H48" s="322" t="n"/>
      <c r="I48" s="123" t="n"/>
      <c r="J48" s="123" t="n"/>
    </row>
    <row r="49" ht="25.5" customFormat="1" customHeight="1" s="194">
      <c r="A49" s="251" t="n">
        <v>19</v>
      </c>
      <c r="B49" s="251" t="inlineStr">
        <is>
          <t>Стоимость из ОП</t>
        </is>
      </c>
      <c r="C49" s="250" t="inlineStr">
        <is>
          <t>Модуль  К2-1 МП (60-160-50) ЭмР-ЭМП на раме в комплекте</t>
        </is>
      </c>
      <c r="D49" s="251" t="inlineStr">
        <is>
          <t>к-т</t>
        </is>
      </c>
      <c r="E49" s="328" t="n">
        <v>1</v>
      </c>
      <c r="F49" s="253" t="n">
        <v>259933.87</v>
      </c>
      <c r="G49" s="32">
        <f>ROUND(E49*F49,2)</f>
        <v/>
      </c>
      <c r="H49" s="126">
        <f>G49/$G$90</f>
        <v/>
      </c>
      <c r="I49" s="32">
        <f>ROUND(F49*'Прил. 10'!$D$14,2)</f>
        <v/>
      </c>
      <c r="J49" s="32">
        <f>ROUND(I49*E49,2)</f>
        <v/>
      </c>
    </row>
    <row r="50" ht="14.25" customFormat="1" customHeight="1" s="194">
      <c r="A50" s="251" t="n">
        <v>20</v>
      </c>
      <c r="B50" s="251" t="inlineStr">
        <is>
          <t>01.3.02.11-0022</t>
        </is>
      </c>
      <c r="C50" s="250" t="inlineStr">
        <is>
          <t>Фреон</t>
        </is>
      </c>
      <c r="D50" s="251" t="inlineStr">
        <is>
          <t>т</t>
        </is>
      </c>
      <c r="E50" s="328" t="n">
        <v>3.7489890350877</v>
      </c>
      <c r="F50" s="253" t="n">
        <v>68400</v>
      </c>
      <c r="G50" s="32">
        <f>G51+G52</f>
        <v/>
      </c>
      <c r="H50" s="126">
        <f>G50/$G$90</f>
        <v/>
      </c>
      <c r="I50" s="32">
        <f>ROUND(F50*'Прил. 10'!$D$14,2)</f>
        <v/>
      </c>
      <c r="J50" s="32">
        <f>ROUND(I50*E50,2)</f>
        <v/>
      </c>
    </row>
    <row r="51" hidden="1" outlineLevel="1" ht="14.25" customFormat="1" customHeight="1" s="194">
      <c r="A51" s="251" t="n"/>
      <c r="B51" s="251" t="inlineStr">
        <is>
          <t>01.3.02.11-0022</t>
        </is>
      </c>
      <c r="C51" s="250" t="inlineStr">
        <is>
          <t>Фреон</t>
        </is>
      </c>
      <c r="D51" s="251" t="inlineStr">
        <is>
          <t>т</t>
        </is>
      </c>
      <c r="E51" s="328" t="n">
        <v>3.74</v>
      </c>
      <c r="F51" s="253" t="n">
        <v>68400</v>
      </c>
      <c r="G51" s="32">
        <f>ROUND(E51*F51,2)</f>
        <v/>
      </c>
      <c r="H51" s="126">
        <f>G51/$G$90</f>
        <v/>
      </c>
      <c r="I51" s="32">
        <f>ROUND(F51*'Прил. 10'!$D$14,2)</f>
        <v/>
      </c>
      <c r="J51" s="32">
        <f>ROUND(I51*E51,2)</f>
        <v/>
      </c>
    </row>
    <row r="52" hidden="1" outlineLevel="1" ht="14.25" customFormat="1" customHeight="1" s="194">
      <c r="A52" s="251" t="n"/>
      <c r="B52" s="251" t="inlineStr">
        <is>
          <t>01.3.02.11-0023</t>
        </is>
      </c>
      <c r="C52" s="250" t="inlineStr">
        <is>
          <t>Фреон R410A (разовый баллон 11,30 кг)</t>
        </is>
      </c>
      <c r="D52" s="251" t="inlineStr">
        <is>
          <t>шт</t>
        </is>
      </c>
      <c r="E52" s="328" t="n">
        <v>1</v>
      </c>
      <c r="F52" s="253" t="n">
        <v>614.85</v>
      </c>
      <c r="G52" s="32">
        <f>ROUND(E52*F52,2)</f>
        <v/>
      </c>
      <c r="H52" s="126">
        <f>G52/$G$90</f>
        <v/>
      </c>
      <c r="I52" s="32">
        <f>ROUND(F52*'Прил. 10'!$D$14,2)</f>
        <v/>
      </c>
      <c r="J52" s="32">
        <f>ROUND(I52*E52,2)</f>
        <v/>
      </c>
    </row>
    <row r="53" collapsed="1" ht="14.25" customFormat="1" customHeight="1" s="194">
      <c r="A53" s="251" t="n">
        <v>21</v>
      </c>
      <c r="B53" s="251" t="inlineStr">
        <is>
          <t>Стоимость из ОП</t>
        </is>
      </c>
      <c r="C53" s="250" t="inlineStr">
        <is>
          <t>Модуль  1 МП (60-160-50) запас</t>
        </is>
      </c>
      <c r="D53" s="251" t="inlineStr">
        <is>
          <t>к-т</t>
        </is>
      </c>
      <c r="E53" s="328" t="n">
        <v>8</v>
      </c>
      <c r="F53" s="253" t="n">
        <v>26987.96</v>
      </c>
      <c r="G53" s="32">
        <f>ROUND(E53*F53,2)</f>
        <v/>
      </c>
      <c r="H53" s="126">
        <f>G53/$G$90</f>
        <v/>
      </c>
      <c r="I53" s="32">
        <f>ROUND(F53*'Прил. 10'!$D$14,2)</f>
        <v/>
      </c>
      <c r="J53" s="32">
        <f>ROUND(I53*E53,2)</f>
        <v/>
      </c>
    </row>
    <row r="54" ht="25.5" customFormat="1" customHeight="1" s="194">
      <c r="A54" s="251" t="n">
        <v>22</v>
      </c>
      <c r="B54" s="251" t="inlineStr">
        <is>
          <t>Стоимость из ОП</t>
        </is>
      </c>
      <c r="C54" s="250" t="inlineStr">
        <is>
          <t>Модуль  К2-1 МП (60-100-50) ЭмР-ЭМП на раме в комплекте</t>
        </is>
      </c>
      <c r="D54" s="251" t="inlineStr">
        <is>
          <t>к-т</t>
        </is>
      </c>
      <c r="E54" s="328" t="n">
        <v>3</v>
      </c>
      <c r="F54" s="253" t="n">
        <v>51888.96</v>
      </c>
      <c r="G54" s="32">
        <f>ROUND(E54*F54,2)</f>
        <v/>
      </c>
      <c r="H54" s="126">
        <f>G54/$G$90</f>
        <v/>
      </c>
      <c r="I54" s="32">
        <f>ROUND(F54*'Прил. 10'!$D$14,2)</f>
        <v/>
      </c>
      <c r="J54" s="32">
        <f>ROUND(I54*E54,2)</f>
        <v/>
      </c>
    </row>
    <row r="55" ht="14.25" customFormat="1" customHeight="1" s="194">
      <c r="A55" s="251" t="n">
        <v>23</v>
      </c>
      <c r="B55" s="251" t="inlineStr">
        <is>
          <t>Стоимость из ОП</t>
        </is>
      </c>
      <c r="C55" s="250" t="inlineStr">
        <is>
          <t>Модуль  1 МП (60-100-50) запас</t>
        </is>
      </c>
      <c r="D55" s="251" t="inlineStr">
        <is>
          <t>к-т</t>
        </is>
      </c>
      <c r="E55" s="328" t="n">
        <v>6</v>
      </c>
      <c r="F55" s="253" t="n">
        <v>19543.01</v>
      </c>
      <c r="G55" s="32">
        <f>ROUND(E55*F55,2)</f>
        <v/>
      </c>
      <c r="H55" s="126">
        <f>G55/$G$90</f>
        <v/>
      </c>
      <c r="I55" s="32">
        <f>ROUND(F55*'Прил. 10'!$D$14,2)</f>
        <v/>
      </c>
      <c r="J55" s="32">
        <f>ROUND(I55*E55,2)</f>
        <v/>
      </c>
    </row>
    <row r="56" ht="25.5" customFormat="1" customHeight="1" s="194">
      <c r="A56" s="251" t="n">
        <v>24</v>
      </c>
      <c r="B56" s="251" t="inlineStr">
        <is>
          <t>Стоимость из ОП</t>
        </is>
      </c>
      <c r="C56" s="250" t="inlineStr">
        <is>
          <t>Модуль  К2-1 МП (60-60-50) ЭмР-ЭМП на раме в комплекте</t>
        </is>
      </c>
      <c r="D56" s="251" t="inlineStr">
        <is>
          <t>к-т</t>
        </is>
      </c>
      <c r="E56" s="328" t="n">
        <v>2</v>
      </c>
      <c r="F56" s="253" t="n">
        <v>42129.34</v>
      </c>
      <c r="G56" s="32">
        <f>ROUND(E56*F56,2)</f>
        <v/>
      </c>
      <c r="H56" s="126">
        <f>G56/$G$90</f>
        <v/>
      </c>
      <c r="I56" s="32">
        <f>ROUND(F56*'Прил. 10'!$D$14,2)</f>
        <v/>
      </c>
      <c r="J56" s="32">
        <f>ROUND(I56*E56,2)</f>
        <v/>
      </c>
    </row>
    <row r="57" ht="38.25" customFormat="1" customHeight="1" s="194">
      <c r="A57" s="251" t="n">
        <v>25</v>
      </c>
      <c r="B57" s="251" t="inlineStr">
        <is>
          <t>61.2.02.01-1004</t>
        </is>
      </c>
      <c r="C57" s="250" t="inlineStr">
        <is>
          <t>Извещатель пожарный дымовой ДИП-34А (ИП 212-34А) оптико-электронный адресно-аналоговый в комплекте с базой (розеткой)</t>
        </is>
      </c>
      <c r="D57" s="251" t="inlineStr">
        <is>
          <t>шт</t>
        </is>
      </c>
      <c r="E57" s="328" t="n">
        <v>635.36851</v>
      </c>
      <c r="F57" s="253" t="n">
        <v>116.52</v>
      </c>
      <c r="G57" s="32">
        <f>G58+G59</f>
        <v/>
      </c>
      <c r="H57" s="126">
        <f>G57/$G$90</f>
        <v/>
      </c>
      <c r="I57" s="32">
        <f>ROUND(F57*'Прил. 10'!$D$14,2)</f>
        <v/>
      </c>
      <c r="J57" s="32">
        <f>ROUND(I57*E57,2)</f>
        <v/>
      </c>
    </row>
    <row r="58" hidden="1" outlineLevel="1" ht="38.25" customFormat="1" customHeight="1" s="194">
      <c r="A58" s="251" t="n"/>
      <c r="B58" s="251" t="inlineStr">
        <is>
          <t>61.2.02.01-1004</t>
        </is>
      </c>
      <c r="C58" s="250" t="inlineStr">
        <is>
          <t>Извещатель пожарный дымовой ДИП-34А (ИП 212-34А) оптико-электронный адресно-аналоговый в комплекте с базой (розеткой)</t>
        </is>
      </c>
      <c r="D58" s="251" t="inlineStr">
        <is>
          <t>шт</t>
        </is>
      </c>
      <c r="E58" s="328" t="n">
        <v>457</v>
      </c>
      <c r="F58" s="253" t="n">
        <v>116.52</v>
      </c>
      <c r="G58" s="32">
        <f>ROUND(E58*F58,2)</f>
        <v/>
      </c>
      <c r="H58" s="126">
        <f>G58/$G$90</f>
        <v/>
      </c>
      <c r="I58" s="32">
        <f>ROUND(F58*'Прил. 10'!$D$14,2)</f>
        <v/>
      </c>
      <c r="J58" s="32">
        <f>ROUND(I58*E58,2)</f>
        <v/>
      </c>
    </row>
    <row r="59" hidden="1" outlineLevel="1" ht="14.25" customFormat="1" customHeight="1" s="194">
      <c r="A59" s="251" t="n"/>
      <c r="B59" s="251" t="inlineStr">
        <is>
          <t>61.2.02.01-0095</t>
        </is>
      </c>
      <c r="C59" s="250" t="inlineStr">
        <is>
          <t>Извещатель пожарный дымовой: ИПДЛ</t>
        </is>
      </c>
      <c r="D59" s="251" t="inlineStr">
        <is>
          <t>10 шт</t>
        </is>
      </c>
      <c r="E59" s="328" t="n">
        <v>6</v>
      </c>
      <c r="F59" s="253" t="n">
        <v>3463.94</v>
      </c>
      <c r="G59" s="32">
        <f>ROUND(E59*F59,2)</f>
        <v/>
      </c>
      <c r="H59" s="126">
        <f>G59/$G$90</f>
        <v/>
      </c>
      <c r="I59" s="32">
        <f>ROUND(F59*'Прил. 10'!$D$14,2)</f>
        <v/>
      </c>
      <c r="J59" s="32">
        <f>ROUND(I59*E59,2)</f>
        <v/>
      </c>
    </row>
    <row r="60" collapsed="1" s="197">
      <c r="A60" s="251" t="n"/>
      <c r="B60" s="251" t="n"/>
      <c r="C60" s="250" t="inlineStr">
        <is>
          <t>Итого основное оборудование</t>
        </is>
      </c>
      <c r="D60" s="251" t="n"/>
      <c r="E60" s="326" t="n"/>
      <c r="F60" s="253" t="n"/>
      <c r="G60" s="32">
        <f>G49+G53+G54+G55+G56+G57+G50</f>
        <v/>
      </c>
      <c r="H60" s="126">
        <f>G60/$G$90</f>
        <v/>
      </c>
      <c r="I60" s="125" t="n"/>
      <c r="J60" s="32">
        <f>J49+J53+J54+J55+J56+J57+J50</f>
        <v/>
      </c>
    </row>
    <row r="61" hidden="1" outlineLevel="1" ht="14.25" customFormat="1" customHeight="1" s="194">
      <c r="A61" s="251" t="n">
        <v>26</v>
      </c>
      <c r="B61" s="251" t="inlineStr">
        <is>
          <t>Прайс из СД ОП</t>
        </is>
      </c>
      <c r="C61" s="250" t="inlineStr">
        <is>
          <t>Модуль  1 МП (60-60-50) запас</t>
        </is>
      </c>
      <c r="D61" s="251" t="inlineStr">
        <is>
          <t>к-т</t>
        </is>
      </c>
      <c r="E61" s="328" t="n">
        <v>4</v>
      </c>
      <c r="F61" s="253" t="n">
        <v>17978.77</v>
      </c>
      <c r="G61" s="32">
        <f>ROUND(E61*F61,2)</f>
        <v/>
      </c>
      <c r="H61" s="126">
        <f>G61/$G$90</f>
        <v/>
      </c>
      <c r="I61" s="32">
        <f>ROUND(F61*'Прил. 10'!$D$14,2)</f>
        <v/>
      </c>
      <c r="J61" s="32">
        <f>ROUND(I61*E61,2)</f>
        <v/>
      </c>
    </row>
    <row r="62" hidden="1" outlineLevel="1" ht="63.75" customFormat="1" customHeight="1" s="194">
      <c r="A62" s="251" t="n">
        <v>27</v>
      </c>
      <c r="B62" s="251" t="inlineStr">
        <is>
          <t>19.3.01.05-0033</t>
        </is>
      </c>
      <c r="C62" s="250" t="inlineStr">
        <is>
          <t>Клапаны обратные для регулирования воздушных потоков в вентиляционных системах во взрывобезопасном исполнении из горячекатаной стали, тип АЗЕ 101, диаметр 800 мм</t>
        </is>
      </c>
      <c r="D62" s="251" t="inlineStr">
        <is>
          <t>шт</t>
        </is>
      </c>
      <c r="E62" s="328" t="n">
        <v>6</v>
      </c>
      <c r="F62" s="253" t="n">
        <v>1958.38</v>
      </c>
      <c r="G62" s="32">
        <f>ROUND(E62*F62,2)</f>
        <v/>
      </c>
      <c r="H62" s="126">
        <f>G62/$G$90</f>
        <v/>
      </c>
      <c r="I62" s="32">
        <f>ROUND(F62*'Прил. 10'!$D$14,2)</f>
        <v/>
      </c>
      <c r="J62" s="32">
        <f>ROUND(I62*E62,2)</f>
        <v/>
      </c>
    </row>
    <row r="63" hidden="1" outlineLevel="1" ht="25.5" customFormat="1" customHeight="1" s="194">
      <c r="A63" s="251" t="n">
        <v>28</v>
      </c>
      <c r="B63" s="251" t="inlineStr">
        <is>
          <t>61.2.02.03-0025</t>
        </is>
      </c>
      <c r="C63" s="250" t="inlineStr">
        <is>
          <t>Извещатель пожарный ручной: ИПР-513-3 исп. 02</t>
        </is>
      </c>
      <c r="D63" s="251" t="inlineStr">
        <is>
          <t>10 шт</t>
        </is>
      </c>
      <c r="E63" s="328" t="n">
        <v>24</v>
      </c>
      <c r="F63" s="253" t="n">
        <v>410.04</v>
      </c>
      <c r="G63" s="32">
        <f>ROUND(E63*F63,2)</f>
        <v/>
      </c>
      <c r="H63" s="126">
        <f>G63/$G$90</f>
        <v/>
      </c>
      <c r="I63" s="32">
        <f>ROUND(F63*'Прил. 10'!$D$14,2)</f>
        <v/>
      </c>
      <c r="J63" s="32">
        <f>ROUND(I63*E63,2)</f>
        <v/>
      </c>
    </row>
    <row r="64" hidden="1" outlineLevel="1" ht="14.25" customFormat="1" customHeight="1" s="194">
      <c r="A64" s="251" t="n">
        <v>29</v>
      </c>
      <c r="B64" s="251" t="inlineStr">
        <is>
          <t>Прайс из СД ОП</t>
        </is>
      </c>
      <c r="C64" s="250" t="inlineStr">
        <is>
          <t>Коллектор на 8модуля 1МП (60-60-50)</t>
        </is>
      </c>
      <c r="D64" s="251" t="inlineStr">
        <is>
          <t>к-т</t>
        </is>
      </c>
      <c r="E64" s="328" t="n">
        <v>1</v>
      </c>
      <c r="F64" s="253" t="n">
        <v>9028.99</v>
      </c>
      <c r="G64" s="32">
        <f>ROUND(E64*F64,2)</f>
        <v/>
      </c>
      <c r="H64" s="126">
        <f>G64/$G$90</f>
        <v/>
      </c>
      <c r="I64" s="32">
        <f>ROUND(F64*'Прил. 10'!$D$14,2)</f>
        <v/>
      </c>
      <c r="J64" s="32">
        <f>ROUND(I64*E64,2)</f>
        <v/>
      </c>
    </row>
    <row r="65" hidden="1" outlineLevel="1" ht="38.25" customFormat="1" customHeight="1" s="194">
      <c r="A65" s="251" t="n">
        <v>30</v>
      </c>
      <c r="B65" s="251" t="inlineStr">
        <is>
          <t>61.2.04.05-0018</t>
        </is>
      </c>
      <c r="C65" s="250" t="inlineStr">
        <is>
          <t>Оповещатель охранно-пожарный звуковой, тип СВИРЕЛЬ-2 исп.00 6-15В/600мА</t>
        </is>
      </c>
      <c r="D65" s="251" t="inlineStr">
        <is>
          <t>шт</t>
        </is>
      </c>
      <c r="E65" s="328" t="n">
        <v>38</v>
      </c>
      <c r="F65" s="253" t="n">
        <v>187</v>
      </c>
      <c r="G65" s="32">
        <f>ROUND(E65*F65,2)</f>
        <v/>
      </c>
      <c r="H65" s="126">
        <f>G65/$G$90</f>
        <v/>
      </c>
      <c r="I65" s="32">
        <f>ROUND(F65*'Прил. 10'!$D$14,2)</f>
        <v/>
      </c>
      <c r="J65" s="32">
        <f>ROUND(I65*E65,2)</f>
        <v/>
      </c>
    </row>
    <row r="66" hidden="1" outlineLevel="1" ht="14.25" customFormat="1" customHeight="1" s="194">
      <c r="A66" s="251" t="n">
        <v>31</v>
      </c>
      <c r="B66" s="251" t="inlineStr">
        <is>
          <t>Прайс из СД ОП</t>
        </is>
      </c>
      <c r="C66" s="250" t="inlineStr">
        <is>
          <t>Насадок НГ-3.1-1/2 В латунный с муфтой</t>
        </is>
      </c>
      <c r="D66" s="251" t="inlineStr">
        <is>
          <t>к-т</t>
        </is>
      </c>
      <c r="E66" s="328" t="n">
        <v>28</v>
      </c>
      <c r="F66" s="253" t="n">
        <v>218.79</v>
      </c>
      <c r="G66" s="32">
        <f>ROUND(E66*F66,2)</f>
        <v/>
      </c>
      <c r="H66" s="126">
        <f>G66/$G$90</f>
        <v/>
      </c>
      <c r="I66" s="32">
        <f>ROUND(F66*'Прил. 10'!$D$14,2)</f>
        <v/>
      </c>
      <c r="J66" s="32">
        <f>ROUND(I66*E66,2)</f>
        <v/>
      </c>
    </row>
    <row r="67" hidden="1" outlineLevel="1" ht="38.25" customFormat="1" customHeight="1" s="194">
      <c r="A67" s="251" t="n">
        <v>32</v>
      </c>
      <c r="B67" s="251" t="inlineStr">
        <is>
          <t>61.2.07.06-0006</t>
        </is>
      </c>
      <c r="C67" s="250" t="inlineStr">
        <is>
          <t>Расширитель адресный на восемь шлейфов с контролем на замыкание и обрыв</t>
        </is>
      </c>
      <c r="D67" s="251" t="inlineStr">
        <is>
          <t>шт</t>
        </is>
      </c>
      <c r="E67" s="328" t="n">
        <v>31</v>
      </c>
      <c r="F67" s="253" t="n">
        <v>182.89</v>
      </c>
      <c r="G67" s="32">
        <f>ROUND(E67*F67,2)</f>
        <v/>
      </c>
      <c r="H67" s="126">
        <f>G67/$G$90</f>
        <v/>
      </c>
      <c r="I67" s="32">
        <f>ROUND(F67*'Прил. 10'!$D$14,2)</f>
        <v/>
      </c>
      <c r="J67" s="32">
        <f>ROUND(I67*E67,2)</f>
        <v/>
      </c>
    </row>
    <row r="68" hidden="1" outlineLevel="1" ht="14.25" customFormat="1" customHeight="1" s="194">
      <c r="A68" s="251" t="n">
        <v>33</v>
      </c>
      <c r="B68" s="251" t="inlineStr">
        <is>
          <t>Прайс из СД ОП</t>
        </is>
      </c>
      <c r="C68" s="250" t="inlineStr">
        <is>
          <t>Насадок НГ-2.1-1 В латунный с муфтой</t>
        </is>
      </c>
      <c r="D68" s="251" t="inlineStr">
        <is>
          <t>к-т</t>
        </is>
      </c>
      <c r="E68" s="328" t="n">
        <v>26</v>
      </c>
      <c r="F68" s="253" t="n">
        <v>213.84</v>
      </c>
      <c r="G68" s="32">
        <f>ROUND(E68*F68,2)</f>
        <v/>
      </c>
      <c r="H68" s="126">
        <f>G68/$G$90</f>
        <v/>
      </c>
      <c r="I68" s="32">
        <f>ROUND(F68*'Прил. 10'!$D$14,2)</f>
        <v/>
      </c>
      <c r="J68" s="32">
        <f>ROUND(I68*E68,2)</f>
        <v/>
      </c>
    </row>
    <row r="69" hidden="1" outlineLevel="1" ht="38.25" customFormat="1" customHeight="1" s="194">
      <c r="A69" s="251" t="n">
        <v>34</v>
      </c>
      <c r="B69" s="251" t="inlineStr">
        <is>
          <t>18.4.01.01-0023</t>
        </is>
      </c>
      <c r="C69" s="250" t="inlineStr">
        <is>
          <t>Баллоны стальные для газов, рабочее давление до 19,6 МПа, (200 кг/см2), объем 40 л</t>
        </is>
      </c>
      <c r="D69" s="251" t="inlineStr">
        <is>
          <t>шт</t>
        </is>
      </c>
      <c r="E69" s="328" t="n">
        <v>6</v>
      </c>
      <c r="F69" s="253" t="n">
        <v>809.71</v>
      </c>
      <c r="G69" s="32">
        <f>ROUND(E69*F69,2)</f>
        <v/>
      </c>
      <c r="H69" s="126">
        <f>G69/$G$90</f>
        <v/>
      </c>
      <c r="I69" s="32">
        <f>ROUND(F69*'Прил. 10'!$D$14,2)</f>
        <v/>
      </c>
      <c r="J69" s="32">
        <f>ROUND(I69*E69,2)</f>
        <v/>
      </c>
    </row>
    <row r="70" hidden="1" outlineLevel="1" ht="14.25" customFormat="1" customHeight="1" s="194">
      <c r="A70" s="251" t="n">
        <v>35</v>
      </c>
      <c r="B70" s="251" t="inlineStr">
        <is>
          <t>Прайс из СД ОП</t>
        </is>
      </c>
      <c r="C70" s="250" t="inlineStr">
        <is>
          <t>Устройство для взведения</t>
        </is>
      </c>
      <c r="D70" s="251" t="inlineStr">
        <is>
          <t>шт</t>
        </is>
      </c>
      <c r="E70" s="328" t="n">
        <v>6</v>
      </c>
      <c r="F70" s="253" t="n">
        <v>752.42</v>
      </c>
      <c r="G70" s="32">
        <f>ROUND(E70*F70,2)</f>
        <v/>
      </c>
      <c r="H70" s="126">
        <f>G70/$G$90</f>
        <v/>
      </c>
      <c r="I70" s="32">
        <f>ROUND(F70*'Прил. 10'!$D$14,2)</f>
        <v/>
      </c>
      <c r="J70" s="32">
        <f>ROUND(I70*E70,2)</f>
        <v/>
      </c>
    </row>
    <row r="71" hidden="1" outlineLevel="1" ht="14.25" customFormat="1" customHeight="1" s="194">
      <c r="A71" s="251" t="n">
        <v>36</v>
      </c>
      <c r="B71" s="251" t="inlineStr">
        <is>
          <t>Прайс из СД ОП</t>
        </is>
      </c>
      <c r="C71" s="250" t="inlineStr">
        <is>
          <t>Коллектор на 2 модуля 1МП (60-100-50)</t>
        </is>
      </c>
      <c r="D71" s="251" t="inlineStr">
        <is>
          <t>к-т</t>
        </is>
      </c>
      <c r="E71" s="328" t="n">
        <v>2</v>
      </c>
      <c r="F71" s="253" t="n">
        <v>2110.72</v>
      </c>
      <c r="G71" s="32">
        <f>ROUND(E71*F71,2)</f>
        <v/>
      </c>
      <c r="H71" s="126">
        <f>G71/$G$90</f>
        <v/>
      </c>
      <c r="I71" s="32">
        <f>ROUND(F71*'Прил. 10'!$D$14,2)</f>
        <v/>
      </c>
      <c r="J71" s="32">
        <f>ROUND(I71*E71,2)</f>
        <v/>
      </c>
    </row>
    <row r="72" hidden="1" outlineLevel="1" ht="63.75" customFormat="1" customHeight="1" s="194">
      <c r="A72" s="251" t="n">
        <v>37</v>
      </c>
      <c r="B72" s="251" t="inlineStr">
        <is>
          <t>61.2.07.02-0050</t>
        </is>
      </c>
      <c r="C72" s="250" t="inlineStr">
        <is>
          <t>Блок разветвительно-изолирующий, марка "БРИЗ" исп. 01, встраиваемый в розетку адресных извещателей "ДИП-34А", "С2000-ИП", диаметр не более 100 мм, высота не более 15 мм</t>
        </is>
      </c>
      <c r="D72" s="251" t="inlineStr">
        <is>
          <t>10 шт</t>
        </is>
      </c>
      <c r="E72" s="328" t="n">
        <v>6</v>
      </c>
      <c r="F72" s="253" t="n">
        <v>688.2</v>
      </c>
      <c r="G72" s="32">
        <f>ROUND(E72*F72,2)</f>
        <v/>
      </c>
      <c r="H72" s="126">
        <f>G72/$G$90</f>
        <v/>
      </c>
      <c r="I72" s="32">
        <f>ROUND(F72*'Прил. 10'!$D$14,2)</f>
        <v/>
      </c>
      <c r="J72" s="32">
        <f>ROUND(I72*E72,2)</f>
        <v/>
      </c>
    </row>
    <row r="73" hidden="1" outlineLevel="1" ht="14.25" customFormat="1" customHeight="1" s="194">
      <c r="A73" s="251" t="n">
        <v>38</v>
      </c>
      <c r="B73" s="251" t="inlineStr">
        <is>
          <t>Прайс из СД ОП</t>
        </is>
      </c>
      <c r="C73" s="250" t="inlineStr">
        <is>
          <t>Насадок НГ-3.1-3/4 В латунный с муфтой</t>
        </is>
      </c>
      <c r="D73" s="251" t="inlineStr">
        <is>
          <t>к-т</t>
        </is>
      </c>
      <c r="E73" s="328" t="n">
        <v>16</v>
      </c>
      <c r="F73" s="253" t="n">
        <v>249.49</v>
      </c>
      <c r="G73" s="32">
        <f>ROUND(E73*F73,2)</f>
        <v/>
      </c>
      <c r="H73" s="126">
        <f>G73/$G$90</f>
        <v/>
      </c>
      <c r="I73" s="32">
        <f>ROUND(F73*'Прил. 10'!$D$14,2)</f>
        <v/>
      </c>
      <c r="J73" s="32">
        <f>ROUND(I73*E73,2)</f>
        <v/>
      </c>
    </row>
    <row r="74" hidden="1" outlineLevel="1" ht="14.25" customFormat="1" customHeight="1" s="194">
      <c r="A74" s="251" t="n">
        <v>39</v>
      </c>
      <c r="B74" s="251" t="inlineStr">
        <is>
          <t>Прайс из СД ОП</t>
        </is>
      </c>
      <c r="C74" s="250" t="inlineStr">
        <is>
          <t>Насадок НГ-3.1-1 В латунный с муфтой</t>
        </is>
      </c>
      <c r="D74" s="251" t="inlineStr">
        <is>
          <t>к-т</t>
        </is>
      </c>
      <c r="E74" s="328" t="n">
        <v>16</v>
      </c>
      <c r="F74" s="253" t="n">
        <v>218.79</v>
      </c>
      <c r="G74" s="32">
        <f>ROUND(E74*F74,2)</f>
        <v/>
      </c>
      <c r="H74" s="126">
        <f>G74/$G$90</f>
        <v/>
      </c>
      <c r="I74" s="32">
        <f>ROUND(F74*'Прил. 10'!$D$14,2)</f>
        <v/>
      </c>
      <c r="J74" s="32">
        <f>ROUND(I74*E74,2)</f>
        <v/>
      </c>
    </row>
    <row r="75" hidden="1" outlineLevel="1" ht="14.25" customFormat="1" customHeight="1" s="194">
      <c r="A75" s="251" t="n">
        <v>40</v>
      </c>
      <c r="B75" s="251" t="inlineStr">
        <is>
          <t>Прайс из СД ОП</t>
        </is>
      </c>
      <c r="C75" s="250" t="inlineStr">
        <is>
          <t>Коллектор на 2 модуля 1МП (60-60-50)</t>
        </is>
      </c>
      <c r="D75" s="251" t="inlineStr">
        <is>
          <t>к-т</t>
        </is>
      </c>
      <c r="E75" s="328" t="n">
        <v>2</v>
      </c>
      <c r="F75" s="253" t="n">
        <v>1643.43</v>
      </c>
      <c r="G75" s="32">
        <f>ROUND(E75*F75,2)</f>
        <v/>
      </c>
      <c r="H75" s="126">
        <f>G75/$G$90</f>
        <v/>
      </c>
      <c r="I75" s="32">
        <f>ROUND(F75*'Прил. 10'!$D$14,2)</f>
        <v/>
      </c>
      <c r="J75" s="32">
        <f>ROUND(I75*E75,2)</f>
        <v/>
      </c>
    </row>
    <row r="76" hidden="1" outlineLevel="1" ht="14.25" customFormat="1" customHeight="1" s="194">
      <c r="A76" s="251" t="n">
        <v>41</v>
      </c>
      <c r="B76" s="251" t="inlineStr">
        <is>
          <t>62.1.04.01-0003</t>
        </is>
      </c>
      <c r="C76" s="250" t="inlineStr">
        <is>
          <t>Датчик-реле давления ДРД-1, ДРД-6</t>
        </is>
      </c>
      <c r="D76" s="251" t="inlineStr">
        <is>
          <t>шт</t>
        </is>
      </c>
      <c r="E76" s="328" t="n">
        <v>7</v>
      </c>
      <c r="F76" s="253" t="n">
        <v>422.41</v>
      </c>
      <c r="G76" s="32">
        <f>ROUND(E76*F76,2)</f>
        <v/>
      </c>
      <c r="H76" s="126">
        <f>G76/$G$90</f>
        <v/>
      </c>
      <c r="I76" s="32">
        <f>ROUND(F76*'Прил. 10'!$D$14,2)</f>
        <v/>
      </c>
      <c r="J76" s="32">
        <f>ROUND(I76*E76,2)</f>
        <v/>
      </c>
    </row>
    <row r="77" hidden="1" outlineLevel="1" ht="51" customFormat="1" customHeight="1" s="194">
      <c r="A77" s="251" t="n">
        <v>42</v>
      </c>
      <c r="B77" s="251" t="inlineStr">
        <is>
          <t>23.8.02.01-0005</t>
        </is>
      </c>
      <c r="C77" s="250" t="inlineStr">
        <is>
          <t>Заглушка трубопровода стальная изолированная пенополиуретаном в полиэтиленовой оболочке, наружный диаметр 76 мм, диаметр изоляции 160 мм</t>
        </is>
      </c>
      <c r="D77" s="251" t="inlineStr">
        <is>
          <t>шт</t>
        </is>
      </c>
      <c r="E77" s="328" t="n">
        <v>17</v>
      </c>
      <c r="F77" s="253" t="n">
        <v>168.8</v>
      </c>
      <c r="G77" s="32">
        <f>ROUND(E77*F77,2)</f>
        <v/>
      </c>
      <c r="H77" s="126">
        <f>G77/$G$90</f>
        <v/>
      </c>
      <c r="I77" s="32">
        <f>ROUND(F77*'Прил. 10'!$D$14,2)</f>
        <v/>
      </c>
      <c r="J77" s="32">
        <f>ROUND(I77*E77,2)</f>
        <v/>
      </c>
    </row>
    <row r="78" hidden="1" outlineLevel="1" ht="25.5" customFormat="1" customHeight="1" s="194">
      <c r="A78" s="251" t="n">
        <v>43</v>
      </c>
      <c r="B78" s="251" t="inlineStr">
        <is>
          <t>Прайс из СД ОП</t>
        </is>
      </c>
      <c r="C78" s="250" t="inlineStr">
        <is>
          <t>Комплект деталей для принудительного пуска (В481-8/650)</t>
        </is>
      </c>
      <c r="D78" s="251" t="inlineStr">
        <is>
          <t>к-т</t>
        </is>
      </c>
      <c r="E78" s="328" t="n">
        <v>2</v>
      </c>
      <c r="F78" s="253" t="n">
        <v>1073.18</v>
      </c>
      <c r="G78" s="32">
        <f>ROUND(E78*F78,2)</f>
        <v/>
      </c>
      <c r="H78" s="126">
        <f>G78/$G$90</f>
        <v/>
      </c>
      <c r="I78" s="32">
        <f>ROUND(F78*'Прил. 10'!$D$14,2)</f>
        <v/>
      </c>
      <c r="J78" s="32">
        <f>ROUND(I78*E78,2)</f>
        <v/>
      </c>
    </row>
    <row r="79" hidden="1" outlineLevel="1" ht="25.5" customFormat="1" customHeight="1" s="194">
      <c r="A79" s="251" t="n">
        <v>44</v>
      </c>
      <c r="B79" s="251" t="inlineStr">
        <is>
          <t>61.2.07.02-0034</t>
        </is>
      </c>
      <c r="C79" s="250" t="inlineStr">
        <is>
          <t>Блок контрольно-пусковой, марка "С2000-КПБ"</t>
        </is>
      </c>
      <c r="D79" s="251" t="inlineStr">
        <is>
          <t>шт</t>
        </is>
      </c>
      <c r="E79" s="328" t="n">
        <v>6</v>
      </c>
      <c r="F79" s="253" t="n">
        <v>243.85</v>
      </c>
      <c r="G79" s="32">
        <f>ROUND(E79*F79,2)</f>
        <v/>
      </c>
      <c r="H79" s="126">
        <f>G79/$G$90</f>
        <v/>
      </c>
      <c r="I79" s="32">
        <f>ROUND(F79*'Прил. 10'!$D$14,2)</f>
        <v/>
      </c>
      <c r="J79" s="32">
        <f>ROUND(I79*E79,2)</f>
        <v/>
      </c>
    </row>
    <row r="80" hidden="1" outlineLevel="1" ht="14.25" customFormat="1" customHeight="1" s="194">
      <c r="A80" s="251" t="n">
        <v>45</v>
      </c>
      <c r="B80" s="251" t="inlineStr">
        <is>
          <t>61.2.04.07-0008</t>
        </is>
      </c>
      <c r="C80" s="250" t="inlineStr">
        <is>
          <t>Оповещатель световой МОЛНИЯ-12(24)</t>
        </is>
      </c>
      <c r="D80" s="251" t="inlineStr">
        <is>
          <t>шт</t>
        </is>
      </c>
      <c r="E80" s="328" t="n">
        <v>38</v>
      </c>
      <c r="F80" s="253" t="n">
        <v>38.38</v>
      </c>
      <c r="G80" s="32">
        <f>ROUND(E80*F80,2)</f>
        <v/>
      </c>
      <c r="H80" s="126">
        <f>G80/$G$90</f>
        <v/>
      </c>
      <c r="I80" s="32">
        <f>ROUND(F80*'Прил. 10'!$D$14,2)</f>
        <v/>
      </c>
      <c r="J80" s="32">
        <f>ROUND(I80*E80,2)</f>
        <v/>
      </c>
    </row>
    <row r="81" hidden="1" outlineLevel="1" ht="14.25" customFormat="1" customHeight="1" s="194">
      <c r="A81" s="251" t="n">
        <v>46</v>
      </c>
      <c r="B81" s="251" t="inlineStr">
        <is>
          <t>Прайс из СД ОП</t>
        </is>
      </c>
      <c r="C81" s="250" t="inlineStr">
        <is>
          <t>Насадок НГ-2.1-3/4 В латунный с муфтой</t>
        </is>
      </c>
      <c r="D81" s="251" t="inlineStr">
        <is>
          <t>к-т</t>
        </is>
      </c>
      <c r="E81" s="328" t="n">
        <v>6</v>
      </c>
      <c r="F81" s="253" t="n">
        <v>213.84</v>
      </c>
      <c r="G81" s="32">
        <f>ROUND(E81*F81,2)</f>
        <v/>
      </c>
      <c r="H81" s="126">
        <f>G81/$G$90</f>
        <v/>
      </c>
      <c r="I81" s="32">
        <f>ROUND(F81*'Прил. 10'!$D$14,2)</f>
        <v/>
      </c>
      <c r="J81" s="32">
        <f>ROUND(I81*E81,2)</f>
        <v/>
      </c>
    </row>
    <row r="82" hidden="1" outlineLevel="1" ht="51" customFormat="1" customHeight="1" s="194">
      <c r="A82" s="251" t="n">
        <v>47</v>
      </c>
      <c r="B82" s="251" t="inlineStr">
        <is>
          <t>61.2.07.02-0035</t>
        </is>
      </c>
      <c r="C82" s="250" t="inlineStr">
        <is>
          <t>Шкаф контрольно-пусковой для систем пожаротушения и дымоудаления, мощность управляемой нагрузки 10 кВт, номинальный коммутируемый ток 25 А</t>
        </is>
      </c>
      <c r="D82" s="251" t="inlineStr">
        <is>
          <t>шт</t>
        </is>
      </c>
      <c r="E82" s="328" t="n">
        <v>3</v>
      </c>
      <c r="F82" s="253" t="n">
        <v>396.74</v>
      </c>
      <c r="G82" s="32">
        <f>ROUND(E82*F82,2)</f>
        <v/>
      </c>
      <c r="H82" s="126">
        <f>G82/$G$90</f>
        <v/>
      </c>
      <c r="I82" s="32">
        <f>ROUND(F82*'Прил. 10'!$D$14,2)</f>
        <v/>
      </c>
      <c r="J82" s="32">
        <f>ROUND(I82*E82,2)</f>
        <v/>
      </c>
    </row>
    <row r="83" hidden="1" outlineLevel="1" ht="25.5" customFormat="1" customHeight="1" s="194">
      <c r="A83" s="251" t="n">
        <v>48</v>
      </c>
      <c r="B83" s="251" t="inlineStr">
        <is>
          <t>Прайс из СД ОП</t>
        </is>
      </c>
      <c r="C83" s="250" t="inlineStr">
        <is>
          <t>Комплект деталей для принудительного пуска (В481-2/650)</t>
        </is>
      </c>
      <c r="D83" s="251" t="inlineStr">
        <is>
          <t>к-т</t>
        </is>
      </c>
      <c r="E83" s="328" t="n">
        <v>3</v>
      </c>
      <c r="F83" s="253" t="n">
        <v>279.19</v>
      </c>
      <c r="G83" s="32">
        <f>ROUND(E83*F83,2)</f>
        <v/>
      </c>
      <c r="H83" s="126">
        <f>G83/$G$90</f>
        <v/>
      </c>
      <c r="I83" s="32">
        <f>ROUND(F83*'Прил. 10'!$D$14,2)</f>
        <v/>
      </c>
      <c r="J83" s="32">
        <f>ROUND(I83*E83,2)</f>
        <v/>
      </c>
    </row>
    <row r="84" hidden="1" outlineLevel="1" ht="38.25" customFormat="1" customHeight="1" s="194">
      <c r="A84" s="251" t="n">
        <v>49</v>
      </c>
      <c r="B84" s="251" t="inlineStr">
        <is>
          <t>61.2.04.10-0004</t>
        </is>
      </c>
      <c r="C84" s="250" t="inlineStr">
        <is>
          <t>Пульт контроля и управления охранно-пожарный с двухстрочным ЖК индикатором</t>
        </is>
      </c>
      <c r="D84" s="251" t="inlineStr">
        <is>
          <t>шт</t>
        </is>
      </c>
      <c r="E84" s="328" t="n">
        <v>1</v>
      </c>
      <c r="F84" s="253" t="n">
        <v>627.51</v>
      </c>
      <c r="G84" s="32">
        <f>ROUND(E84*F84,2)</f>
        <v/>
      </c>
      <c r="H84" s="126">
        <f>G84/$G$90</f>
        <v/>
      </c>
      <c r="I84" s="32">
        <f>ROUND(F84*'Прил. 10'!$D$14,2)</f>
        <v/>
      </c>
      <c r="J84" s="32">
        <f>ROUND(I84*E84,2)</f>
        <v/>
      </c>
    </row>
    <row r="85" hidden="1" outlineLevel="1" ht="38.25" customFormat="1" customHeight="1" s="194">
      <c r="A85" s="251" t="n">
        <v>50</v>
      </c>
      <c r="B85" s="251" t="inlineStr">
        <is>
          <t>23.8.01.03-0002</t>
        </is>
      </c>
      <c r="C85" s="250" t="inlineStr">
        <is>
          <t>Заглушка универсальная для труб из термостойкого полиэтилена с внутренней резьбой, размер 1/2"</t>
        </is>
      </c>
      <c r="D85" s="251" t="inlineStr">
        <is>
          <t>10 шт</t>
        </is>
      </c>
      <c r="E85" s="328" t="n">
        <v>5.4</v>
      </c>
      <c r="F85" s="253" t="n">
        <v>62.4</v>
      </c>
      <c r="G85" s="32">
        <f>ROUND(E85*F85,2)</f>
        <v/>
      </c>
      <c r="H85" s="126">
        <f>G85/$G$90</f>
        <v/>
      </c>
      <c r="I85" s="32">
        <f>ROUND(F85*'Прил. 10'!$D$14,2)</f>
        <v/>
      </c>
      <c r="J85" s="32">
        <f>ROUND(I85*E85,2)</f>
        <v/>
      </c>
    </row>
    <row r="86" hidden="1" outlineLevel="1" ht="14.25" customFormat="1" customHeight="1" s="194">
      <c r="A86" s="251" t="n">
        <v>51</v>
      </c>
      <c r="B86" s="251" t="inlineStr">
        <is>
          <t>24.3.05.18-0001</t>
        </is>
      </c>
      <c r="C86" s="250" t="inlineStr">
        <is>
          <t>Штуцеры, длина 200 мм</t>
        </is>
      </c>
      <c r="D86" s="251" t="inlineStr">
        <is>
          <t>шт</t>
        </is>
      </c>
      <c r="E86" s="328" t="n">
        <v>7</v>
      </c>
      <c r="F86" s="253" t="n">
        <v>44.3</v>
      </c>
      <c r="G86" s="32">
        <f>ROUND(E86*F86,2)</f>
        <v/>
      </c>
      <c r="H86" s="126">
        <f>G86/$G$90</f>
        <v/>
      </c>
      <c r="I86" s="32">
        <f>ROUND(F86*'Прил. 10'!$D$14,2)</f>
        <v/>
      </c>
      <c r="J86" s="32">
        <f>ROUND(I86*E86,2)</f>
        <v/>
      </c>
    </row>
    <row r="87" hidden="1" outlineLevel="1" ht="38.25" customFormat="1" customHeight="1" s="194">
      <c r="A87" s="251" t="n">
        <v>52</v>
      </c>
      <c r="B87" s="251" t="inlineStr">
        <is>
          <t>23.8.01.03-0001</t>
        </is>
      </c>
      <c r="C87" s="250" t="inlineStr">
        <is>
          <t>Заглушка универсальная для труб из термостойкого полиэтилена с внутренней резьбой, размер 1"</t>
        </is>
      </c>
      <c r="D87" s="251" t="inlineStr">
        <is>
          <t>10 шт</t>
        </is>
      </c>
      <c r="E87" s="328" t="n">
        <v>1.6</v>
      </c>
      <c r="F87" s="253" t="n">
        <v>175.3</v>
      </c>
      <c r="G87" s="32">
        <f>ROUND(E87*F87,2)</f>
        <v/>
      </c>
      <c r="H87" s="126">
        <f>G87/$G$90</f>
        <v/>
      </c>
      <c r="I87" s="32">
        <f>ROUND(F87*'Прил. 10'!$D$14,2)</f>
        <v/>
      </c>
      <c r="J87" s="32">
        <f>ROUND(I87*E87,2)</f>
        <v/>
      </c>
    </row>
    <row r="88" hidden="1" outlineLevel="1" ht="38.25" customFormat="1" customHeight="1" s="194">
      <c r="A88" s="251" t="n">
        <v>53</v>
      </c>
      <c r="B88" s="251" t="inlineStr">
        <is>
          <t>23.8.01.03-0006</t>
        </is>
      </c>
      <c r="C88" s="250" t="inlineStr">
        <is>
          <t>Заглушка универсальная для труб из термостойкого полиэтилена с наружной резьбой, размер 3/4"</t>
        </is>
      </c>
      <c r="D88" s="251" t="inlineStr">
        <is>
          <t>10 шт</t>
        </is>
      </c>
      <c r="E88" s="328" t="n">
        <v>2.2</v>
      </c>
      <c r="F88" s="253" t="n">
        <v>95.09999999999999</v>
      </c>
      <c r="G88" s="32">
        <f>ROUND(E88*F88,2)</f>
        <v/>
      </c>
      <c r="H88" s="126">
        <f>G88/$G$90</f>
        <v/>
      </c>
      <c r="I88" s="32">
        <f>ROUND(F88*'Прил. 10'!$D$14,2)</f>
        <v/>
      </c>
      <c r="J88" s="32">
        <f>ROUND(I88*E88,2)</f>
        <v/>
      </c>
    </row>
    <row r="89" collapsed="1" s="197">
      <c r="A89" s="251" t="n"/>
      <c r="B89" s="251" t="n"/>
      <c r="C89" s="250" t="inlineStr">
        <is>
          <t>Итого прочее оборудование</t>
        </is>
      </c>
      <c r="D89" s="251" t="n"/>
      <c r="E89" s="326" t="n"/>
      <c r="F89" s="253" t="n"/>
      <c r="G89" s="32">
        <f>SUM(G61:G88)</f>
        <v/>
      </c>
      <c r="H89" s="126">
        <f>G89/$G$90</f>
        <v/>
      </c>
      <c r="I89" s="125" t="n"/>
      <c r="J89" s="32">
        <f>SUM(J61:J88)</f>
        <v/>
      </c>
    </row>
    <row r="90">
      <c r="A90" s="251" t="n"/>
      <c r="B90" s="251" t="n"/>
      <c r="C90" s="249" t="inlineStr">
        <is>
          <t>Итого по разделу «Оборудование»</t>
        </is>
      </c>
      <c r="D90" s="251" t="n"/>
      <c r="E90" s="252" t="n"/>
      <c r="F90" s="253" t="n"/>
      <c r="G90" s="32">
        <f>G60+G89</f>
        <v/>
      </c>
      <c r="H90" s="254" t="n">
        <v>1</v>
      </c>
      <c r="I90" s="125" t="n"/>
      <c r="J90" s="32">
        <f>J89+J60</f>
        <v/>
      </c>
    </row>
    <row r="91" ht="25.5" customHeight="1" s="197">
      <c r="A91" s="251" t="n"/>
      <c r="B91" s="251" t="n"/>
      <c r="C91" s="250" t="inlineStr">
        <is>
          <t>в том числе технологическое оборудование</t>
        </is>
      </c>
      <c r="D91" s="251" t="n"/>
      <c r="E91" s="328" t="n"/>
      <c r="F91" s="253" t="n"/>
      <c r="G91" s="32">
        <f>'Прил.6 Расчет ОБ'!G47</f>
        <v/>
      </c>
      <c r="H91" s="254" t="n"/>
      <c r="I91" s="125" t="n"/>
      <c r="J91" s="32">
        <f>J90</f>
        <v/>
      </c>
      <c r="K91" s="172" t="n"/>
    </row>
    <row r="92" ht="14.25" customFormat="1" customHeight="1" s="194">
      <c r="A92" s="251" t="n"/>
      <c r="B92" s="249" t="inlineStr">
        <is>
          <t>Материалы</t>
        </is>
      </c>
      <c r="C92" s="321" t="n"/>
      <c r="D92" s="321" t="n"/>
      <c r="E92" s="321" t="n"/>
      <c r="F92" s="321" t="n"/>
      <c r="G92" s="321" t="n"/>
      <c r="H92" s="322" t="n"/>
      <c r="I92" s="123" t="n"/>
      <c r="J92" s="123" t="n"/>
    </row>
    <row r="93" ht="14.25" customFormat="1" customHeight="1" s="194">
      <c r="A93" s="245" t="n"/>
      <c r="B93" s="244" t="inlineStr">
        <is>
          <t>Основные материалы</t>
        </is>
      </c>
      <c r="C93" s="329" t="n"/>
      <c r="D93" s="329" t="n"/>
      <c r="E93" s="329" t="n"/>
      <c r="F93" s="329" t="n"/>
      <c r="G93" s="329" t="n"/>
      <c r="H93" s="330" t="n"/>
      <c r="I93" s="133" t="n"/>
      <c r="J93" s="133" t="n"/>
    </row>
    <row r="94" ht="25.5" customFormat="1" customHeight="1" s="194">
      <c r="A94" s="251" t="n">
        <v>54</v>
      </c>
      <c r="B94" s="251" t="inlineStr">
        <is>
          <t>25.1.01.04-0031</t>
        </is>
      </c>
      <c r="C94" s="250" t="inlineStr">
        <is>
          <t>Шпалы непропитанные для железных дорог, тип I</t>
        </is>
      </c>
      <c r="D94" s="251" t="inlineStr">
        <is>
          <t>шт</t>
        </is>
      </c>
      <c r="E94" s="328" t="n">
        <v>38</v>
      </c>
      <c r="F94" s="253" t="n">
        <v>266.67</v>
      </c>
      <c r="G94" s="32">
        <f>ROUND(E94*F94,2)</f>
        <v/>
      </c>
      <c r="H94" s="126">
        <f>G94/$G$190</f>
        <v/>
      </c>
      <c r="I94" s="32">
        <f>ROUND(F94*'Прил. 10'!$D$13,2)</f>
        <v/>
      </c>
      <c r="J94" s="32">
        <f>ROUND(I94*E94,2)</f>
        <v/>
      </c>
    </row>
    <row r="95" ht="51" customFormat="1" customHeight="1" s="194">
      <c r="A95" s="251" t="n">
        <v>55</v>
      </c>
      <c r="B95" s="162" t="inlineStr">
        <is>
          <t>23.7.01.03-0005</t>
        </is>
      </c>
      <c r="C95" s="250" t="inlineStr">
        <is>
          <t>Трубопроводы из стальных водогазопроводных неоцинкованных труб с гильзами и креплениями для газоснабжения, диаметр 40 мм</t>
        </is>
      </c>
      <c r="D95" s="251" t="inlineStr">
        <is>
          <t>м</t>
        </is>
      </c>
      <c r="E95" s="326">
        <f>G95/F95</f>
        <v/>
      </c>
      <c r="F95" s="253" t="n">
        <v>35.84</v>
      </c>
      <c r="G95" s="32">
        <f>SUM(G96:G100)</f>
        <v/>
      </c>
      <c r="H95" s="126">
        <f>G95/$G$190</f>
        <v/>
      </c>
      <c r="I95" s="32">
        <f>ROUND(F95*'Прил. 10'!$D$13,2)</f>
        <v/>
      </c>
      <c r="J95" s="32">
        <f>ROUND(I95*E95,2)</f>
        <v/>
      </c>
    </row>
    <row r="96" hidden="1" outlineLevel="1" ht="51" customFormat="1" customHeight="1" s="194">
      <c r="A96" s="251" t="n"/>
      <c r="B96" s="162" t="inlineStr">
        <is>
          <t>23.7.01.03-0005</t>
        </is>
      </c>
      <c r="C96" s="250" t="inlineStr">
        <is>
          <t>Трубопроводы из стальных водогазопроводных неоцинкованных труб с гильзами и креплениями для газоснабжения, диаметр 40 мм</t>
        </is>
      </c>
      <c r="D96" s="251" t="inlineStr">
        <is>
          <t>м</t>
        </is>
      </c>
      <c r="E96" s="326" t="n">
        <v>54.4</v>
      </c>
      <c r="F96" s="253" t="n">
        <v>35.84</v>
      </c>
      <c r="G96" s="32">
        <f>ROUND(E96*F96,2)</f>
        <v/>
      </c>
      <c r="H96" s="126">
        <f>G96/$G$190</f>
        <v/>
      </c>
      <c r="I96" s="32">
        <f>ROUND(F96*'Прил. 10'!$D$13,2)</f>
        <v/>
      </c>
      <c r="J96" s="32">
        <f>ROUND(I96*E96,2)</f>
        <v/>
      </c>
    </row>
    <row r="97" hidden="1" outlineLevel="1" ht="51" customFormat="1" customHeight="1" s="194">
      <c r="A97" s="251" t="n"/>
      <c r="B97" s="162" t="inlineStr">
        <is>
          <t>23.7.01.03-0002</t>
        </is>
      </c>
      <c r="C97" s="250" t="inlineStr">
        <is>
          <t>Трубопроводы из стальных водогазопроводных неоцинкованных труб с гильзами и креплениями для газоснабжения, диаметр 20 мм</t>
        </is>
      </c>
      <c r="D97" s="251" t="inlineStr">
        <is>
          <t>м</t>
        </is>
      </c>
      <c r="E97" s="326" t="n">
        <v>63.02</v>
      </c>
      <c r="F97" s="253" t="n">
        <v>25.28</v>
      </c>
      <c r="G97" s="32">
        <f>ROUND(E97*F97,2)</f>
        <v/>
      </c>
      <c r="H97" s="126">
        <f>G97/$G$190</f>
        <v/>
      </c>
      <c r="I97" s="32">
        <f>ROUND(F97*'Прил. 10'!$D$13,2)</f>
        <v/>
      </c>
      <c r="J97" s="32">
        <f>ROUND(I97*E97,2)</f>
        <v/>
      </c>
    </row>
    <row r="98" hidden="1" outlineLevel="1" ht="51" customFormat="1" customHeight="1" s="194">
      <c r="A98" s="251" t="n"/>
      <c r="B98" s="162" t="inlineStr">
        <is>
          <t>23.7.01.03-0003</t>
        </is>
      </c>
      <c r="C98" s="250" t="inlineStr">
        <is>
          <t>Трубопроводы из стальных водогазопроводных неоцинкованных труб с гильзами и креплениями для газоснабжения, диаметр 25 мм</t>
        </is>
      </c>
      <c r="D98" s="251" t="inlineStr">
        <is>
          <t>м</t>
        </is>
      </c>
      <c r="E98" s="326" t="n">
        <v>55.8</v>
      </c>
      <c r="F98" s="253" t="n">
        <v>27.2</v>
      </c>
      <c r="G98" s="32">
        <f>ROUND(E98*F98,2)</f>
        <v/>
      </c>
      <c r="H98" s="126">
        <f>G98/$G$190</f>
        <v/>
      </c>
      <c r="I98" s="32">
        <f>ROUND(F98*'Прил. 10'!$D$13,2)</f>
        <v/>
      </c>
      <c r="J98" s="32">
        <f>ROUND(I98*E98,2)</f>
        <v/>
      </c>
    </row>
    <row r="99" hidden="1" outlineLevel="1" ht="51" customFormat="1" customHeight="1" s="194">
      <c r="A99" s="251" t="n"/>
      <c r="B99" s="162" t="inlineStr">
        <is>
          <t>23.7.01.03-0006</t>
        </is>
      </c>
      <c r="C99" s="250" t="inlineStr">
        <is>
          <t>Трубопроводы из стальных водогазопроводных неоцинкованных труб с гильзами и креплениями для газоснабжения, диаметр 50 мм</t>
        </is>
      </c>
      <c r="D99" s="251" t="inlineStr">
        <is>
          <t>м</t>
        </is>
      </c>
      <c r="E99" s="326" t="n">
        <v>32.58</v>
      </c>
      <c r="F99" s="253" t="n">
        <v>42.88</v>
      </c>
      <c r="G99" s="32">
        <f>ROUND(E99*F99,2)</f>
        <v/>
      </c>
      <c r="H99" s="126">
        <f>G99/$G$190</f>
        <v/>
      </c>
      <c r="I99" s="32">
        <f>ROUND(F99*'Прил. 10'!$D$13,2)</f>
        <v/>
      </c>
      <c r="J99" s="32">
        <f>ROUND(I99*E99,2)</f>
        <v/>
      </c>
    </row>
    <row r="100" hidden="1" outlineLevel="1" ht="51" customFormat="1" customHeight="1" s="194">
      <c r="A100" s="251" t="n"/>
      <c r="B100" s="162" t="inlineStr">
        <is>
          <t>23.7.01.03-0004</t>
        </is>
      </c>
      <c r="C100" s="250" t="inlineStr">
        <is>
          <t>Трубопроводы из стальных водогазопроводных неоцинкованных труб с гильзами и креплениями для газоснабжения, диаметр 32 мм</t>
        </is>
      </c>
      <c r="D100" s="251" t="inlineStr">
        <is>
          <t>м</t>
        </is>
      </c>
      <c r="E100" s="326" t="n">
        <v>88.47</v>
      </c>
      <c r="F100" s="253" t="n">
        <v>30.72</v>
      </c>
      <c r="G100" s="32">
        <f>ROUND(E100*F100,2)</f>
        <v/>
      </c>
      <c r="H100" s="126">
        <f>G100/$G$190</f>
        <v/>
      </c>
      <c r="I100" s="32">
        <f>ROUND(F100*'Прил. 10'!$D$13,2)</f>
        <v/>
      </c>
      <c r="J100" s="32">
        <f>ROUND(I100*E100,2)</f>
        <v/>
      </c>
    </row>
    <row r="101" collapsed="1" ht="51" customFormat="1" customHeight="1" s="194">
      <c r="A101" s="251" t="n">
        <v>56</v>
      </c>
      <c r="B101" s="162" t="inlineStr">
        <is>
          <t>23.8.04.12-0112</t>
        </is>
      </c>
      <c r="C101" s="250" t="inlineStr">
        <is>
          <t>Тройники равнопроходные, номинальное давление до 16 МПа, номинальный диаметр 40 мм, наружный диаметр и толщина стенки 45,0х2,5 мм</t>
        </is>
      </c>
      <c r="D101" s="251" t="inlineStr">
        <is>
          <t>шт</t>
        </is>
      </c>
      <c r="E101" s="326">
        <f>G101/F101</f>
        <v/>
      </c>
      <c r="F101" s="253" t="n">
        <v>101.46</v>
      </c>
      <c r="G101" s="32">
        <f>SUM(G102:G110)</f>
        <v/>
      </c>
      <c r="H101" s="126">
        <f>G101/$G$190</f>
        <v/>
      </c>
      <c r="I101" s="32">
        <f>ROUND(F101*'Прил. 10'!$D$13,2)</f>
        <v/>
      </c>
      <c r="J101" s="32">
        <f>ROUND(I101*E101,2)</f>
        <v/>
      </c>
    </row>
    <row r="102" hidden="1" outlineLevel="1" ht="51" customFormat="1" customHeight="1" s="194">
      <c r="A102" s="251" t="n"/>
      <c r="B102" s="162" t="inlineStr">
        <is>
          <t>23.8.04.12-0112</t>
        </is>
      </c>
      <c r="C102" s="250" t="inlineStr">
        <is>
          <t>Тройники равнопроходные, номинальное давление до 16 МПа, номинальный диаметр 40 мм, наружный диаметр и толщина стенки 45,0х2,5 мм</t>
        </is>
      </c>
      <c r="D102" s="251" t="inlineStr">
        <is>
          <t>шт</t>
        </is>
      </c>
      <c r="E102" s="326" t="n">
        <v>50</v>
      </c>
      <c r="F102" s="253" t="n">
        <v>101.46</v>
      </c>
      <c r="G102" s="32">
        <f>ROUND(E102*F102,2)</f>
        <v/>
      </c>
      <c r="H102" s="126">
        <f>G102/$G$190</f>
        <v/>
      </c>
      <c r="I102" s="32">
        <f>ROUND(F102*'Прил. 10'!$D$13,2)</f>
        <v/>
      </c>
      <c r="J102" s="32">
        <f>ROUND(I102*E102,2)</f>
        <v/>
      </c>
    </row>
    <row r="103" hidden="1" outlineLevel="1" ht="51" customFormat="1" customHeight="1" s="194">
      <c r="A103" s="251" t="n"/>
      <c r="B103" s="162" t="inlineStr">
        <is>
          <t>23.8.04.12-0113</t>
        </is>
      </c>
      <c r="C103" s="250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03" s="326" t="inlineStr">
        <is>
          <t>шт</t>
        </is>
      </c>
      <c r="E103" s="326" t="n">
        <v>9</v>
      </c>
      <c r="F103" s="253" t="n">
        <v>111.84</v>
      </c>
      <c r="G103" s="32">
        <f>ROUND(E103*F103,2)</f>
        <v/>
      </c>
      <c r="H103" s="126">
        <f>G103/$G$190</f>
        <v/>
      </c>
      <c r="I103" s="32">
        <f>ROUND(F103*'Прил. 10'!$D$13,2)</f>
        <v/>
      </c>
      <c r="J103" s="32">
        <f>ROUND(I103*E103,2)</f>
        <v/>
      </c>
    </row>
    <row r="104" hidden="1" outlineLevel="1" ht="51" customFormat="1" customHeight="1" s="194">
      <c r="A104" s="251" t="n"/>
      <c r="B104" s="162" t="inlineStr">
        <is>
          <t>23.8.04.12-0111</t>
        </is>
      </c>
      <c r="C104" s="250" t="inlineStr">
        <is>
          <t>Тройники равнопроходные, номинальное давление до 16 МПа, номинальный диаметр 40 мм, наружный диаметр и толщина стенки 48,3х3,6 мм</t>
        </is>
      </c>
      <c r="D104" s="326" t="inlineStr">
        <is>
          <t>шт</t>
        </is>
      </c>
      <c r="E104" s="326" t="n">
        <v>9</v>
      </c>
      <c r="F104" s="253" t="n">
        <v>94.64</v>
      </c>
      <c r="G104" s="32">
        <f>ROUND(E104*F104,2)</f>
        <v/>
      </c>
      <c r="H104" s="126">
        <f>G104/$G$190</f>
        <v/>
      </c>
      <c r="I104" s="32">
        <f>ROUND(F104*'Прил. 10'!$D$13,2)</f>
        <v/>
      </c>
      <c r="J104" s="32">
        <f>ROUND(I104*E104,2)</f>
        <v/>
      </c>
    </row>
    <row r="105" hidden="1" outlineLevel="1" ht="51" customFormat="1" customHeight="1" s="194">
      <c r="A105" s="251" t="n"/>
      <c r="B105" s="162" t="inlineStr">
        <is>
          <t>23.8.04.12-0116</t>
        </is>
      </c>
      <c r="C105" s="250" t="inlineStr">
        <is>
          <t>Тройники равнопроходные, номинальное давление до 16 МПа, номинальный диаметр 65 мм, наружный диаметр и толщина стенки 76,1х5,0 мм</t>
        </is>
      </c>
      <c r="D105" s="326" t="inlineStr">
        <is>
          <t>шт</t>
        </is>
      </c>
      <c r="E105" s="326" t="n">
        <v>3</v>
      </c>
      <c r="F105" s="253" t="n">
        <v>141.68</v>
      </c>
      <c r="G105" s="32">
        <f>ROUND(E105*F105,2)</f>
        <v/>
      </c>
      <c r="H105" s="126">
        <f>G105/$G$190</f>
        <v/>
      </c>
      <c r="I105" s="32">
        <f>ROUND(F105*'Прил. 10'!$D$13,2)</f>
        <v/>
      </c>
      <c r="J105" s="32">
        <f>ROUND(I105*E105,2)</f>
        <v/>
      </c>
    </row>
    <row r="106" hidden="1" outlineLevel="1" ht="51" customFormat="1" customHeight="1" s="194">
      <c r="A106" s="251" t="n"/>
      <c r="B106" s="162" t="inlineStr">
        <is>
          <t>23.8.04.12-0125</t>
        </is>
      </c>
      <c r="C106" s="250" t="inlineStr">
        <is>
          <t>Тройники равнопроходные, номинальное давление до 16 МПа, номинальный диаметр 125 мм, наружный диаметр и толщина стенки 133х4,0 мм</t>
        </is>
      </c>
      <c r="D106" s="326" t="inlineStr">
        <is>
          <t>шт</t>
        </is>
      </c>
      <c r="E106" s="326" t="n">
        <v>2</v>
      </c>
      <c r="F106" s="253" t="n">
        <v>185.81</v>
      </c>
      <c r="G106" s="32">
        <f>ROUND(E106*F106,2)</f>
        <v/>
      </c>
      <c r="H106" s="126">
        <f>G106/$G$190</f>
        <v/>
      </c>
      <c r="I106" s="32">
        <f>ROUND(F106*'Прил. 10'!$D$13,2)</f>
        <v/>
      </c>
      <c r="J106" s="32">
        <f>ROUND(I106*E106,2)</f>
        <v/>
      </c>
    </row>
    <row r="107" hidden="1" outlineLevel="1" ht="51" customFormat="1" customHeight="1" s="194">
      <c r="A107" s="251" t="n"/>
      <c r="B107" s="162" t="inlineStr">
        <is>
          <t>23.8.04.12-0103</t>
        </is>
      </c>
      <c r="C107" s="250" t="inlineStr">
        <is>
          <t>Тройники равнопроходные, номинальное давление до 16 МПа, номинальный диаметр 80 мм, наружный диаметр и толщина стенки 88,9х3,2 мм</t>
        </is>
      </c>
      <c r="D107" s="326" t="inlineStr">
        <is>
          <t>шт</t>
        </is>
      </c>
      <c r="E107" s="326" t="n">
        <v>4</v>
      </c>
      <c r="F107" s="253" t="n">
        <v>88.14</v>
      </c>
      <c r="G107" s="32">
        <f>ROUND(E107*F107,2)</f>
        <v/>
      </c>
      <c r="H107" s="126">
        <f>G107/$G$190</f>
        <v/>
      </c>
      <c r="I107" s="32">
        <f>ROUND(F107*'Прил. 10'!$D$13,2)</f>
        <v/>
      </c>
      <c r="J107" s="32">
        <f>ROUND(I107*E107,2)</f>
        <v/>
      </c>
    </row>
    <row r="108" hidden="1" outlineLevel="1" ht="51" customFormat="1" customHeight="1" s="194">
      <c r="A108" s="251" t="n"/>
      <c r="B108" s="162" t="inlineStr">
        <is>
          <t>23.8.04.12-0115</t>
        </is>
      </c>
      <c r="C108" s="250" t="inlineStr">
        <is>
          <t>Тройники равнопроходные, номинальное давление до 16 МПа, номинальный диаметр 65 мм, наружный диаметр и толщина стенки 76,1х2,9 мм</t>
        </is>
      </c>
      <c r="D108" s="326" t="inlineStr">
        <is>
          <t>шт</t>
        </is>
      </c>
      <c r="E108" s="326" t="n">
        <v>3</v>
      </c>
      <c r="F108" s="253" t="n">
        <v>110.07</v>
      </c>
      <c r="G108" s="32">
        <f>ROUND(E108*F108,2)</f>
        <v/>
      </c>
      <c r="H108" s="126">
        <f>G108/$G$190</f>
        <v/>
      </c>
      <c r="I108" s="32">
        <f>ROUND(F108*'Прил. 10'!$D$13,2)</f>
        <v/>
      </c>
      <c r="J108" s="32">
        <f>ROUND(I108*E108,2)</f>
        <v/>
      </c>
    </row>
    <row r="109" hidden="1" outlineLevel="1" ht="51" customFormat="1" customHeight="1" s="194">
      <c r="A109" s="251" t="n"/>
      <c r="B109" s="162" t="inlineStr">
        <is>
          <t>23.8.04.12-0104</t>
        </is>
      </c>
      <c r="C109" s="250" t="inlineStr">
        <is>
          <t>Тройники равнопроходные, номинальное давление до 16 МПа, номинальный диаметр 100 мм, наружный диаметр и толщина стенки 114,3х3,6 мм</t>
        </is>
      </c>
      <c r="D109" s="326" t="inlineStr">
        <is>
          <t>шт</t>
        </is>
      </c>
      <c r="E109" s="326" t="n">
        <v>2</v>
      </c>
      <c r="F109" s="253" t="n">
        <v>155.94</v>
      </c>
      <c r="G109" s="32">
        <f>ROUND(E109*F109,2)</f>
        <v/>
      </c>
      <c r="H109" s="126">
        <f>G109/$G$190</f>
        <v/>
      </c>
      <c r="I109" s="32">
        <f>ROUND(F109*'Прил. 10'!$D$13,2)</f>
        <v/>
      </c>
      <c r="J109" s="32">
        <f>ROUND(I109*E109,2)</f>
        <v/>
      </c>
    </row>
    <row r="110" hidden="1" outlineLevel="1" ht="38.25" customFormat="1" customHeight="1" s="194">
      <c r="A110" s="251" t="n"/>
      <c r="B110" s="162" t="inlineStr">
        <is>
          <t>23.8.04.12-0031</t>
        </is>
      </c>
      <c r="C110" s="250" t="inlineStr">
        <is>
          <t>Тройники переходные диаметром условного прохода: 50/40 мм, и наружным диаметром 67/45 мм</t>
        </is>
      </c>
      <c r="D110" s="326" t="inlineStr">
        <is>
          <t>шт</t>
        </is>
      </c>
      <c r="E110" s="326" t="n">
        <v>1</v>
      </c>
      <c r="F110" s="253" t="n">
        <v>29.95</v>
      </c>
      <c r="G110" s="32">
        <f>ROUND(E110*F110,2)</f>
        <v/>
      </c>
      <c r="H110" s="126">
        <f>G110/$G$190</f>
        <v/>
      </c>
      <c r="I110" s="32">
        <f>ROUND(F110*'Прил. 10'!$D$13,2)</f>
        <v/>
      </c>
      <c r="J110" s="32">
        <f>ROUND(I110*E110,2)</f>
        <v/>
      </c>
    </row>
    <row r="111" collapsed="1" ht="38.25" customFormat="1" customHeight="1" s="194">
      <c r="A111" s="251" t="n">
        <v>57</v>
      </c>
      <c r="B111" s="251" t="inlineStr">
        <is>
          <t>23.8.04.08-0051</t>
        </is>
      </c>
      <c r="C111" s="250" t="inlineStr">
        <is>
          <t>Переходы концентрические, номинальное давление 16 МПа, наружный диаметр и толщина стенки 57х4-45х2,5 мм</t>
        </is>
      </c>
      <c r="D111" s="251" t="inlineStr">
        <is>
          <t>шт</t>
        </is>
      </c>
      <c r="E111" s="328">
        <f>G111/F111</f>
        <v/>
      </c>
      <c r="F111" s="253" t="n">
        <v>38.01</v>
      </c>
      <c r="G111" s="32">
        <f>SUM(G112:G120)</f>
        <v/>
      </c>
      <c r="H111" s="126">
        <f>G111/$G$190</f>
        <v/>
      </c>
      <c r="I111" s="32">
        <f>ROUND(F111*'Прил. 10'!$D$13,2)</f>
        <v/>
      </c>
      <c r="J111" s="32">
        <f>ROUND(I111*E111,2)</f>
        <v/>
      </c>
    </row>
    <row r="112" hidden="1" outlineLevel="1" ht="38.25" customFormat="1" customHeight="1" s="194">
      <c r="A112" s="251" t="n"/>
      <c r="B112" s="251" t="inlineStr">
        <is>
          <t>23.8.04.08-0051</t>
        </is>
      </c>
      <c r="C112" s="250" t="inlineStr">
        <is>
          <t>Переходы концентрические, номинальное давление 16 МПа, наружный диаметр и толщина стенки 57х4-45х2,5 мм</t>
        </is>
      </c>
      <c r="D112" s="251" t="inlineStr">
        <is>
          <t>шт</t>
        </is>
      </c>
      <c r="E112" s="328" t="n">
        <v>99</v>
      </c>
      <c r="F112" s="253" t="n">
        <v>38.01</v>
      </c>
      <c r="G112" s="32">
        <f>ROUND(E112*F112,2)</f>
        <v/>
      </c>
      <c r="H112" s="126">
        <f>G112/$G$190</f>
        <v/>
      </c>
      <c r="I112" s="32">
        <f>ROUND(F112*'Прил. 10'!$D$13,2)</f>
        <v/>
      </c>
      <c r="J112" s="32">
        <f>ROUND(I112*E112,2)</f>
        <v/>
      </c>
    </row>
    <row r="113" hidden="1" outlineLevel="1" ht="38.25" customFormat="1" customHeight="1" s="194">
      <c r="A113" s="251" t="n"/>
      <c r="B113" s="251" t="inlineStr">
        <is>
          <t>23.8.04.08-0053</t>
        </is>
      </c>
      <c r="C113" s="250" t="inlineStr">
        <is>
          <t>Переходы концентрические, номинальное давление 16 МПа, наружный диаметр и толщина стенки 76х3,5-38х2,5 мм</t>
        </is>
      </c>
      <c r="D113" s="251" t="inlineStr">
        <is>
          <t>шт</t>
        </is>
      </c>
      <c r="E113" s="328" t="n">
        <v>18</v>
      </c>
      <c r="F113" s="253" t="n">
        <v>48.28</v>
      </c>
      <c r="G113" s="32">
        <f>ROUND(E113*F113,2)</f>
        <v/>
      </c>
      <c r="H113" s="126">
        <f>G113/$G$190</f>
        <v/>
      </c>
      <c r="I113" s="32">
        <f>ROUND(F113*'Прил. 10'!$D$13,2)</f>
        <v/>
      </c>
      <c r="J113" s="32">
        <f>ROUND(I113*E113,2)</f>
        <v/>
      </c>
    </row>
    <row r="114" hidden="1" outlineLevel="1" ht="38.25" customFormat="1" customHeight="1" s="194">
      <c r="A114" s="251" t="n"/>
      <c r="B114" s="251" t="inlineStr">
        <is>
          <t>23.8.04.08-0059</t>
        </is>
      </c>
      <c r="C114" s="250" t="inlineStr">
        <is>
          <t>Переходы концентрические, номинальное давление 16 МПа, наружный диаметр и толщина стенки 89х3,5-45х2,5 мм</t>
        </is>
      </c>
      <c r="D114" s="251" t="inlineStr">
        <is>
          <t>шт</t>
        </is>
      </c>
      <c r="E114" s="328" t="n">
        <v>8</v>
      </c>
      <c r="F114" s="253" t="n">
        <v>58.12</v>
      </c>
      <c r="G114" s="32">
        <f>ROUND(E114*F114,2)</f>
        <v/>
      </c>
      <c r="H114" s="126">
        <f>G114/$G$190</f>
        <v/>
      </c>
      <c r="I114" s="32">
        <f>ROUND(F114*'Прил. 10'!$D$13,2)</f>
        <v/>
      </c>
      <c r="J114" s="32">
        <f>ROUND(I114*E114,2)</f>
        <v/>
      </c>
    </row>
    <row r="115" hidden="1" outlineLevel="1" ht="38.25" customFormat="1" customHeight="1" s="194">
      <c r="A115" s="251" t="n"/>
      <c r="B115" s="251" t="inlineStr">
        <is>
          <t>23.8.04.08-0055</t>
        </is>
      </c>
      <c r="C115" s="250" t="inlineStr">
        <is>
          <t>Переходы концентрические, номинальное давление 16 МПа, наружный диаметр и толщина стенки 76х3,5-45х2,5 мм</t>
        </is>
      </c>
      <c r="D115" s="251" t="inlineStr">
        <is>
          <t>шт</t>
        </is>
      </c>
      <c r="E115" s="328" t="n">
        <v>9</v>
      </c>
      <c r="F115" s="253" t="n">
        <v>50.14</v>
      </c>
      <c r="G115" s="32">
        <f>ROUND(E115*F115,2)</f>
        <v/>
      </c>
      <c r="H115" s="126">
        <f>G115/$G$190</f>
        <v/>
      </c>
      <c r="I115" s="32">
        <f>ROUND(F115*'Прил. 10'!$D$13,2)</f>
        <v/>
      </c>
      <c r="J115" s="32">
        <f>ROUND(I115*E115,2)</f>
        <v/>
      </c>
    </row>
    <row r="116" hidden="1" outlineLevel="1" ht="51" customFormat="1" customHeight="1" s="194">
      <c r="A116" s="251" t="n"/>
      <c r="B116" s="251" t="inlineStr">
        <is>
          <t>23.8.04.08-0165</t>
        </is>
      </c>
      <c r="C116" s="250" t="inlineStr">
        <is>
          <t>Переходы стальные концентрические бесшовные приварные, наружный диаметр и толщина стенки 133х4,0-108х4,0 мм</t>
        </is>
      </c>
      <c r="D116" s="251" t="inlineStr">
        <is>
          <t>шт</t>
        </is>
      </c>
      <c r="E116" s="328" t="n">
        <v>4</v>
      </c>
      <c r="F116" s="253" t="n">
        <v>45.75</v>
      </c>
      <c r="G116" s="32">
        <f>ROUND(E116*F116,2)</f>
        <v/>
      </c>
      <c r="H116" s="126">
        <f>G116/$G$190</f>
        <v/>
      </c>
      <c r="I116" s="32">
        <f>ROUND(F116*'Прил. 10'!$D$13,2)</f>
        <v/>
      </c>
      <c r="J116" s="32">
        <f>ROUND(I116*E116,2)</f>
        <v/>
      </c>
    </row>
    <row r="117" hidden="1" outlineLevel="1" ht="38.25" customFormat="1" customHeight="1" s="194">
      <c r="A117" s="251" t="n"/>
      <c r="B117" s="251" t="inlineStr">
        <is>
          <t>23.8.04.08-0090</t>
        </is>
      </c>
      <c r="C117" s="250" t="inlineStr">
        <is>
          <t>Переходы концентрические, номинальное давление 16 МПа, наружный диаметр и толщина стенки 159х4,5-133х4 мм</t>
        </is>
      </c>
      <c r="D117" s="251" t="inlineStr">
        <is>
          <t>шт</t>
        </is>
      </c>
      <c r="E117" s="328" t="n">
        <v>2</v>
      </c>
      <c r="F117" s="253" t="n">
        <v>87.12</v>
      </c>
      <c r="G117" s="32">
        <f>ROUND(E117*F117,2)</f>
        <v/>
      </c>
      <c r="H117" s="126">
        <f>G117/$G$190</f>
        <v/>
      </c>
      <c r="I117" s="32">
        <f>ROUND(F117*'Прил. 10'!$D$13,2)</f>
        <v/>
      </c>
      <c r="J117" s="32">
        <f>ROUND(I117*E117,2)</f>
        <v/>
      </c>
    </row>
    <row r="118" hidden="1" outlineLevel="1" ht="38.25" customFormat="1" customHeight="1" s="194">
      <c r="A118" s="251" t="n"/>
      <c r="B118" s="251" t="inlineStr">
        <is>
          <t>23.8.04.08-0052</t>
        </is>
      </c>
      <c r="C118" s="250" t="inlineStr">
        <is>
          <t>Переходы концентрические, номинальное давление 16 МПа, наружный диаметр и толщина стенки 57х5-45х4 мм</t>
        </is>
      </c>
      <c r="D118" s="251" t="inlineStr">
        <is>
          <t>шт</t>
        </is>
      </c>
      <c r="E118" s="328" t="n">
        <v>3</v>
      </c>
      <c r="F118" s="253" t="n">
        <v>44.49</v>
      </c>
      <c r="G118" s="32">
        <f>ROUND(E118*F118,2)</f>
        <v/>
      </c>
      <c r="H118" s="126">
        <f>G118/$G$190</f>
        <v/>
      </c>
      <c r="I118" s="32">
        <f>ROUND(F118*'Прил. 10'!$D$13,2)</f>
        <v/>
      </c>
      <c r="J118" s="32">
        <f>ROUND(I118*E118,2)</f>
        <v/>
      </c>
    </row>
    <row r="119" hidden="1" outlineLevel="1" ht="38.25" customFormat="1" customHeight="1" s="194">
      <c r="A119" s="251" t="n"/>
      <c r="B119" s="251" t="inlineStr">
        <is>
          <t>23.8.04.08-0084</t>
        </is>
      </c>
      <c r="C119" s="250" t="inlineStr">
        <is>
          <t>Переходы концентрические, номинальное давление 16 МПа, наружный диаметр и толщина стенки 159х4,5-76х3,5 мм</t>
        </is>
      </c>
      <c r="D119" s="251" t="inlineStr">
        <is>
          <t>шт</t>
        </is>
      </c>
      <c r="E119" s="328" t="n">
        <v>1</v>
      </c>
      <c r="F119" s="253" t="n">
        <v>91.41</v>
      </c>
      <c r="G119" s="32">
        <f>ROUND(E119*F119,2)</f>
        <v/>
      </c>
      <c r="H119" s="126">
        <f>G119/$G$190</f>
        <v/>
      </c>
      <c r="I119" s="32">
        <f>ROUND(F119*'Прил. 10'!$D$13,2)</f>
        <v/>
      </c>
      <c r="J119" s="32">
        <f>ROUND(I119*E119,2)</f>
        <v/>
      </c>
    </row>
    <row r="120" hidden="1" outlineLevel="1" ht="38.25" customFormat="1" customHeight="1" s="194">
      <c r="A120" s="251" t="n"/>
      <c r="B120" s="251" t="inlineStr">
        <is>
          <t>23.8.04.08-0058</t>
        </is>
      </c>
      <c r="C120" s="250" t="inlineStr">
        <is>
          <t>Переходы концентрические, номинальное давление 16 МПа, наружный диаметр и толщина стенки 76х6-57х5 мм</t>
        </is>
      </c>
      <c r="D120" s="251" t="inlineStr">
        <is>
          <t>шт</t>
        </is>
      </c>
      <c r="E120" s="328" t="n">
        <v>1</v>
      </c>
      <c r="F120" s="253" t="n">
        <v>49.54</v>
      </c>
      <c r="G120" s="32">
        <f>ROUND(E120*F120,2)</f>
        <v/>
      </c>
      <c r="H120" s="126">
        <f>G120/$G$190</f>
        <v/>
      </c>
      <c r="I120" s="32">
        <f>ROUND(F120*'Прил. 10'!$D$13,2)</f>
        <v/>
      </c>
      <c r="J120" s="32">
        <f>ROUND(I120*E120,2)</f>
        <v/>
      </c>
    </row>
    <row r="121" collapsed="1" ht="51" customFormat="1" customHeight="1" s="194">
      <c r="A121" s="251" t="n">
        <v>58</v>
      </c>
      <c r="B121" s="251" t="inlineStr">
        <is>
          <t>23.7.01.04-0004</t>
        </is>
      </c>
      <c r="C121" s="250" t="inlineStr">
        <is>
          <t>Трубопроводы из стальных электросварных труб с гильзами для отопления и водоснабжения, наружный диаметр 89 мм, толщина стенки 3,5 мм</t>
        </is>
      </c>
      <c r="D121" s="251" t="inlineStr">
        <is>
          <t>м</t>
        </is>
      </c>
      <c r="E121" s="328">
        <f>G121/F121</f>
        <v/>
      </c>
      <c r="F121" s="253" t="n">
        <v>61.76</v>
      </c>
      <c r="G121" s="32">
        <f>SUM(G122:G127)</f>
        <v/>
      </c>
      <c r="H121" s="126">
        <f>G121/$G$190</f>
        <v/>
      </c>
      <c r="I121" s="32">
        <f>ROUND(F121*'Прил. 10'!$D$13,2)</f>
        <v/>
      </c>
      <c r="J121" s="32">
        <f>ROUND(I121*E121,2)</f>
        <v/>
      </c>
    </row>
    <row r="122" hidden="1" outlineLevel="1" ht="51" customFormat="1" customHeight="1" s="194">
      <c r="A122" s="251" t="n"/>
      <c r="B122" s="251" t="inlineStr">
        <is>
          <t>23.7.01.04-0004</t>
        </is>
      </c>
      <c r="C122" s="250" t="inlineStr">
        <is>
          <t>Трубопроводы из стальных электросварных труб с гильзами для отопления и водоснабжения, наружный диаметр 89 мм, толщина стенки 3,5 мм</t>
        </is>
      </c>
      <c r="D122" s="251" t="inlineStr">
        <is>
          <t>м</t>
        </is>
      </c>
      <c r="E122" s="328" t="n">
        <v>22.2</v>
      </c>
      <c r="F122" s="253" t="n">
        <v>61.76</v>
      </c>
      <c r="G122" s="32">
        <f>ROUND(E122*F122,2)</f>
        <v/>
      </c>
      <c r="H122" s="126">
        <f>G122/$G$190</f>
        <v/>
      </c>
      <c r="I122" s="32">
        <f>ROUND(F122*'Прил. 10'!$D$13,2)</f>
        <v/>
      </c>
      <c r="J122" s="32">
        <f>ROUND(I122*E122,2)</f>
        <v/>
      </c>
    </row>
    <row r="123" hidden="1" outlineLevel="1" ht="51" customFormat="1" customHeight="1" s="194">
      <c r="A123" s="251" t="n"/>
      <c r="B123" s="251" t="inlineStr">
        <is>
          <t>23.7.01.04-0006</t>
        </is>
      </c>
      <c r="C123" s="250" t="inlineStr">
        <is>
          <t>Трубопроводы из стальных электросварных труб с гильзами для отопления и водоснабжения, наружный диаметр 133 мм, толщина стенки 4 мм</t>
        </is>
      </c>
      <c r="D123" s="251" t="inlineStr">
        <is>
          <t>м</t>
        </is>
      </c>
      <c r="E123" s="328" t="n">
        <v>13.075</v>
      </c>
      <c r="F123" s="253" t="n">
        <v>103.04</v>
      </c>
      <c r="G123" s="32">
        <f>ROUND(E123*F123,2)</f>
        <v/>
      </c>
      <c r="H123" s="126">
        <f>G123/$G$190</f>
        <v/>
      </c>
      <c r="I123" s="32">
        <f>ROUND(F123*'Прил. 10'!$D$13,2)</f>
        <v/>
      </c>
      <c r="J123" s="32">
        <f>ROUND(I123*E123,2)</f>
        <v/>
      </c>
    </row>
    <row r="124" hidden="1" outlineLevel="1" ht="51" customFormat="1" customHeight="1" s="194">
      <c r="A124" s="251" t="n"/>
      <c r="B124" s="251" t="inlineStr">
        <is>
          <t>23.7.01.04-0003</t>
        </is>
      </c>
      <c r="C124" s="250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D124" s="251" t="inlineStr">
        <is>
          <t>м</t>
        </is>
      </c>
      <c r="E124" s="328" t="n">
        <v>23.145</v>
      </c>
      <c r="F124" s="253" t="n">
        <v>53.12</v>
      </c>
      <c r="G124" s="32">
        <f>ROUND(E124*F124,2)</f>
        <v/>
      </c>
      <c r="H124" s="126">
        <f>G124/$G$190</f>
        <v/>
      </c>
      <c r="I124" s="32">
        <f>ROUND(F124*'Прил. 10'!$D$13,2)</f>
        <v/>
      </c>
      <c r="J124" s="32">
        <f>ROUND(I124*E124,2)</f>
        <v/>
      </c>
    </row>
    <row r="125" hidden="1" outlineLevel="1" ht="51" customFormat="1" customHeight="1" s="194">
      <c r="A125" s="251" t="n"/>
      <c r="B125" s="251" t="inlineStr">
        <is>
          <t>23.7.01.04-0005</t>
        </is>
      </c>
      <c r="C125" s="250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D125" s="251" t="inlineStr">
        <is>
          <t>м</t>
        </is>
      </c>
      <c r="E125" s="328" t="n">
        <v>7.52</v>
      </c>
      <c r="F125" s="253" t="n">
        <v>79.36</v>
      </c>
      <c r="G125" s="32">
        <f>ROUND(E125*F125,2)</f>
        <v/>
      </c>
      <c r="H125" s="126">
        <f>G125/$G$190</f>
        <v/>
      </c>
      <c r="I125" s="32">
        <f>ROUND(F125*'Прил. 10'!$D$13,2)</f>
        <v/>
      </c>
      <c r="J125" s="32">
        <f>ROUND(I125*E125,2)</f>
        <v/>
      </c>
    </row>
    <row r="126" hidden="1" outlineLevel="1" ht="51" customFormat="1" customHeight="1" s="194">
      <c r="A126" s="251" t="n"/>
      <c r="B126" s="251" t="inlineStr">
        <is>
          <t>23.7.01.04-0002</t>
        </is>
      </c>
      <c r="C126" s="250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D126" s="251" t="inlineStr">
        <is>
          <t>м</t>
        </is>
      </c>
      <c r="E126" s="328" t="n">
        <v>13.385</v>
      </c>
      <c r="F126" s="253" t="n">
        <v>41.28</v>
      </c>
      <c r="G126" s="32">
        <f>ROUND(E126*F126,2)</f>
        <v/>
      </c>
      <c r="H126" s="126">
        <f>G126/$G$190</f>
        <v/>
      </c>
      <c r="I126" s="32">
        <f>ROUND(F126*'Прил. 10'!$D$13,2)</f>
        <v/>
      </c>
      <c r="J126" s="32">
        <f>ROUND(I126*E126,2)</f>
        <v/>
      </c>
    </row>
    <row r="127" hidden="1" outlineLevel="1" ht="51" customFormat="1" customHeight="1" s="194">
      <c r="A127" s="251" t="n"/>
      <c r="B127" s="251" t="inlineStr">
        <is>
          <t>23.7.01.04-0001</t>
        </is>
      </c>
      <c r="C127" s="250" t="inlineStr">
        <is>
          <t>Трубопроводы из стальных электросварных труб с гильзами для отопления и водоснабжения, наружный диаметр 45 мм, толщина стенки 3,5 мм</t>
        </is>
      </c>
      <c r="D127" s="251" t="inlineStr">
        <is>
          <t>м</t>
        </is>
      </c>
      <c r="E127" s="328" t="n">
        <v>9.44</v>
      </c>
      <c r="F127" s="253" t="n">
        <v>31.75</v>
      </c>
      <c r="G127" s="32">
        <f>ROUND(E127*F127,2)</f>
        <v/>
      </c>
      <c r="H127" s="126">
        <f>G127/$G$190</f>
        <v/>
      </c>
      <c r="I127" s="32">
        <f>ROUND(F127*'Прил. 10'!$D$13,2)</f>
        <v/>
      </c>
      <c r="J127" s="32">
        <f>ROUND(I127*E127,2)</f>
        <v/>
      </c>
    </row>
    <row r="128" collapsed="1" ht="14.25" customFormat="1" customHeight="1" s="194">
      <c r="A128" s="251" t="n">
        <v>59</v>
      </c>
      <c r="B128" s="251" t="inlineStr">
        <is>
          <t>07.2.07.13-0171</t>
        </is>
      </c>
      <c r="C128" s="250" t="inlineStr">
        <is>
          <t>Подкладки металлические</t>
        </is>
      </c>
      <c r="D128" s="251" t="inlineStr">
        <is>
          <t>кг</t>
        </is>
      </c>
      <c r="E128" s="328" t="n">
        <v>380</v>
      </c>
      <c r="F128" s="253" t="n">
        <v>12.6</v>
      </c>
      <c r="G128" s="32">
        <f>ROUND(E128*F128,2)</f>
        <v/>
      </c>
      <c r="H128" s="126">
        <f>G128/$G$190</f>
        <v/>
      </c>
      <c r="I128" s="32">
        <f>ROUND(F128*'Прил. 10'!$D$13,2)</f>
        <v/>
      </c>
      <c r="J128" s="32">
        <f>ROUND(I128*E128,2)</f>
        <v/>
      </c>
    </row>
    <row r="129" ht="25.5" customFormat="1" customHeight="1" s="194">
      <c r="A129" s="251" t="n">
        <v>60</v>
      </c>
      <c r="B129" s="251" t="inlineStr">
        <is>
          <t>08.3.05.02-0058</t>
        </is>
      </c>
      <c r="C129" s="250" t="inlineStr">
        <is>
          <t>Прокат толстолистовой горячекатаный в листах, марка стали Ст3, толщина 6-8 мм</t>
        </is>
      </c>
      <c r="D129" s="251" t="inlineStr">
        <is>
          <t>т</t>
        </is>
      </c>
      <c r="E129" s="328">
        <f>G129/F129</f>
        <v/>
      </c>
      <c r="F129" s="253" t="n">
        <v>5891.61</v>
      </c>
      <c r="G129" s="32">
        <f>SUM(G130:G131)</f>
        <v/>
      </c>
      <c r="H129" s="126">
        <f>G129/$G$190</f>
        <v/>
      </c>
      <c r="I129" s="32">
        <f>ROUND(F129*'Прил. 10'!$D$13,2)</f>
        <v/>
      </c>
      <c r="J129" s="32">
        <f>ROUND(I129*E129,2)</f>
        <v/>
      </c>
    </row>
    <row r="130" hidden="1" outlineLevel="1" ht="25.5" customFormat="1" customHeight="1" s="194">
      <c r="A130" s="251" t="n"/>
      <c r="B130" s="251" t="inlineStr">
        <is>
          <t>08.3.05.02-0058</t>
        </is>
      </c>
      <c r="C130" s="250" t="inlineStr">
        <is>
          <t>Прокат толстолистовой горячекатаный в листах, марка стали Ст3, толщина 6-8 мм</t>
        </is>
      </c>
      <c r="D130" s="251" t="inlineStr">
        <is>
          <t>т</t>
        </is>
      </c>
      <c r="E130" s="328" t="n">
        <v>0.4536</v>
      </c>
      <c r="F130" s="253" t="n">
        <v>5891.61</v>
      </c>
      <c r="G130" s="32">
        <f>ROUND(E130*F130,2)</f>
        <v/>
      </c>
      <c r="H130" s="126">
        <f>G130/$G$190</f>
        <v/>
      </c>
      <c r="I130" s="32">
        <f>ROUND(F130*'Прил. 10'!$D$13,2)</f>
        <v/>
      </c>
      <c r="J130" s="32">
        <f>ROUND(I130*E130,2)</f>
        <v/>
      </c>
    </row>
    <row r="131" hidden="1" outlineLevel="1" ht="25.5" customFormat="1" customHeight="1" s="194">
      <c r="A131" s="251" t="n"/>
      <c r="B131" s="251" t="inlineStr">
        <is>
          <t>08.3.05.02-0052</t>
        </is>
      </c>
      <c r="C131" s="250" t="inlineStr">
        <is>
          <t>Прокат толстолистовой горячекатаный марка стали Ст3, толщина 2-6 мм</t>
        </is>
      </c>
      <c r="D131" s="251" t="inlineStr">
        <is>
          <t>т</t>
        </is>
      </c>
      <c r="E131" s="328" t="n">
        <v>0.1515</v>
      </c>
      <c r="F131" s="253" t="n">
        <v>5941.89</v>
      </c>
      <c r="G131" s="32">
        <f>ROUND(E131*F131,2)</f>
        <v/>
      </c>
      <c r="H131" s="126">
        <f>G131/$G$190</f>
        <v/>
      </c>
      <c r="I131" s="32">
        <f>ROUND(F131*'Прил. 10'!$D$13,2)</f>
        <v/>
      </c>
      <c r="J131" s="32">
        <f>ROUND(I131*E131,2)</f>
        <v/>
      </c>
    </row>
    <row r="132" collapsed="1" ht="25.5" customFormat="1" customHeight="1" s="194">
      <c r="A132" s="251" t="n">
        <v>61</v>
      </c>
      <c r="B132" s="251" t="inlineStr">
        <is>
          <t>21.1.08.01-0313</t>
        </is>
      </c>
      <c r="C132" s="250" t="inlineStr">
        <is>
          <t>Кабель пожарной сигнализации КПСЭнг(A)-FRLS 1х2х1,5</t>
        </is>
      </c>
      <c r="D132" s="251" t="inlineStr">
        <is>
          <t>1000 м</t>
        </is>
      </c>
      <c r="E132" s="328">
        <f>G132/F132</f>
        <v/>
      </c>
      <c r="F132" s="253" t="n">
        <v>5545.45</v>
      </c>
      <c r="G132" s="32">
        <f>SUM(G133:G134)</f>
        <v/>
      </c>
      <c r="H132" s="126">
        <f>G132/$G$190</f>
        <v/>
      </c>
      <c r="I132" s="32">
        <f>ROUND(F132*'Прил. 10'!$D$13,2)</f>
        <v/>
      </c>
      <c r="J132" s="32">
        <f>ROUND(I132*E132,2)</f>
        <v/>
      </c>
    </row>
    <row r="133" hidden="1" outlineLevel="1" ht="25.5" customFormat="1" customHeight="1" s="194">
      <c r="A133" s="251" t="n"/>
      <c r="B133" s="251" t="inlineStr">
        <is>
          <t>21.1.08.01-0313</t>
        </is>
      </c>
      <c r="C133" s="250" t="inlineStr">
        <is>
          <t>Кабель пожарной сигнализации КПСЭнг(A)-FRLS 1х2х1,5</t>
        </is>
      </c>
      <c r="D133" s="251" t="inlineStr">
        <is>
          <t>1000 м</t>
        </is>
      </c>
      <c r="E133" s="328" t="n">
        <v>0.545</v>
      </c>
      <c r="F133" s="253" t="n">
        <v>5545.45</v>
      </c>
      <c r="G133" s="32">
        <f>ROUND(E133*F133,2)</f>
        <v/>
      </c>
      <c r="H133" s="126">
        <f>G133/$G$190</f>
        <v/>
      </c>
      <c r="I133" s="32">
        <f>ROUND(F133*'Прил. 10'!$D$13,2)</f>
        <v/>
      </c>
      <c r="J133" s="32">
        <f>ROUND(I133*E133,2)</f>
        <v/>
      </c>
    </row>
    <row r="134" hidden="1" outlineLevel="1" ht="25.5" customFormat="1" customHeight="1" s="194">
      <c r="A134" s="251" t="n"/>
      <c r="B134" s="251" t="inlineStr">
        <is>
          <t>21.1.08.01-0095</t>
        </is>
      </c>
      <c r="C134" s="250" t="inlineStr">
        <is>
          <t>Кабель пожарной сигнализации КПСВВнг-LS 2х2х0,75</t>
        </is>
      </c>
      <c r="D134" s="251" t="inlineStr">
        <is>
          <t>1000 м</t>
        </is>
      </c>
      <c r="E134" s="328" t="n">
        <v>0.02</v>
      </c>
      <c r="F134" s="253" t="n">
        <v>6663.65</v>
      </c>
      <c r="G134" s="32">
        <f>ROUND(E134*F134,2)</f>
        <v/>
      </c>
      <c r="H134" s="126">
        <f>G134/$G$190</f>
        <v/>
      </c>
      <c r="I134" s="32">
        <f>ROUND(F134*'Прил. 10'!$D$13,2)</f>
        <v/>
      </c>
      <c r="J134" s="32">
        <f>ROUND(I134*E134,2)</f>
        <v/>
      </c>
    </row>
    <row r="135" collapsed="1" ht="25.5" customFormat="1" customHeight="1" s="194">
      <c r="A135" s="251" t="n">
        <v>62</v>
      </c>
      <c r="B135" s="251" t="inlineStr">
        <is>
          <t>01.7.11.07-0040</t>
        </is>
      </c>
      <c r="C135" s="250" t="inlineStr">
        <is>
          <t>Электроды сварочные Э50А, диаметр 4 мм</t>
        </is>
      </c>
      <c r="D135" s="251" t="inlineStr">
        <is>
          <t>т</t>
        </is>
      </c>
      <c r="E135" s="328">
        <f>G135/F135</f>
        <v/>
      </c>
      <c r="F135" s="253" t="n">
        <v>11524</v>
      </c>
      <c r="G135" s="32">
        <f>SUM(G136:G138)</f>
        <v/>
      </c>
      <c r="H135" s="126">
        <f>G135/$G$190</f>
        <v/>
      </c>
      <c r="I135" s="32">
        <f>ROUND(F135*'Прил. 10'!$D$13,2)</f>
        <v/>
      </c>
      <c r="J135" s="32">
        <f>ROUND(I135*E135,2)</f>
        <v/>
      </c>
    </row>
    <row r="136" hidden="1" outlineLevel="1" ht="25.5" customFormat="1" customHeight="1" s="194">
      <c r="A136" s="251" t="n"/>
      <c r="B136" s="251" t="inlineStr">
        <is>
          <t>01.7.11.07-0040</t>
        </is>
      </c>
      <c r="C136" s="250" t="inlineStr">
        <is>
          <t>Электроды сварочные Э50А, диаметр 4 мм</t>
        </is>
      </c>
      <c r="D136" s="251" t="inlineStr">
        <is>
          <t>т</t>
        </is>
      </c>
      <c r="E136" s="328" t="n">
        <v>0.09</v>
      </c>
      <c r="F136" s="253" t="n">
        <v>11524</v>
      </c>
      <c r="G136" s="32">
        <f>ROUND(E136*F136,2)</f>
        <v/>
      </c>
      <c r="H136" s="126">
        <f>G136/$G$190</f>
        <v/>
      </c>
      <c r="I136" s="32">
        <f>ROUND(F136*'Прил. 10'!$D$13,2)</f>
        <v/>
      </c>
      <c r="J136" s="32">
        <f>ROUND(I136*E136,2)</f>
        <v/>
      </c>
    </row>
    <row r="137" hidden="1" outlineLevel="1" ht="14.25" customFormat="1" customHeight="1" s="194">
      <c r="A137" s="251" t="n"/>
      <c r="B137" s="251" t="inlineStr">
        <is>
          <t>01.7.11.07-0032</t>
        </is>
      </c>
      <c r="C137" s="250" t="inlineStr">
        <is>
          <t>Электроды сварочные Э42, диаметр 4 мм</t>
        </is>
      </c>
      <c r="D137" s="251" t="inlineStr">
        <is>
          <t>т</t>
        </is>
      </c>
      <c r="E137" s="328" t="n">
        <v>0.057804</v>
      </c>
      <c r="F137" s="253" t="n">
        <v>10315.01</v>
      </c>
      <c r="G137" s="32">
        <f>ROUND(E137*F137,2)</f>
        <v/>
      </c>
      <c r="H137" s="126">
        <f>G137/$G$190</f>
        <v/>
      </c>
      <c r="I137" s="32">
        <f>ROUND(F137*'Прил. 10'!$D$13,2)</f>
        <v/>
      </c>
      <c r="J137" s="32">
        <f>ROUND(I137*E137,2)</f>
        <v/>
      </c>
    </row>
    <row r="138" hidden="1" outlineLevel="1" ht="14.25" customFormat="1" customHeight="1" s="194">
      <c r="A138" s="251" t="n"/>
      <c r="B138" s="251" t="inlineStr">
        <is>
          <t>01.7.11.07-0044</t>
        </is>
      </c>
      <c r="C138" s="250" t="inlineStr">
        <is>
          <t>Электроды сварочные Э42, диаметр 5 мм</t>
        </is>
      </c>
      <c r="D138" s="251" t="inlineStr">
        <is>
          <t>т</t>
        </is>
      </c>
      <c r="E138" s="328" t="n">
        <v>0.020443</v>
      </c>
      <c r="F138" s="253" t="n">
        <v>9765</v>
      </c>
      <c r="G138" s="32">
        <f>ROUND(E138*F138,2)</f>
        <v/>
      </c>
      <c r="H138" s="126">
        <f>G138/$G$190</f>
        <v/>
      </c>
      <c r="I138" s="32">
        <f>ROUND(F138*'Прил. 10'!$D$13,2)</f>
        <v/>
      </c>
      <c r="J138" s="32">
        <f>ROUND(I138*E138,2)</f>
        <v/>
      </c>
    </row>
    <row r="139" collapsed="1" ht="14.25" customFormat="1" customHeight="1" s="194">
      <c r="A139" s="262" t="n"/>
      <c r="B139" s="167" t="n"/>
      <c r="C139" s="168" t="inlineStr">
        <is>
          <t>Итого основные материалы</t>
        </is>
      </c>
      <c r="D139" s="262" t="n"/>
      <c r="E139" s="331" t="n"/>
      <c r="F139" s="129" t="n"/>
      <c r="G139" s="129">
        <f>G94+G95+G101+G111+G121+G128+G129+G132+G135</f>
        <v/>
      </c>
      <c r="H139" s="126">
        <f>G139/$G$190</f>
        <v/>
      </c>
      <c r="I139" s="32" t="n"/>
      <c r="J139" s="129">
        <f>J94+J95+J101+J111+J121+J128+J129+J132+J135</f>
        <v/>
      </c>
    </row>
    <row r="140" hidden="1" outlineLevel="1" ht="25.5" customFormat="1" customHeight="1" s="194">
      <c r="A140" s="251" t="n">
        <v>63</v>
      </c>
      <c r="B140" s="251" t="inlineStr">
        <is>
          <t>01.7.15.07-0012</t>
        </is>
      </c>
      <c r="C140" s="250" t="inlineStr">
        <is>
          <t>Дюбели пластмассовые с шурупами, размер 12х70 мм</t>
        </is>
      </c>
      <c r="D140" s="251" t="inlineStr">
        <is>
          <t>100 шт</t>
        </is>
      </c>
      <c r="E140" s="328" t="n">
        <v>14.375</v>
      </c>
      <c r="F140" s="253" t="n">
        <v>83</v>
      </c>
      <c r="G140" s="32">
        <f>ROUND(E140*F140,2)</f>
        <v/>
      </c>
      <c r="H140" s="126">
        <f>G140/$G$190</f>
        <v/>
      </c>
      <c r="I140" s="32">
        <f>ROUND(F140*'Прил. 10'!$D$13,2)</f>
        <v/>
      </c>
      <c r="J140" s="32">
        <f>ROUND(I140*E140,2)</f>
        <v/>
      </c>
    </row>
    <row r="141" hidden="1" outlineLevel="1" ht="25.5" customFormat="1" customHeight="1" s="194">
      <c r="A141" s="251" t="n">
        <v>64</v>
      </c>
      <c r="B141" s="251" t="inlineStr">
        <is>
          <t>08.3.08.02-0091</t>
        </is>
      </c>
      <c r="C141" s="250" t="inlineStr">
        <is>
          <t>Уголок перфорированный, марка стали Ст3, размер 35х35 мм</t>
        </is>
      </c>
      <c r="D141" s="251" t="inlineStr">
        <is>
          <t>м</t>
        </is>
      </c>
      <c r="E141" s="328" t="n">
        <v>44.544</v>
      </c>
      <c r="F141" s="253" t="n">
        <v>15.13</v>
      </c>
      <c r="G141" s="32">
        <f>ROUND(E141*F141,2)</f>
        <v/>
      </c>
      <c r="H141" s="126">
        <f>G141/$G$190</f>
        <v/>
      </c>
      <c r="I141" s="32">
        <f>ROUND(F141*'Прил. 10'!$D$13,2)</f>
        <v/>
      </c>
      <c r="J141" s="32">
        <f>ROUND(I141*E141,2)</f>
        <v/>
      </c>
    </row>
    <row r="142" hidden="1" outlineLevel="1" ht="14.25" customFormat="1" customHeight="1" s="194">
      <c r="A142" s="251" t="n">
        <v>65</v>
      </c>
      <c r="B142" s="251" t="inlineStr">
        <is>
          <t>14.4.04.09-0017</t>
        </is>
      </c>
      <c r="C142" s="250" t="inlineStr">
        <is>
          <t>Эмаль ХВ-124, защитная, зеленая</t>
        </is>
      </c>
      <c r="D142" s="251" t="inlineStr">
        <is>
          <t>т</t>
        </is>
      </c>
      <c r="E142" s="328" t="n">
        <v>0.02286</v>
      </c>
      <c r="F142" s="253" t="n">
        <v>28300.4</v>
      </c>
      <c r="G142" s="32">
        <f>ROUND(E142*F142,2)</f>
        <v/>
      </c>
      <c r="H142" s="126">
        <f>G142/$G$190</f>
        <v/>
      </c>
      <c r="I142" s="32">
        <f>ROUND(F142*'Прил. 10'!$D$13,2)</f>
        <v/>
      </c>
      <c r="J142" s="32">
        <f>ROUND(I142*E142,2)</f>
        <v/>
      </c>
    </row>
    <row r="143" hidden="1" outlineLevel="1" ht="25.5" customFormat="1" customHeight="1" s="194">
      <c r="A143" s="251" t="n">
        <v>66</v>
      </c>
      <c r="B143" s="251" t="inlineStr">
        <is>
          <t>999-9950</t>
        </is>
      </c>
      <c r="C143" s="250" t="inlineStr">
        <is>
          <t>Вспомогательные ненормируемые ресурсы (2% от Оплаты труда рабочих)</t>
        </is>
      </c>
      <c r="D143" s="251" t="inlineStr">
        <is>
          <t>руб</t>
        </is>
      </c>
      <c r="E143" s="328" t="n">
        <v>620.551407</v>
      </c>
      <c r="F143" s="253" t="n">
        <v>1</v>
      </c>
      <c r="G143" s="32">
        <f>ROUND(E143*F143,2)</f>
        <v/>
      </c>
      <c r="H143" s="126">
        <f>G143/$G$190</f>
        <v/>
      </c>
      <c r="I143" s="32">
        <f>ROUND(F143*'Прил. 10'!$D$13,2)</f>
        <v/>
      </c>
      <c r="J143" s="32">
        <f>ROUND(I143*E143,2)</f>
        <v/>
      </c>
    </row>
    <row r="144" hidden="1" outlineLevel="1" ht="25.5" customFormat="1" customHeight="1" s="194">
      <c r="A144" s="251" t="n">
        <v>67</v>
      </c>
      <c r="B144" s="251" t="inlineStr">
        <is>
          <t>08.1.02.11-0023</t>
        </is>
      </c>
      <c r="C144" s="250" t="inlineStr">
        <is>
          <t>Поковки простые строительные (скобы, закрепы, хомуты), масса до 1,6 кг</t>
        </is>
      </c>
      <c r="D144" s="251" t="inlineStr">
        <is>
          <t>кг</t>
        </is>
      </c>
      <c r="E144" s="328" t="n">
        <v>38</v>
      </c>
      <c r="F144" s="253" t="n">
        <v>15.14</v>
      </c>
      <c r="G144" s="32">
        <f>ROUND(E144*F144,2)</f>
        <v/>
      </c>
      <c r="H144" s="126">
        <f>G144/$G$190</f>
        <v/>
      </c>
      <c r="I144" s="32">
        <f>ROUND(F144*'Прил. 10'!$D$13,2)</f>
        <v/>
      </c>
      <c r="J144" s="32">
        <f>ROUND(I144*E144,2)</f>
        <v/>
      </c>
    </row>
    <row r="145" hidden="1" outlineLevel="1" ht="51" customFormat="1" customHeight="1" s="194">
      <c r="A145" s="251" t="n">
        <v>68</v>
      </c>
      <c r="B145" s="251" t="inlineStr">
        <is>
          <t>23.8.04.06-0309</t>
        </is>
      </c>
      <c r="C145" s="250" t="inlineStr">
        <is>
          <t>Отводы 90 °C радиусом кривизны R=1,5 Ду на давление до 16 МПа, номинальный диаметр 30 мм, наружный диаметр 33,7 мм, толщина стенки 2,3 мм</t>
        </is>
      </c>
      <c r="D145" s="251" t="inlineStr">
        <is>
          <t>шт</t>
        </is>
      </c>
      <c r="E145" s="328" t="n">
        <v>66</v>
      </c>
      <c r="F145" s="253" t="n">
        <v>6.65</v>
      </c>
      <c r="G145" s="32">
        <f>ROUND(E145*F145,2)</f>
        <v/>
      </c>
      <c r="H145" s="126">
        <f>G145/$G$190</f>
        <v/>
      </c>
      <c r="I145" s="32">
        <f>ROUND(F145*'Прил. 10'!$D$13,2)</f>
        <v/>
      </c>
      <c r="J145" s="32">
        <f>ROUND(I145*E145,2)</f>
        <v/>
      </c>
    </row>
    <row r="146" hidden="1" outlineLevel="1" ht="63.75" customFormat="1" customHeight="1" s="194">
      <c r="A146" s="251" t="n">
        <v>69</v>
      </c>
      <c r="B146" s="251" t="inlineStr">
        <is>
          <t>23.8.04.06-0061</t>
        </is>
      </c>
      <c r="C146" s="250" t="inlineStr">
        <is>
          <t>Отвод крутоизогнутый, радиус кривизны 1,5 мм, номинальное давление до 16 МПа, номинальный диаметр 40 мм, наружный диаметр 45 мм, толщина стенки 2,5 мм</t>
        </is>
      </c>
      <c r="D146" s="251" t="inlineStr">
        <is>
          <t>шт</t>
        </is>
      </c>
      <c r="E146" s="328" t="n">
        <v>20</v>
      </c>
      <c r="F146" s="253" t="n">
        <v>21.15</v>
      </c>
      <c r="G146" s="32">
        <f>ROUND(E146*F146,2)</f>
        <v/>
      </c>
      <c r="H146" s="126">
        <f>G146/$G$190</f>
        <v/>
      </c>
      <c r="I146" s="32">
        <f>ROUND(F146*'Прил. 10'!$D$13,2)</f>
        <v/>
      </c>
      <c r="J146" s="32">
        <f>ROUND(I146*E146,2)</f>
        <v/>
      </c>
    </row>
    <row r="147" hidden="1" outlineLevel="1" ht="25.5" customFormat="1" customHeight="1" s="194">
      <c r="A147" s="251" t="n">
        <v>70</v>
      </c>
      <c r="B147" s="251" t="inlineStr">
        <is>
          <t>10.3.02.03-0012</t>
        </is>
      </c>
      <c r="C147" s="250" t="inlineStr">
        <is>
          <t>Припои оловянно-свинцовые бессурьмянистые, марка ПОС40</t>
        </is>
      </c>
      <c r="D147" s="251" t="inlineStr">
        <is>
          <t>т</t>
        </is>
      </c>
      <c r="E147" s="328" t="n">
        <v>0.006196</v>
      </c>
      <c r="F147" s="253" t="n">
        <v>65750</v>
      </c>
      <c r="G147" s="32">
        <f>ROUND(E147*F147,2)</f>
        <v/>
      </c>
      <c r="H147" s="126">
        <f>G147/$G$190</f>
        <v/>
      </c>
      <c r="I147" s="32">
        <f>ROUND(F147*'Прил. 10'!$D$13,2)</f>
        <v/>
      </c>
      <c r="J147" s="32">
        <f>ROUND(I147*E147,2)</f>
        <v/>
      </c>
    </row>
    <row r="148" hidden="1" outlineLevel="1" ht="14.25" customFormat="1" customHeight="1" s="194">
      <c r="A148" s="251" t="n">
        <v>71</v>
      </c>
      <c r="B148" s="251" t="inlineStr">
        <is>
          <t>14.4.01.01-0003</t>
        </is>
      </c>
      <c r="C148" s="250" t="inlineStr">
        <is>
          <t>Грунтовка ГФ-021</t>
        </is>
      </c>
      <c r="D148" s="251" t="inlineStr">
        <is>
          <t>т</t>
        </is>
      </c>
      <c r="E148" s="328" t="n">
        <v>0.0228477</v>
      </c>
      <c r="F148" s="253" t="n">
        <v>15620</v>
      </c>
      <c r="G148" s="32">
        <f>ROUND(E148*F148,2)</f>
        <v/>
      </c>
      <c r="H148" s="126">
        <f>G148/$G$190</f>
        <v/>
      </c>
      <c r="I148" s="32">
        <f>ROUND(F148*'Прил. 10'!$D$13,2)</f>
        <v/>
      </c>
      <c r="J148" s="32">
        <f>ROUND(I148*E148,2)</f>
        <v/>
      </c>
    </row>
    <row r="149" hidden="1" outlineLevel="1" ht="14.25" customFormat="1" customHeight="1" s="194">
      <c r="A149" s="251" t="n">
        <v>72</v>
      </c>
      <c r="B149" s="251" t="inlineStr">
        <is>
          <t>21.2.03.09-0105</t>
        </is>
      </c>
      <c r="C149" s="250" t="inlineStr">
        <is>
          <t>Провод силовой ПРТО 1х1,5-660</t>
        </is>
      </c>
      <c r="D149" s="251" t="inlineStr">
        <is>
          <t>1000 м</t>
        </is>
      </c>
      <c r="E149" s="328" t="n">
        <v>0.19</v>
      </c>
      <c r="F149" s="253" t="n">
        <v>1819.3</v>
      </c>
      <c r="G149" s="32">
        <f>ROUND(E149*F149,2)</f>
        <v/>
      </c>
      <c r="H149" s="126">
        <f>G149/$G$190</f>
        <v/>
      </c>
      <c r="I149" s="32">
        <f>ROUND(F149*'Прил. 10'!$D$13,2)</f>
        <v/>
      </c>
      <c r="J149" s="32">
        <f>ROUND(I149*E149,2)</f>
        <v/>
      </c>
    </row>
    <row r="150" hidden="1" outlineLevel="1" ht="14.25" customFormat="1" customHeight="1" s="194">
      <c r="A150" s="251" t="n">
        <v>73</v>
      </c>
      <c r="B150" s="251" t="inlineStr">
        <is>
          <t>01.3.02.08-0001</t>
        </is>
      </c>
      <c r="C150" s="250" t="inlineStr">
        <is>
          <t>Кислород газообразный технический</t>
        </is>
      </c>
      <c r="D150" s="251" t="inlineStr">
        <is>
          <t>м3</t>
        </is>
      </c>
      <c r="E150" s="328" t="n">
        <v>37.6231077</v>
      </c>
      <c r="F150" s="253" t="n">
        <v>6.22</v>
      </c>
      <c r="G150" s="32">
        <f>ROUND(E150*F150,2)</f>
        <v/>
      </c>
      <c r="H150" s="126">
        <f>G150/$G$190</f>
        <v/>
      </c>
      <c r="I150" s="32">
        <f>ROUND(F150*'Прил. 10'!$D$13,2)</f>
        <v/>
      </c>
      <c r="J150" s="32">
        <f>ROUND(I150*E150,2)</f>
        <v/>
      </c>
    </row>
    <row r="151" hidden="1" outlineLevel="1" ht="25.5" customFormat="1" customHeight="1" s="194">
      <c r="A151" s="251" t="n">
        <v>74</v>
      </c>
      <c r="B151" s="251" t="inlineStr">
        <is>
          <t>08.3.11.01-0032</t>
        </is>
      </c>
      <c r="C151" s="250" t="inlineStr">
        <is>
          <t>Сталь швеллерная, перфорированная ШП, марка Ст3, размер 60х35 мм</t>
        </is>
      </c>
      <c r="D151" s="251" t="inlineStr">
        <is>
          <t>м</t>
        </is>
      </c>
      <c r="E151" s="328" t="n">
        <v>9.048</v>
      </c>
      <c r="F151" s="253" t="n">
        <v>23.79</v>
      </c>
      <c r="G151" s="32">
        <f>ROUND(E151*F151,2)</f>
        <v/>
      </c>
      <c r="H151" s="126">
        <f>G151/$G$190</f>
        <v/>
      </c>
      <c r="I151" s="32">
        <f>ROUND(F151*'Прил. 10'!$D$13,2)</f>
        <v/>
      </c>
      <c r="J151" s="32">
        <f>ROUND(I151*E151,2)</f>
        <v/>
      </c>
    </row>
    <row r="152" hidden="1" outlineLevel="1" ht="63.75" customFormat="1" customHeight="1" s="194">
      <c r="A152" s="251" t="n">
        <v>75</v>
      </c>
      <c r="B152" s="251" t="inlineStr">
        <is>
          <t>23.8.04.06-0063</t>
        </is>
      </c>
      <c r="C152" s="250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3 мм</t>
        </is>
      </c>
      <c r="D152" s="251" t="inlineStr">
        <is>
          <t>шт</t>
        </is>
      </c>
      <c r="E152" s="328" t="n">
        <v>8</v>
      </c>
      <c r="F152" s="253" t="n">
        <v>25.06</v>
      </c>
      <c r="G152" s="32">
        <f>ROUND(E152*F152,2)</f>
        <v/>
      </c>
      <c r="H152" s="126">
        <f>G152/$G$190</f>
        <v/>
      </c>
      <c r="I152" s="32">
        <f>ROUND(F152*'Прил. 10'!$D$13,2)</f>
        <v/>
      </c>
      <c r="J152" s="32">
        <f>ROUND(I152*E152,2)</f>
        <v/>
      </c>
    </row>
    <row r="153" hidden="1" outlineLevel="1" ht="25.5" customFormat="1" customHeight="1" s="194">
      <c r="A153" s="251" t="n">
        <v>76</v>
      </c>
      <c r="B153" s="251" t="inlineStr">
        <is>
          <t>10.3.02.03-0011</t>
        </is>
      </c>
      <c r="C153" s="250" t="inlineStr">
        <is>
          <t>Припои оловянно-свинцовые бессурьмянистые, марка ПОС30</t>
        </is>
      </c>
      <c r="D153" s="251" t="inlineStr">
        <is>
          <t>т</t>
        </is>
      </c>
      <c r="E153" s="328" t="n">
        <v>0.002825</v>
      </c>
      <c r="F153" s="253" t="n">
        <v>68050</v>
      </c>
      <c r="G153" s="32">
        <f>ROUND(E153*F153,2)</f>
        <v/>
      </c>
      <c r="H153" s="126">
        <f>G153/$G$190</f>
        <v/>
      </c>
      <c r="I153" s="32">
        <f>ROUND(F153*'Прил. 10'!$D$13,2)</f>
        <v/>
      </c>
      <c r="J153" s="32">
        <f>ROUND(I153*E153,2)</f>
        <v/>
      </c>
    </row>
    <row r="154" hidden="1" outlineLevel="1" ht="63.75" customFormat="1" customHeight="1" s="194">
      <c r="A154" s="251" t="n">
        <v>77</v>
      </c>
      <c r="B154" s="251" t="inlineStr">
        <is>
          <t>23.3.03.02-0111</t>
        </is>
      </c>
      <c r="C154" s="250" t="inlineStr">
        <is>
          <t>Трубы стальные бесшовные горячедеформированные со снятой фаской из стали марок 15, 20, 35, наружный диаметр 133 мм, толщина стенки 4 мм</t>
        </is>
      </c>
      <c r="D154" s="251" t="inlineStr">
        <is>
          <t>м</t>
        </is>
      </c>
      <c r="E154" s="328" t="n">
        <v>1.98</v>
      </c>
      <c r="F154" s="253" t="n">
        <v>93.26000000000001</v>
      </c>
      <c r="G154" s="32">
        <f>ROUND(E154*F154,2)</f>
        <v/>
      </c>
      <c r="H154" s="126">
        <f>G154/$G$190</f>
        <v/>
      </c>
      <c r="I154" s="32">
        <f>ROUND(F154*'Прил. 10'!$D$13,2)</f>
        <v/>
      </c>
      <c r="J154" s="32">
        <f>ROUND(I154*E154,2)</f>
        <v/>
      </c>
    </row>
    <row r="155" hidden="1" outlineLevel="1" ht="63.75" customFormat="1" customHeight="1" s="194">
      <c r="A155" s="251" t="n">
        <v>78</v>
      </c>
      <c r="B155" s="251" t="inlineStr">
        <is>
          <t>23.8.04.06-0080</t>
        </is>
      </c>
      <c r="C155" s="250" t="inlineStr">
        <is>
          <t>Отвод крутоизогнутый, радиус кривизны 1,5 мм, номинальное давление до 16 МПа, номинальный диаметр 125 мм, наружный диаметр 133 мм, толщина стенки 6 мм</t>
        </is>
      </c>
      <c r="D155" s="251" t="inlineStr">
        <is>
          <t>шт</t>
        </is>
      </c>
      <c r="E155" s="328" t="n">
        <v>1</v>
      </c>
      <c r="F155" s="253" t="n">
        <v>116.94</v>
      </c>
      <c r="G155" s="32">
        <f>ROUND(E155*F155,2)</f>
        <v/>
      </c>
      <c r="H155" s="126">
        <f>G155/$G$190</f>
        <v/>
      </c>
      <c r="I155" s="32">
        <f>ROUND(F155*'Прил. 10'!$D$13,2)</f>
        <v/>
      </c>
      <c r="J155" s="32">
        <f>ROUND(I155*E155,2)</f>
        <v/>
      </c>
    </row>
    <row r="156" hidden="1" outlineLevel="1" ht="14.25" customFormat="1" customHeight="1" s="194">
      <c r="A156" s="251" t="n">
        <v>79</v>
      </c>
      <c r="B156" s="251" t="inlineStr">
        <is>
          <t>14.5.09.07-0030</t>
        </is>
      </c>
      <c r="C156" s="250" t="inlineStr">
        <is>
          <t>Растворитель Р-4</t>
        </is>
      </c>
      <c r="D156" s="251" t="inlineStr">
        <is>
          <t>кг</t>
        </is>
      </c>
      <c r="E156" s="328" t="n">
        <v>10.128</v>
      </c>
      <c r="F156" s="253" t="n">
        <v>9.42</v>
      </c>
      <c r="G156" s="32">
        <f>ROUND(E156*F156,2)</f>
        <v/>
      </c>
      <c r="H156" s="126">
        <f>G156/$G$190</f>
        <v/>
      </c>
      <c r="I156" s="32">
        <f>ROUND(F156*'Прил. 10'!$D$13,2)</f>
        <v/>
      </c>
      <c r="J156" s="32">
        <f>ROUND(I156*E156,2)</f>
        <v/>
      </c>
    </row>
    <row r="157" hidden="1" outlineLevel="1" ht="14.25" customFormat="1" customHeight="1" s="194">
      <c r="A157" s="251" t="n">
        <v>80</v>
      </c>
      <c r="B157" s="251" t="inlineStr">
        <is>
          <t>01.7.03.01-0002</t>
        </is>
      </c>
      <c r="C157" s="250" t="inlineStr">
        <is>
          <t>Вода водопроводная</t>
        </is>
      </c>
      <c r="D157" s="251" t="inlineStr">
        <is>
          <t>м3</t>
        </is>
      </c>
      <c r="E157" s="328" t="n">
        <v>21.8187105</v>
      </c>
      <c r="F157" s="253" t="n">
        <v>3.15</v>
      </c>
      <c r="G157" s="32">
        <f>ROUND(E157*F157,2)</f>
        <v/>
      </c>
      <c r="H157" s="126">
        <f>G157/$G$190</f>
        <v/>
      </c>
      <c r="I157" s="32">
        <f>ROUND(F157*'Прил. 10'!$D$13,2)</f>
        <v/>
      </c>
      <c r="J157" s="32">
        <f>ROUND(I157*E157,2)</f>
        <v/>
      </c>
    </row>
    <row r="158" hidden="1" outlineLevel="1" ht="14.25" customFormat="1" customHeight="1" s="194">
      <c r="A158" s="251" t="n">
        <v>81</v>
      </c>
      <c r="B158" s="251" t="inlineStr">
        <is>
          <t>22.2.02.23-0011</t>
        </is>
      </c>
      <c r="C158" s="250" t="inlineStr">
        <is>
          <t>Глухари</t>
        </is>
      </c>
      <c r="D158" s="251" t="inlineStr">
        <is>
          <t>100 шт</t>
        </is>
      </c>
      <c r="E158" s="328" t="n">
        <v>0.418</v>
      </c>
      <c r="F158" s="253" t="n">
        <v>164</v>
      </c>
      <c r="G158" s="32">
        <f>ROUND(E158*F158,2)</f>
        <v/>
      </c>
      <c r="H158" s="126">
        <f>G158/$G$190</f>
        <v/>
      </c>
      <c r="I158" s="32">
        <f>ROUND(F158*'Прил. 10'!$D$13,2)</f>
        <v/>
      </c>
      <c r="J158" s="32">
        <f>ROUND(I158*E158,2)</f>
        <v/>
      </c>
    </row>
    <row r="159" hidden="1" outlineLevel="1" ht="63.75" customFormat="1" customHeight="1" s="194">
      <c r="A159" s="251" t="n">
        <v>82</v>
      </c>
      <c r="B159" s="251" t="inlineStr">
        <is>
          <t>23.8.04.06-0066</t>
        </is>
      </c>
      <c r="C159" s="250" t="inlineStr">
        <is>
          <t>Отвод крутоизогнутый, радиус кривизны 1,5 мм, номинальное давление до 16 МПа, номинальный диаметр 65 мм, наружный диаметр 76 мм, толщина стенки 3,5 мм</t>
        </is>
      </c>
      <c r="D159" s="251" t="inlineStr">
        <is>
          <t>шт</t>
        </is>
      </c>
      <c r="E159" s="328" t="n">
        <v>2</v>
      </c>
      <c r="F159" s="253" t="n">
        <v>33.76</v>
      </c>
      <c r="G159" s="32">
        <f>ROUND(E159*F159,2)</f>
        <v/>
      </c>
      <c r="H159" s="126">
        <f>G159/$G$190</f>
        <v/>
      </c>
      <c r="I159" s="32">
        <f>ROUND(F159*'Прил. 10'!$D$13,2)</f>
        <v/>
      </c>
      <c r="J159" s="32">
        <f>ROUND(I159*E159,2)</f>
        <v/>
      </c>
    </row>
    <row r="160" hidden="1" outlineLevel="1" ht="14.25" customFormat="1" customHeight="1" s="194">
      <c r="A160" s="251" t="n">
        <v>83</v>
      </c>
      <c r="B160" s="251" t="inlineStr">
        <is>
          <t>14.4.04.08-0003</t>
        </is>
      </c>
      <c r="C160" s="250" t="inlineStr">
        <is>
          <t>Эмаль ПФ-115, серая</t>
        </is>
      </c>
      <c r="D160" s="251" t="inlineStr">
        <is>
          <t>т</t>
        </is>
      </c>
      <c r="E160" s="328" t="n">
        <v>0.0045215</v>
      </c>
      <c r="F160" s="253" t="n">
        <v>14312.87</v>
      </c>
      <c r="G160" s="32">
        <f>ROUND(E160*F160,2)</f>
        <v/>
      </c>
      <c r="H160" s="126">
        <f>G160/$G$190</f>
        <v/>
      </c>
      <c r="I160" s="32">
        <f>ROUND(F160*'Прил. 10'!$D$13,2)</f>
        <v/>
      </c>
      <c r="J160" s="32">
        <f>ROUND(I160*E160,2)</f>
        <v/>
      </c>
    </row>
    <row r="161" hidden="1" outlineLevel="1" ht="25.5" customFormat="1" customHeight="1" s="194">
      <c r="A161" s="251" t="n">
        <v>84</v>
      </c>
      <c r="B161" s="251" t="inlineStr">
        <is>
          <t>01.7.15.03-0033</t>
        </is>
      </c>
      <c r="C161" s="250" t="inlineStr">
        <is>
          <t>Болты с гайками и шайбами оцинкованные, диаметр 10 мм</t>
        </is>
      </c>
      <c r="D161" s="251" t="inlineStr">
        <is>
          <t>кг</t>
        </is>
      </c>
      <c r="E161" s="328" t="n">
        <v>2.418</v>
      </c>
      <c r="F161" s="253" t="n">
        <v>26.32</v>
      </c>
      <c r="G161" s="32">
        <f>ROUND(E161*F161,2)</f>
        <v/>
      </c>
      <c r="H161" s="126">
        <f>G161/$G$190</f>
        <v/>
      </c>
      <c r="I161" s="32">
        <f>ROUND(F161*'Прил. 10'!$D$13,2)</f>
        <v/>
      </c>
      <c r="J161" s="32">
        <f>ROUND(I161*E161,2)</f>
        <v/>
      </c>
    </row>
    <row r="162" hidden="1" outlineLevel="1" ht="38.25" customFormat="1" customHeight="1" s="194">
      <c r="A162" s="251" t="n">
        <v>85</v>
      </c>
      <c r="B162" s="251" t="inlineStr">
        <is>
          <t>01.7.06.05-0042</t>
        </is>
      </c>
      <c r="C162" s="250" t="inlineStr">
        <is>
          <t>Лента липкая изоляционная на поликасиновом компаунде, ширина 20-30 мм, толщина от 0,14 до 0,19 мм</t>
        </is>
      </c>
      <c r="D162" s="251" t="inlineStr">
        <is>
          <t>кг</t>
        </is>
      </c>
      <c r="E162" s="328" t="n">
        <v>0.57</v>
      </c>
      <c r="F162" s="253" t="n">
        <v>91.29000000000001</v>
      </c>
      <c r="G162" s="32">
        <f>ROUND(E162*F162,2)</f>
        <v/>
      </c>
      <c r="H162" s="126">
        <f>G162/$G$190</f>
        <v/>
      </c>
      <c r="I162" s="32">
        <f>ROUND(F162*'Прил. 10'!$D$13,2)</f>
        <v/>
      </c>
      <c r="J162" s="32">
        <f>ROUND(I162*E162,2)</f>
        <v/>
      </c>
    </row>
    <row r="163" hidden="1" outlineLevel="1" ht="25.5" customFormat="1" customHeight="1" s="194">
      <c r="A163" s="251" t="n">
        <v>86</v>
      </c>
      <c r="B163" s="251" t="inlineStr">
        <is>
          <t>01.7.15.07-0062</t>
        </is>
      </c>
      <c r="C163" s="250" t="inlineStr">
        <is>
          <t>Дюбели с калиброванной головкой (россыпью), размер 3х58,5 мм</t>
        </is>
      </c>
      <c r="D163" s="251" t="inlineStr">
        <is>
          <t>т</t>
        </is>
      </c>
      <c r="E163" s="328" t="n">
        <v>0.0020348</v>
      </c>
      <c r="F163" s="253" t="n">
        <v>25425</v>
      </c>
      <c r="G163" s="32">
        <f>ROUND(E163*F163,2)</f>
        <v/>
      </c>
      <c r="H163" s="126">
        <f>G163/$G$190</f>
        <v/>
      </c>
      <c r="I163" s="32">
        <f>ROUND(F163*'Прил. 10'!$D$13,2)</f>
        <v/>
      </c>
      <c r="J163" s="32">
        <f>ROUND(I163*E163,2)</f>
        <v/>
      </c>
    </row>
    <row r="164" hidden="1" outlineLevel="1" ht="25.5" customFormat="1" customHeight="1" s="194">
      <c r="A164" s="251" t="n">
        <v>87</v>
      </c>
      <c r="B164" s="251" t="inlineStr">
        <is>
          <t>01.7.07.10-0001</t>
        </is>
      </c>
      <c r="C164" s="250" t="inlineStr">
        <is>
          <t>Патроны для строительно-монтажного пистолета</t>
        </is>
      </c>
      <c r="D164" s="251" t="inlineStr">
        <is>
          <t>1000 шт</t>
        </is>
      </c>
      <c r="E164" s="328" t="n">
        <v>0.1910038</v>
      </c>
      <c r="F164" s="253" t="n">
        <v>253.8</v>
      </c>
      <c r="G164" s="32">
        <f>ROUND(E164*F164,2)</f>
        <v/>
      </c>
      <c r="H164" s="126">
        <f>G164/$G$190</f>
        <v/>
      </c>
      <c r="I164" s="32">
        <f>ROUND(F164*'Прил. 10'!$D$13,2)</f>
        <v/>
      </c>
      <c r="J164" s="32">
        <f>ROUND(I164*E164,2)</f>
        <v/>
      </c>
    </row>
    <row r="165" hidden="1" outlineLevel="1" ht="14.25" customFormat="1" customHeight="1" s="194">
      <c r="A165" s="251" t="n">
        <v>88</v>
      </c>
      <c r="B165" s="251" t="inlineStr">
        <is>
          <t>01.3.02.03-0001</t>
        </is>
      </c>
      <c r="C165" s="250" t="inlineStr">
        <is>
          <t>Ацетилен газообразный технический</t>
        </is>
      </c>
      <c r="D165" s="251" t="inlineStr">
        <is>
          <t>м3</t>
        </is>
      </c>
      <c r="E165" s="328" t="n">
        <v>1.0275397</v>
      </c>
      <c r="F165" s="253" t="n">
        <v>38.51</v>
      </c>
      <c r="G165" s="32">
        <f>ROUND(E165*F165,2)</f>
        <v/>
      </c>
      <c r="H165" s="126">
        <f>G165/$G$190</f>
        <v/>
      </c>
      <c r="I165" s="32">
        <f>ROUND(F165*'Прил. 10'!$D$13,2)</f>
        <v/>
      </c>
      <c r="J165" s="32">
        <f>ROUND(I165*E165,2)</f>
        <v/>
      </c>
    </row>
    <row r="166" hidden="1" outlineLevel="1" ht="63.75" customFormat="1" customHeight="1" s="194">
      <c r="A166" s="251" t="n">
        <v>89</v>
      </c>
      <c r="B166" s="251" t="inlineStr">
        <is>
          <t>23.8.04.06-0067</t>
        </is>
      </c>
      <c r="C166" s="250" t="inlineStr">
        <is>
          <t>Отвод крутоизогнутый, радиус кривизны 1,5 мм, номинальное давление до 16 МПа, номинальный диаметр 65 мм, наружный диаметр 76 мм, толщина стенки 5 мм</t>
        </is>
      </c>
      <c r="D166" s="251" t="inlineStr">
        <is>
          <t>шт</t>
        </is>
      </c>
      <c r="E166" s="328" t="n">
        <v>1</v>
      </c>
      <c r="F166" s="253" t="n">
        <v>36.69</v>
      </c>
      <c r="G166" s="32">
        <f>ROUND(E166*F166,2)</f>
        <v/>
      </c>
      <c r="H166" s="126">
        <f>G166/$G$190</f>
        <v/>
      </c>
      <c r="I166" s="32">
        <f>ROUND(F166*'Прил. 10'!$D$13,2)</f>
        <v/>
      </c>
      <c r="J166" s="32">
        <f>ROUND(I166*E166,2)</f>
        <v/>
      </c>
    </row>
    <row r="167" hidden="1" outlineLevel="1" ht="14.25" customFormat="1" customHeight="1" s="194">
      <c r="A167" s="251" t="n">
        <v>90</v>
      </c>
      <c r="B167" s="251" t="inlineStr">
        <is>
          <t>01.3.02.09-0022</t>
        </is>
      </c>
      <c r="C167" s="250" t="inlineStr">
        <is>
          <t>Пропан-бутан смесь техническая</t>
        </is>
      </c>
      <c r="D167" s="251" t="inlineStr">
        <is>
          <t>кг</t>
        </is>
      </c>
      <c r="E167" s="328" t="n">
        <v>6</v>
      </c>
      <c r="F167" s="253" t="n">
        <v>6.09</v>
      </c>
      <c r="G167" s="32">
        <f>ROUND(E167*F167,2)</f>
        <v/>
      </c>
      <c r="H167" s="126">
        <f>G167/$G$190</f>
        <v/>
      </c>
      <c r="I167" s="32">
        <f>ROUND(F167*'Прил. 10'!$D$13,2)</f>
        <v/>
      </c>
      <c r="J167" s="32">
        <f>ROUND(I167*E167,2)</f>
        <v/>
      </c>
    </row>
    <row r="168" hidden="1" outlineLevel="1" ht="14.25" customFormat="1" customHeight="1" s="194">
      <c r="A168" s="251" t="n">
        <v>91</v>
      </c>
      <c r="B168" s="251" t="inlineStr">
        <is>
          <t>01.7.07.29-0101</t>
        </is>
      </c>
      <c r="C168" s="250" t="inlineStr">
        <is>
          <t>Очес льняной</t>
        </is>
      </c>
      <c r="D168" s="251" t="inlineStr">
        <is>
          <t>кг</t>
        </is>
      </c>
      <c r="E168" s="328" t="n">
        <v>0.9362</v>
      </c>
      <c r="F168" s="253" t="n">
        <v>37.29</v>
      </c>
      <c r="G168" s="32">
        <f>ROUND(E168*F168,2)</f>
        <v/>
      </c>
      <c r="H168" s="126">
        <f>G168/$G$190</f>
        <v/>
      </c>
      <c r="I168" s="32">
        <f>ROUND(F168*'Прил. 10'!$D$13,2)</f>
        <v/>
      </c>
      <c r="J168" s="32">
        <f>ROUND(I168*E168,2)</f>
        <v/>
      </c>
    </row>
    <row r="169" hidden="1" outlineLevel="1" ht="25.5" customFormat="1" customHeight="1" s="194">
      <c r="A169" s="251" t="n">
        <v>92</v>
      </c>
      <c r="B169" s="251" t="inlineStr">
        <is>
          <t>14.4.02.04-0142</t>
        </is>
      </c>
      <c r="C169" s="250" t="inlineStr">
        <is>
          <t>Краска масляная земляная МА-0115, мумия, сурик железный</t>
        </is>
      </c>
      <c r="D169" s="251" t="inlineStr">
        <is>
          <t>кг</t>
        </is>
      </c>
      <c r="E169" s="328" t="n">
        <v>1.8724</v>
      </c>
      <c r="F169" s="253" t="n">
        <v>15.12</v>
      </c>
      <c r="G169" s="32">
        <f>ROUND(E169*F169,2)</f>
        <v/>
      </c>
      <c r="H169" s="126">
        <f>G169/$G$190</f>
        <v/>
      </c>
      <c r="I169" s="32">
        <f>ROUND(F169*'Прил. 10'!$D$13,2)</f>
        <v/>
      </c>
      <c r="J169" s="32">
        <f>ROUND(I169*E169,2)</f>
        <v/>
      </c>
    </row>
    <row r="170" hidden="1" outlineLevel="1" ht="25.5" customFormat="1" customHeight="1" s="194">
      <c r="A170" s="251" t="n">
        <v>93</v>
      </c>
      <c r="B170" s="251" t="inlineStr">
        <is>
          <t>18.5.08.18-0061</t>
        </is>
      </c>
      <c r="C170" s="250" t="inlineStr">
        <is>
          <t>Колпачки изоляции места соединения однопроволочных жил</t>
        </is>
      </c>
      <c r="D170" s="251" t="inlineStr">
        <is>
          <t>1000 шт</t>
        </is>
      </c>
      <c r="E170" s="328" t="n">
        <v>0.1910038</v>
      </c>
      <c r="F170" s="253" t="n">
        <v>135.82</v>
      </c>
      <c r="G170" s="32">
        <f>ROUND(E170*F170,2)</f>
        <v/>
      </c>
      <c r="H170" s="126">
        <f>G170/$G$190</f>
        <v/>
      </c>
      <c r="I170" s="32">
        <f>ROUND(F170*'Прил. 10'!$D$13,2)</f>
        <v/>
      </c>
      <c r="J170" s="32">
        <f>ROUND(I170*E170,2)</f>
        <v/>
      </c>
    </row>
    <row r="171" hidden="1" outlineLevel="1" ht="63.75" customFormat="1" customHeight="1" s="194">
      <c r="A171" s="251" t="n">
        <v>94</v>
      </c>
      <c r="B171" s="251" t="inlineStr">
        <is>
          <t>23.8.04.06-0062</t>
        </is>
      </c>
      <c r="C171" s="250" t="inlineStr">
        <is>
          <t>Отвод крутоизогнутый, радиус кривизны 1,5 мм, номинальное давление до 16 МПа, номинальный диаметр 40 мм, наружный диаметр 45 мм, толщина стенки 4 мм</t>
        </is>
      </c>
      <c r="D171" s="251" t="inlineStr">
        <is>
          <t>шт</t>
        </is>
      </c>
      <c r="E171" s="328" t="n">
        <v>1</v>
      </c>
      <c r="F171" s="253" t="n">
        <v>22.44</v>
      </c>
      <c r="G171" s="32">
        <f>ROUND(E171*F171,2)</f>
        <v/>
      </c>
      <c r="H171" s="126">
        <f>G171/$G$190</f>
        <v/>
      </c>
      <c r="I171" s="32">
        <f>ROUND(F171*'Прил. 10'!$D$13,2)</f>
        <v/>
      </c>
      <c r="J171" s="32">
        <f>ROUND(I171*E171,2)</f>
        <v/>
      </c>
    </row>
    <row r="172" hidden="1" outlineLevel="1" ht="25.5" customFormat="1" customHeight="1" s="194">
      <c r="A172" s="251" t="n">
        <v>95</v>
      </c>
      <c r="B172" s="251" t="inlineStr">
        <is>
          <t>01.7.15.03-0031</t>
        </is>
      </c>
      <c r="C172" s="250" t="inlineStr">
        <is>
          <t>Болты с гайками и шайбами оцинкованные, диаметр 6 мм</t>
        </is>
      </c>
      <c r="D172" s="251" t="inlineStr">
        <is>
          <t>кг</t>
        </is>
      </c>
      <c r="E172" s="328" t="n">
        <v>0.708</v>
      </c>
      <c r="F172" s="253" t="n">
        <v>28.22</v>
      </c>
      <c r="G172" s="32">
        <f>ROUND(E172*F172,2)</f>
        <v/>
      </c>
      <c r="H172" s="126">
        <f>G172/$G$190</f>
        <v/>
      </c>
      <c r="I172" s="32">
        <f>ROUND(F172*'Прил. 10'!$D$13,2)</f>
        <v/>
      </c>
      <c r="J172" s="32">
        <f>ROUND(I172*E172,2)</f>
        <v/>
      </c>
    </row>
    <row r="173" hidden="1" outlineLevel="1" ht="25.5" customFormat="1" customHeight="1" s="194">
      <c r="A173" s="251" t="n">
        <v>96</v>
      </c>
      <c r="B173" s="251" t="inlineStr">
        <is>
          <t>14.5.05.01-0011</t>
        </is>
      </c>
      <c r="C173" s="250" t="inlineStr">
        <is>
          <t>Олифа комбинированная для отделочных работ внутри помещений</t>
        </is>
      </c>
      <c r="D173" s="251" t="inlineStr">
        <is>
          <t>т</t>
        </is>
      </c>
      <c r="E173" s="328" t="n">
        <v>0.00092</v>
      </c>
      <c r="F173" s="253" t="n">
        <v>20775</v>
      </c>
      <c r="G173" s="32">
        <f>ROUND(E173*F173,2)</f>
        <v/>
      </c>
      <c r="H173" s="126">
        <f>G173/$G$190</f>
        <v/>
      </c>
      <c r="I173" s="32">
        <f>ROUND(F173*'Прил. 10'!$D$13,2)</f>
        <v/>
      </c>
      <c r="J173" s="32">
        <f>ROUND(I173*E173,2)</f>
        <v/>
      </c>
    </row>
    <row r="174" hidden="1" outlineLevel="1" ht="25.5" customFormat="1" customHeight="1" s="194">
      <c r="A174" s="251" t="n">
        <v>97</v>
      </c>
      <c r="B174" s="251" t="inlineStr">
        <is>
          <t>01.7.15.03-0034</t>
        </is>
      </c>
      <c r="C174" s="250" t="inlineStr">
        <is>
          <t>Болты с гайками и шайбами оцинкованные, диаметр 12 мм</t>
        </is>
      </c>
      <c r="D174" s="251" t="inlineStr">
        <is>
          <t>кг</t>
        </is>
      </c>
      <c r="E174" s="328" t="n">
        <v>0.603</v>
      </c>
      <c r="F174" s="253" t="n">
        <v>25.76</v>
      </c>
      <c r="G174" s="32">
        <f>ROUND(E174*F174,2)</f>
        <v/>
      </c>
      <c r="H174" s="126">
        <f>G174/$G$190</f>
        <v/>
      </c>
      <c r="I174" s="32">
        <f>ROUND(F174*'Прил. 10'!$D$13,2)</f>
        <v/>
      </c>
      <c r="J174" s="32">
        <f>ROUND(I174*E174,2)</f>
        <v/>
      </c>
    </row>
    <row r="175" hidden="1" outlineLevel="1" ht="14.25" customFormat="1" customHeight="1" s="194">
      <c r="A175" s="251" t="n">
        <v>98</v>
      </c>
      <c r="B175" s="251" t="inlineStr">
        <is>
          <t>01.7.15.03-0042</t>
        </is>
      </c>
      <c r="C175" s="250" t="inlineStr">
        <is>
          <t>Болты с гайками и шайбами строительные</t>
        </is>
      </c>
      <c r="D175" s="251" t="inlineStr">
        <is>
          <t>кг</t>
        </is>
      </c>
      <c r="E175" s="328" t="n">
        <v>1.44</v>
      </c>
      <c r="F175" s="253" t="n">
        <v>9.039999999999999</v>
      </c>
      <c r="G175" s="32">
        <f>ROUND(E175*F175,2)</f>
        <v/>
      </c>
      <c r="H175" s="126">
        <f>G175/$G$190</f>
        <v/>
      </c>
      <c r="I175" s="32">
        <f>ROUND(F175*'Прил. 10'!$D$13,2)</f>
        <v/>
      </c>
      <c r="J175" s="32">
        <f>ROUND(I175*E175,2)</f>
        <v/>
      </c>
    </row>
    <row r="176" hidden="1" outlineLevel="1" ht="14.25" customFormat="1" customHeight="1" s="194">
      <c r="A176" s="251" t="n">
        <v>99</v>
      </c>
      <c r="B176" s="251" t="inlineStr">
        <is>
          <t>14.5.09.11-0102</t>
        </is>
      </c>
      <c r="C176" s="250" t="inlineStr">
        <is>
          <t>Уайт-спирит</t>
        </is>
      </c>
      <c r="D176" s="251" t="inlineStr">
        <is>
          <t>кг</t>
        </is>
      </c>
      <c r="E176" s="328" t="n">
        <v>1.711346</v>
      </c>
      <c r="F176" s="253" t="n">
        <v>6.67</v>
      </c>
      <c r="G176" s="32">
        <f>ROUND(E176*F176,2)</f>
        <v/>
      </c>
      <c r="H176" s="126">
        <f>G176/$G$190</f>
        <v/>
      </c>
      <c r="I176" s="32">
        <f>ROUND(F176*'Прил. 10'!$D$13,2)</f>
        <v/>
      </c>
      <c r="J176" s="32">
        <f>ROUND(I176*E176,2)</f>
        <v/>
      </c>
    </row>
    <row r="177" hidden="1" outlineLevel="1" ht="14.25" customFormat="1" customHeight="1" s="194">
      <c r="A177" s="251" t="n">
        <v>100</v>
      </c>
      <c r="B177" s="251" t="inlineStr">
        <is>
          <t>01.3.05.17-0002</t>
        </is>
      </c>
      <c r="C177" s="250" t="inlineStr">
        <is>
          <t>Канифоль сосновая</t>
        </is>
      </c>
      <c r="D177" s="251" t="inlineStr">
        <is>
          <t>кг</t>
        </is>
      </c>
      <c r="E177" s="328" t="n">
        <v>0.3959</v>
      </c>
      <c r="F177" s="253" t="n">
        <v>27.74</v>
      </c>
      <c r="G177" s="32">
        <f>ROUND(E177*F177,2)</f>
        <v/>
      </c>
      <c r="H177" s="126">
        <f>G177/$G$190</f>
        <v/>
      </c>
      <c r="I177" s="32">
        <f>ROUND(F177*'Прил. 10'!$D$13,2)</f>
        <v/>
      </c>
      <c r="J177" s="32">
        <f>ROUND(I177*E177,2)</f>
        <v/>
      </c>
    </row>
    <row r="178" hidden="1" outlineLevel="1" ht="25.5" customFormat="1" customHeight="1" s="194">
      <c r="A178" s="251" t="n">
        <v>101</v>
      </c>
      <c r="B178" s="251" t="inlineStr">
        <is>
          <t>01.7.11.04-0052</t>
        </is>
      </c>
      <c r="C178" s="250" t="inlineStr">
        <is>
          <t>Проволока сварочная СВ-08Г2С, диаметр 2 мм</t>
        </is>
      </c>
      <c r="D178" s="251" t="inlineStr">
        <is>
          <t>кг</t>
        </is>
      </c>
      <c r="E178" s="328" t="n">
        <v>0.604567</v>
      </c>
      <c r="F178" s="253" t="n">
        <v>17.92</v>
      </c>
      <c r="G178" s="32">
        <f>ROUND(E178*F178,2)</f>
        <v/>
      </c>
      <c r="H178" s="126">
        <f>G178/$G$190</f>
        <v/>
      </c>
      <c r="I178" s="32">
        <f>ROUND(F178*'Прил. 10'!$D$13,2)</f>
        <v/>
      </c>
      <c r="J178" s="32">
        <f>ROUND(I178*E178,2)</f>
        <v/>
      </c>
    </row>
    <row r="179" hidden="1" outlineLevel="1" ht="14.25" customFormat="1" customHeight="1" s="194">
      <c r="A179" s="251" t="n">
        <v>102</v>
      </c>
      <c r="B179" s="251" t="inlineStr">
        <is>
          <t>14.5.09.02-0002</t>
        </is>
      </c>
      <c r="C179" s="250" t="inlineStr">
        <is>
          <t>Ксилол нефтяной, марка А</t>
        </is>
      </c>
      <c r="D179" s="251" t="inlineStr">
        <is>
          <t>т</t>
        </is>
      </c>
      <c r="E179" s="328" t="n">
        <v>0.0008961</v>
      </c>
      <c r="F179" s="253" t="n">
        <v>7640</v>
      </c>
      <c r="G179" s="32">
        <f>ROUND(E179*F179,2)</f>
        <v/>
      </c>
      <c r="H179" s="126">
        <f>G179/$G$190</f>
        <v/>
      </c>
      <c r="I179" s="32">
        <f>ROUND(F179*'Прил. 10'!$D$13,2)</f>
        <v/>
      </c>
      <c r="J179" s="32">
        <f>ROUND(I179*E179,2)</f>
        <v/>
      </c>
    </row>
    <row r="180" hidden="1" outlineLevel="1" ht="14.25" customFormat="1" customHeight="1" s="194">
      <c r="A180" s="251" t="n">
        <v>103</v>
      </c>
      <c r="B180" s="251" t="inlineStr">
        <is>
          <t>01.7.15.07-0007</t>
        </is>
      </c>
      <c r="C180" s="250" t="inlineStr">
        <is>
          <t>Дюбели пластмассовые, диаметр 14 мм</t>
        </is>
      </c>
      <c r="D180" s="251" t="inlineStr">
        <is>
          <t>100 шт</t>
        </is>
      </c>
      <c r="E180" s="328" t="n">
        <v>0.24</v>
      </c>
      <c r="F180" s="253" t="n">
        <v>26.6</v>
      </c>
      <c r="G180" s="32">
        <f>ROUND(E180*F180,2)</f>
        <v/>
      </c>
      <c r="H180" s="126">
        <f>G180/$G$190</f>
        <v/>
      </c>
      <c r="I180" s="32">
        <f>ROUND(F180*'Прил. 10'!$D$13,2)</f>
        <v/>
      </c>
      <c r="J180" s="32">
        <f>ROUND(I180*E180,2)</f>
        <v/>
      </c>
    </row>
    <row r="181" hidden="1" outlineLevel="1" ht="14.25" customFormat="1" customHeight="1" s="194">
      <c r="A181" s="251" t="n">
        <v>104</v>
      </c>
      <c r="B181" s="251" t="inlineStr">
        <is>
          <t>03.1.01.01-0002</t>
        </is>
      </c>
      <c r="C181" s="250" t="inlineStr">
        <is>
          <t>Гипс строительный Г-3</t>
        </is>
      </c>
      <c r="D181" s="251" t="inlineStr">
        <is>
          <t>т</t>
        </is>
      </c>
      <c r="E181" s="328" t="n">
        <v>0.00553</v>
      </c>
      <c r="F181" s="253" t="n">
        <v>729.98</v>
      </c>
      <c r="G181" s="32">
        <f>ROUND(E181*F181,2)</f>
        <v/>
      </c>
      <c r="H181" s="126">
        <f>G181/$G$190</f>
        <v/>
      </c>
      <c r="I181" s="32">
        <f>ROUND(F181*'Прил. 10'!$D$13,2)</f>
        <v/>
      </c>
      <c r="J181" s="32">
        <f>ROUND(I181*E181,2)</f>
        <v/>
      </c>
    </row>
    <row r="182" hidden="1" outlineLevel="1" ht="14.25" customFormat="1" customHeight="1" s="194">
      <c r="A182" s="251" t="n">
        <v>105</v>
      </c>
      <c r="B182" s="251" t="inlineStr">
        <is>
          <t>01.7.06.07-0002</t>
        </is>
      </c>
      <c r="C182" s="250" t="inlineStr">
        <is>
          <t>Лента монтажная, тип ЛМ-5</t>
        </is>
      </c>
      <c r="D182" s="251" t="inlineStr">
        <is>
          <t>10 м</t>
        </is>
      </c>
      <c r="E182" s="328" t="n">
        <v>0.5424</v>
      </c>
      <c r="F182" s="253" t="n">
        <v>6.9</v>
      </c>
      <c r="G182" s="32">
        <f>ROUND(E182*F182,2)</f>
        <v/>
      </c>
      <c r="H182" s="126">
        <f>G182/$G$190</f>
        <v/>
      </c>
      <c r="I182" s="32">
        <f>ROUND(F182*'Прил. 10'!$D$13,2)</f>
        <v/>
      </c>
      <c r="J182" s="32">
        <f>ROUND(I182*E182,2)</f>
        <v/>
      </c>
    </row>
    <row r="183" hidden="1" outlineLevel="1" ht="25.5" customFormat="1" customHeight="1" s="194">
      <c r="A183" s="251" t="n">
        <v>106</v>
      </c>
      <c r="B183" s="251" t="inlineStr">
        <is>
          <t>01.7.19.04-0031</t>
        </is>
      </c>
      <c r="C183" s="250" t="inlineStr">
        <is>
          <t>Прокладки резиновые (пластина техническая прессованная)</t>
        </is>
      </c>
      <c r="D183" s="251" t="inlineStr">
        <is>
          <t>кг</t>
        </is>
      </c>
      <c r="E183" s="328" t="n">
        <v>0.12</v>
      </c>
      <c r="F183" s="253" t="n">
        <v>23.09</v>
      </c>
      <c r="G183" s="32">
        <f>ROUND(E183*F183,2)</f>
        <v/>
      </c>
      <c r="H183" s="126">
        <f>G183/$G$190</f>
        <v/>
      </c>
      <c r="I183" s="32">
        <f>ROUND(F183*'Прил. 10'!$D$13,2)</f>
        <v/>
      </c>
      <c r="J183" s="32">
        <f>ROUND(I183*E183,2)</f>
        <v/>
      </c>
    </row>
    <row r="184" hidden="1" outlineLevel="1" ht="14.25" customFormat="1" customHeight="1" s="194">
      <c r="A184" s="251" t="n">
        <v>107</v>
      </c>
      <c r="B184" s="251" t="inlineStr">
        <is>
          <t>14.4.03.03-0002</t>
        </is>
      </c>
      <c r="C184" s="250" t="inlineStr">
        <is>
          <t>Лак битумный БТ-123</t>
        </is>
      </c>
      <c r="D184" s="251" t="inlineStr">
        <is>
          <t>т</t>
        </is>
      </c>
      <c r="E184" s="328" t="n">
        <v>0.000339</v>
      </c>
      <c r="F184" s="253" t="n">
        <v>7826.9</v>
      </c>
      <c r="G184" s="32">
        <f>ROUND(E184*F184,2)</f>
        <v/>
      </c>
      <c r="H184" s="126">
        <f>G184/$G$190</f>
        <v/>
      </c>
      <c r="I184" s="32">
        <f>ROUND(F184*'Прил. 10'!$D$13,2)</f>
        <v/>
      </c>
      <c r="J184" s="32">
        <f>ROUND(I184*E184,2)</f>
        <v/>
      </c>
    </row>
    <row r="185" hidden="1" outlineLevel="1" ht="14.25" customFormat="1" customHeight="1" s="194">
      <c r="A185" s="251" t="n">
        <v>108</v>
      </c>
      <c r="B185" s="251" t="inlineStr">
        <is>
          <t>14.5.05.02-0001</t>
        </is>
      </c>
      <c r="C185" s="250" t="inlineStr">
        <is>
          <t>Олифа натуральная</t>
        </is>
      </c>
      <c r="D185" s="251" t="inlineStr">
        <is>
          <t>кг</t>
        </is>
      </c>
      <c r="E185" s="328" t="n">
        <v>0.036</v>
      </c>
      <c r="F185" s="253" t="n">
        <v>32.6</v>
      </c>
      <c r="G185" s="32">
        <f>ROUND(E185*F185,2)</f>
        <v/>
      </c>
      <c r="H185" s="126">
        <f>G185/$G$190</f>
        <v/>
      </c>
      <c r="I185" s="32">
        <f>ROUND(F185*'Прил. 10'!$D$13,2)</f>
        <v/>
      </c>
      <c r="J185" s="32">
        <f>ROUND(I185*E185,2)</f>
        <v/>
      </c>
    </row>
    <row r="186" hidden="1" outlineLevel="1" ht="14.25" customFormat="1" customHeight="1" s="194">
      <c r="A186" s="251" t="n">
        <v>109</v>
      </c>
      <c r="B186" s="251" t="inlineStr">
        <is>
          <t>14.1.04.02-0002</t>
        </is>
      </c>
      <c r="C186" s="250" t="inlineStr">
        <is>
          <t>Клей 88-СА</t>
        </is>
      </c>
      <c r="D186" s="251" t="inlineStr">
        <is>
          <t>кг</t>
        </is>
      </c>
      <c r="E186" s="328" t="n">
        <v>0.03</v>
      </c>
      <c r="F186" s="253" t="n">
        <v>28.93</v>
      </c>
      <c r="G186" s="32">
        <f>ROUND(E186*F186,2)</f>
        <v/>
      </c>
      <c r="H186" s="126">
        <f>G186/$G$190</f>
        <v/>
      </c>
      <c r="I186" s="32">
        <f>ROUND(F186*'Прил. 10'!$D$13,2)</f>
        <v/>
      </c>
      <c r="J186" s="32">
        <f>ROUND(I186*E186,2)</f>
        <v/>
      </c>
    </row>
    <row r="187" hidden="1" outlineLevel="1" ht="14.25" customFormat="1" customHeight="1" s="194">
      <c r="A187" s="251" t="n">
        <v>110</v>
      </c>
      <c r="B187" s="251" t="inlineStr">
        <is>
          <t>01.1.02.08-0031</t>
        </is>
      </c>
      <c r="C187" s="250" t="inlineStr">
        <is>
          <t>Прокладки паронитовые</t>
        </is>
      </c>
      <c r="D187" s="251" t="inlineStr">
        <is>
          <t>кг</t>
        </is>
      </c>
      <c r="E187" s="328" t="n">
        <v>0.018</v>
      </c>
      <c r="F187" s="253" t="n">
        <v>26.44</v>
      </c>
      <c r="G187" s="32">
        <f>ROUND(E187*F187,2)</f>
        <v/>
      </c>
      <c r="H187" s="126">
        <f>G187/$G$190</f>
        <v/>
      </c>
      <c r="I187" s="32">
        <f>ROUND(F187*'Прил. 10'!$D$13,2)</f>
        <v/>
      </c>
      <c r="J187" s="32">
        <f>ROUND(I187*E187,2)</f>
        <v/>
      </c>
    </row>
    <row r="188" hidden="1" outlineLevel="1" ht="14.25" customFormat="1" customHeight="1" s="194">
      <c r="A188" s="251" t="n">
        <v>111</v>
      </c>
      <c r="B188" s="251" t="inlineStr">
        <is>
          <t>01.7.07.08-0003</t>
        </is>
      </c>
      <c r="C188" s="250" t="inlineStr">
        <is>
          <t>Мыло хозяйственное твердое 72%</t>
        </is>
      </c>
      <c r="D188" s="251" t="inlineStr">
        <is>
          <t>шт</t>
        </is>
      </c>
      <c r="E188" s="328" t="n">
        <v>0.008999999999999999</v>
      </c>
      <c r="F188" s="253" t="n">
        <v>4.5</v>
      </c>
      <c r="G188" s="32">
        <f>ROUND(E188*F188,2)</f>
        <v/>
      </c>
      <c r="H188" s="126">
        <f>G188/$G$190</f>
        <v/>
      </c>
      <c r="I188" s="32">
        <f>ROUND(F188*'Прил. 10'!$D$13,2)</f>
        <v/>
      </c>
      <c r="J188" s="32">
        <f>ROUND(I188*E188,2)</f>
        <v/>
      </c>
    </row>
    <row r="189" collapsed="1" ht="14.25" customFormat="1" customHeight="1" s="194">
      <c r="A189" s="251" t="n"/>
      <c r="B189" s="251" t="n"/>
      <c r="C189" s="250" t="inlineStr">
        <is>
          <t>Итого прочие материалы</t>
        </is>
      </c>
      <c r="D189" s="251" t="n"/>
      <c r="E189" s="252" t="n"/>
      <c r="F189" s="253" t="n"/>
      <c r="G189" s="32">
        <f>SUM(G140:G188)</f>
        <v/>
      </c>
      <c r="H189" s="126">
        <f>G189/$G$190</f>
        <v/>
      </c>
      <c r="I189" s="32" t="n"/>
      <c r="J189" s="32">
        <f>SUM(J140:J188)</f>
        <v/>
      </c>
      <c r="Q189" s="327" t="n"/>
    </row>
    <row r="190" ht="14.25" customFormat="1" customHeight="1" s="194">
      <c r="A190" s="251" t="n"/>
      <c r="B190" s="251" t="n"/>
      <c r="C190" s="249" t="inlineStr">
        <is>
          <t>Итого по разделу «Материалы»</t>
        </is>
      </c>
      <c r="D190" s="251" t="n"/>
      <c r="E190" s="252" t="n"/>
      <c r="F190" s="253" t="n"/>
      <c r="G190" s="32">
        <f>G139+G189</f>
        <v/>
      </c>
      <c r="H190" s="254">
        <f>G190/$G$190</f>
        <v/>
      </c>
      <c r="I190" s="32" t="n"/>
      <c r="J190" s="32">
        <f>J139+J189</f>
        <v/>
      </c>
      <c r="Q190" s="327" t="n"/>
    </row>
    <row r="191" ht="14.25" customFormat="1" customHeight="1" s="194">
      <c r="A191" s="251" t="n"/>
      <c r="B191" s="251" t="n"/>
      <c r="C191" s="250" t="inlineStr">
        <is>
          <t>ИТОГО ПО РМ</t>
        </is>
      </c>
      <c r="D191" s="251" t="n"/>
      <c r="E191" s="252" t="n"/>
      <c r="F191" s="253" t="n"/>
      <c r="G191" s="32">
        <f>G15+G46+G190</f>
        <v/>
      </c>
      <c r="H191" s="254" t="n"/>
      <c r="I191" s="32" t="n"/>
      <c r="J191" s="32">
        <f>J15+J46+J190</f>
        <v/>
      </c>
      <c r="Q191" s="327" t="n"/>
    </row>
    <row r="192" ht="14.25" customFormat="1" customHeight="1" s="194">
      <c r="A192" s="251" t="n"/>
      <c r="B192" s="251" t="n"/>
      <c r="C192" s="250" t="inlineStr">
        <is>
          <t>Накладные расходы</t>
        </is>
      </c>
      <c r="D192" s="131">
        <f>ROUND(G192/(G$17+$G$15),2)</f>
        <v/>
      </c>
      <c r="E192" s="252" t="n"/>
      <c r="F192" s="253" t="n"/>
      <c r="G192" s="32" t="n">
        <v>29669.05</v>
      </c>
      <c r="H192" s="254" t="n"/>
      <c r="I192" s="32" t="n"/>
      <c r="J192" s="32">
        <f>ROUND(D192*(J15+J17),2)</f>
        <v/>
      </c>
      <c r="Q192" s="327" t="n"/>
    </row>
    <row r="193" ht="14.25" customFormat="1" customHeight="1" s="194">
      <c r="A193" s="251" t="n"/>
      <c r="B193" s="251" t="n"/>
      <c r="C193" s="250" t="inlineStr">
        <is>
          <t>Сметная прибыль</t>
        </is>
      </c>
      <c r="D193" s="131">
        <f>ROUND(G193/(G$15+G$17),2)</f>
        <v/>
      </c>
      <c r="E193" s="252" t="n"/>
      <c r="F193" s="253" t="n"/>
      <c r="G193" s="32" t="n">
        <v>15374.8</v>
      </c>
      <c r="H193" s="254" t="n"/>
      <c r="I193" s="32" t="n"/>
      <c r="J193" s="32">
        <f>ROUND(D193*(J15+J17),2)</f>
        <v/>
      </c>
      <c r="Q193" s="327" t="n"/>
    </row>
    <row r="194" ht="14.25" customFormat="1" customHeight="1" s="194">
      <c r="A194" s="251" t="n"/>
      <c r="B194" s="251" t="n"/>
      <c r="C194" s="250" t="inlineStr">
        <is>
          <t>Итого СМР (с НР и СП)</t>
        </is>
      </c>
      <c r="D194" s="251" t="n"/>
      <c r="E194" s="252" t="n"/>
      <c r="F194" s="253" t="n"/>
      <c r="G194" s="32">
        <f>G15+G46+G190+G192+G193</f>
        <v/>
      </c>
      <c r="H194" s="254" t="n"/>
      <c r="I194" s="32" t="n"/>
      <c r="J194" s="32">
        <f>J15+J46+J190+J192+J193</f>
        <v/>
      </c>
      <c r="Q194" s="327" t="n"/>
    </row>
    <row r="195" ht="14.25" customFormat="1" customHeight="1" s="194">
      <c r="A195" s="251" t="n"/>
      <c r="B195" s="251" t="n"/>
      <c r="C195" s="250" t="inlineStr">
        <is>
          <t>ВСЕГО СМР + ОБОРУДОВАНИЕ</t>
        </is>
      </c>
      <c r="D195" s="251" t="n"/>
      <c r="E195" s="252" t="n"/>
      <c r="F195" s="253" t="n"/>
      <c r="G195" s="32">
        <f>G194+G90</f>
        <v/>
      </c>
      <c r="H195" s="254" t="n"/>
      <c r="I195" s="32" t="n"/>
      <c r="J195" s="32">
        <f>J194+J90</f>
        <v/>
      </c>
      <c r="Q195" s="327" t="n"/>
    </row>
    <row r="196" ht="14.25" customFormat="1" customHeight="1" s="194">
      <c r="A196" s="251" t="n"/>
      <c r="B196" s="251" t="n"/>
      <c r="C196" s="250" t="inlineStr">
        <is>
          <t>ИТОГО ПОКАЗАТЕЛЬ НА ЕД. ИЗМ.</t>
        </is>
      </c>
      <c r="D196" s="251" t="inlineStr">
        <is>
          <t>ед</t>
        </is>
      </c>
      <c r="E196" s="332" t="n">
        <v>511.43</v>
      </c>
      <c r="F196" s="253" t="n"/>
      <c r="G196" s="32">
        <f>G195/E196</f>
        <v/>
      </c>
      <c r="H196" s="254" t="n"/>
      <c r="I196" s="32" t="n"/>
      <c r="J196" s="32">
        <f>J195/E196</f>
        <v/>
      </c>
    </row>
    <row r="197">
      <c r="P197" s="194" t="n"/>
      <c r="Q197" s="194" t="n"/>
      <c r="R197" s="194" t="n"/>
    </row>
    <row r="198" ht="14.25" customFormat="1" customHeight="1" s="194">
      <c r="A198" s="193" t="inlineStr">
        <is>
          <t>Составил ______________________    Д.Ю. Нефедова</t>
        </is>
      </c>
    </row>
    <row r="199" ht="14.25" customFormat="1" customHeight="1" s="194">
      <c r="A199" s="196" t="inlineStr">
        <is>
          <t xml:space="preserve">                         (подпись, инициалы, фамилия)</t>
        </is>
      </c>
    </row>
    <row r="200" ht="14.25" customFormat="1" customHeight="1" s="194">
      <c r="A200" s="193" t="n"/>
    </row>
    <row r="201" ht="14.25" customFormat="1" customHeight="1" s="194">
      <c r="A201" s="193" t="inlineStr">
        <is>
          <t>Проверил ______________________        А.В. Костянецкая</t>
        </is>
      </c>
    </row>
    <row r="202" ht="14.25" customFormat="1" customHeight="1" s="194">
      <c r="A202" s="196" t="inlineStr">
        <is>
          <t xml:space="preserve">                        (подпись, инициалы, фамилия)</t>
        </is>
      </c>
    </row>
    <row r="203">
      <c r="P203" s="194" t="n"/>
      <c r="Q203" s="194" t="n"/>
      <c r="R203" s="194" t="n"/>
    </row>
    <row r="204">
      <c r="P204" s="194" t="n"/>
      <c r="Q204" s="194" t="n"/>
      <c r="R204" s="194" t="n"/>
    </row>
    <row r="205">
      <c r="P205" s="194" t="n"/>
      <c r="Q205" s="194" t="n"/>
      <c r="R205" s="194" t="n"/>
    </row>
    <row r="206">
      <c r="P206" s="194" t="n"/>
      <c r="Q206" s="194" t="n"/>
      <c r="R206" s="194" t="n"/>
    </row>
    <row r="207">
      <c r="P207" s="194" t="n"/>
      <c r="Q207" s="194" t="n"/>
      <c r="R207" s="194" t="n"/>
    </row>
    <row r="208">
      <c r="P208" s="194" t="n"/>
      <c r="Q208" s="194" t="n"/>
      <c r="R208" s="194" t="n"/>
    </row>
    <row r="209">
      <c r="P209" s="194" t="n"/>
      <c r="Q209" s="194" t="n"/>
      <c r="R209" s="194" t="n"/>
    </row>
  </sheetData>
  <mergeCells count="21">
    <mergeCell ref="F10:G10"/>
    <mergeCell ref="B92:H92"/>
    <mergeCell ref="A4:J4"/>
    <mergeCell ref="C10:C11"/>
    <mergeCell ref="H2:J2"/>
    <mergeCell ref="E10:E11"/>
    <mergeCell ref="A7:H7"/>
    <mergeCell ref="B47:H47"/>
    <mergeCell ref="B16:H16"/>
    <mergeCell ref="B10:B11"/>
    <mergeCell ref="B93:H93"/>
    <mergeCell ref="B18:H18"/>
    <mergeCell ref="D6:J6"/>
    <mergeCell ref="B48:H48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54"/>
  <sheetViews>
    <sheetView view="pageBreakPreview" topLeftCell="A37" workbookViewId="0">
      <selection activeCell="B49" sqref="B49"/>
    </sheetView>
  </sheetViews>
  <sheetFormatPr baseColWidth="8" defaultRowHeight="15"/>
  <cols>
    <col width="5.7109375" customWidth="1" style="197" min="1" max="1"/>
    <col width="17.5703125" customWidth="1" style="197" min="2" max="2"/>
    <col width="39.140625" customWidth="1" style="197" min="3" max="3"/>
    <col width="10.7109375" customWidth="1" style="197" min="4" max="4"/>
    <col width="13.85546875" customWidth="1" style="197" min="5" max="5"/>
    <col width="13.28515625" customWidth="1" style="197" min="6" max="6"/>
    <col width="14.140625" customWidth="1" style="197" min="7" max="7"/>
  </cols>
  <sheetData>
    <row r="1">
      <c r="A1" s="264" t="inlineStr">
        <is>
          <t>Приложение №6</t>
        </is>
      </c>
    </row>
    <row r="2" ht="21.75" customHeight="1" s="197">
      <c r="A2" s="264" t="n"/>
      <c r="B2" s="264" t="n"/>
      <c r="C2" s="264" t="n"/>
      <c r="D2" s="264" t="n"/>
      <c r="E2" s="264" t="n"/>
      <c r="F2" s="264" t="n"/>
      <c r="G2" s="264" t="n"/>
    </row>
    <row r="3">
      <c r="A3" s="220" t="inlineStr">
        <is>
          <t>Расчет стоимости оборудования</t>
        </is>
      </c>
    </row>
    <row r="4" ht="25.5" customHeight="1" s="197">
      <c r="A4" s="223" t="inlineStr">
        <is>
          <t>Наименование разрабатываемого показателя УНЦ — Система газового пожаротушения.</t>
        </is>
      </c>
    </row>
    <row r="5">
      <c r="A5" s="193" t="n"/>
      <c r="B5" s="193" t="n"/>
      <c r="C5" s="193" t="n"/>
      <c r="D5" s="193" t="n"/>
      <c r="E5" s="193" t="n"/>
      <c r="F5" s="193" t="n"/>
      <c r="G5" s="193" t="n"/>
    </row>
    <row r="6" ht="30" customHeight="1" s="197">
      <c r="A6" s="269" t="inlineStr">
        <is>
          <t>№ пп.</t>
        </is>
      </c>
      <c r="B6" s="269" t="inlineStr">
        <is>
          <t>Код ресурса</t>
        </is>
      </c>
      <c r="C6" s="269" t="inlineStr">
        <is>
          <t>Наименование</t>
        </is>
      </c>
      <c r="D6" s="269" t="inlineStr">
        <is>
          <t>Ед. изм.</t>
        </is>
      </c>
      <c r="E6" s="251" t="inlineStr">
        <is>
          <t>Кол-во единиц по проектным данным</t>
        </is>
      </c>
      <c r="F6" s="269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 s="197">
      <c r="A9" s="25" t="n"/>
      <c r="B9" s="250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197">
      <c r="A10" s="251" t="n"/>
      <c r="B10" s="249" t="n"/>
      <c r="C10" s="250" t="inlineStr">
        <is>
          <t>ИТОГО ИНЖЕНЕРНОЕ ОБОРУДОВАНИЕ</t>
        </is>
      </c>
      <c r="D10" s="249" t="n"/>
      <c r="E10" s="170" t="n"/>
      <c r="F10" s="253" t="n"/>
      <c r="G10" s="32" t="n">
        <v>0</v>
      </c>
    </row>
    <row r="11">
      <c r="A11" s="251" t="n"/>
      <c r="B11" s="250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 ht="25.5" customFormat="1" customHeight="1" s="199">
      <c r="A12" s="251" t="n">
        <v>1</v>
      </c>
      <c r="B12" s="250">
        <f>'Прил.5 Расчет СМР и ОБ'!B49</f>
        <v/>
      </c>
      <c r="C12" s="250">
        <f>'Прил.5 Расчет СМР и ОБ'!C49</f>
        <v/>
      </c>
      <c r="D12" s="251">
        <f>'Прил.5 Расчет СМР и ОБ'!D49</f>
        <v/>
      </c>
      <c r="E12" s="328">
        <f>'Прил.5 Расчет СМР и ОБ'!E49</f>
        <v/>
      </c>
      <c r="F12" s="253">
        <f>'Прил.5 Расчет СМР и ОБ'!F49</f>
        <v/>
      </c>
      <c r="G12" s="32">
        <f>ROUND(E12*F12,2)</f>
        <v/>
      </c>
    </row>
    <row r="13" ht="15.75" customFormat="1" customHeight="1" s="199">
      <c r="A13" s="251" t="n">
        <v>2</v>
      </c>
      <c r="B13" s="250">
        <f>'Прил.5 Расчет СМР и ОБ'!B50</f>
        <v/>
      </c>
      <c r="C13" s="250">
        <f>'Прил.5 Расчет СМР и ОБ'!C50</f>
        <v/>
      </c>
      <c r="D13" s="251">
        <f>'Прил.5 Расчет СМР и ОБ'!D50</f>
        <v/>
      </c>
      <c r="E13" s="328">
        <f>'Прил.5 Расчет СМР и ОБ'!E50</f>
        <v/>
      </c>
      <c r="F13" s="253">
        <f>'Прил.5 Расчет СМР и ОБ'!F50</f>
        <v/>
      </c>
      <c r="G13" s="32">
        <f>ROUND(E13*F13,2)</f>
        <v/>
      </c>
    </row>
    <row r="14" ht="15.75" customFormat="1" customHeight="1" s="199">
      <c r="A14" s="251" t="n">
        <v>3</v>
      </c>
      <c r="B14" s="250">
        <f>'Прил.5 Расчет СМР и ОБ'!B53</f>
        <v/>
      </c>
      <c r="C14" s="250">
        <f>'Прил.5 Расчет СМР и ОБ'!C53</f>
        <v/>
      </c>
      <c r="D14" s="251">
        <f>'Прил.5 Расчет СМР и ОБ'!D53</f>
        <v/>
      </c>
      <c r="E14" s="328">
        <f>'Прил.5 Расчет СМР и ОБ'!E53</f>
        <v/>
      </c>
      <c r="F14" s="253">
        <f>'Прил.5 Расчет СМР и ОБ'!F53</f>
        <v/>
      </c>
      <c r="G14" s="32">
        <f>ROUND(E14*F14,2)</f>
        <v/>
      </c>
    </row>
    <row r="15" ht="25.5" customFormat="1" customHeight="1" s="199">
      <c r="A15" s="251" t="n">
        <v>4</v>
      </c>
      <c r="B15" s="250">
        <f>'Прил.5 Расчет СМР и ОБ'!B54</f>
        <v/>
      </c>
      <c r="C15" s="250">
        <f>'Прил.5 Расчет СМР и ОБ'!C54</f>
        <v/>
      </c>
      <c r="D15" s="251">
        <f>'Прил.5 Расчет СМР и ОБ'!D54</f>
        <v/>
      </c>
      <c r="E15" s="328">
        <f>'Прил.5 Расчет СМР и ОБ'!E54</f>
        <v/>
      </c>
      <c r="F15" s="253">
        <f>'Прил.5 Расчет СМР и ОБ'!F54</f>
        <v/>
      </c>
      <c r="G15" s="32">
        <f>ROUND(E15*F15,2)</f>
        <v/>
      </c>
    </row>
    <row r="16" ht="15.75" customFormat="1" customHeight="1" s="199">
      <c r="A16" s="251" t="n">
        <v>5</v>
      </c>
      <c r="B16" s="250">
        <f>'Прил.5 Расчет СМР и ОБ'!B55</f>
        <v/>
      </c>
      <c r="C16" s="250">
        <f>'Прил.5 Расчет СМР и ОБ'!C55</f>
        <v/>
      </c>
      <c r="D16" s="251">
        <f>'Прил.5 Расчет СМР и ОБ'!D55</f>
        <v/>
      </c>
      <c r="E16" s="328">
        <f>'Прил.5 Расчет СМР и ОБ'!E55</f>
        <v/>
      </c>
      <c r="F16" s="253">
        <f>'Прил.5 Расчет СМР и ОБ'!F55</f>
        <v/>
      </c>
      <c r="G16" s="32">
        <f>ROUND(E16*F16,2)</f>
        <v/>
      </c>
    </row>
    <row r="17" ht="25.5" customFormat="1" customHeight="1" s="199">
      <c r="A17" s="251" t="n">
        <v>6</v>
      </c>
      <c r="B17" s="250">
        <f>'Прил.5 Расчет СМР и ОБ'!B56</f>
        <v/>
      </c>
      <c r="C17" s="250">
        <f>'Прил.5 Расчет СМР и ОБ'!C56</f>
        <v/>
      </c>
      <c r="D17" s="251">
        <f>'Прил.5 Расчет СМР и ОБ'!D56</f>
        <v/>
      </c>
      <c r="E17" s="328">
        <f>'Прил.5 Расчет СМР и ОБ'!E56</f>
        <v/>
      </c>
      <c r="F17" s="253">
        <f>'Прил.5 Расчет СМР и ОБ'!F56</f>
        <v/>
      </c>
      <c r="G17" s="32">
        <f>ROUND(E17*F17,2)</f>
        <v/>
      </c>
    </row>
    <row r="18" ht="38.25" customFormat="1" customHeight="1" s="199">
      <c r="A18" s="251" t="n">
        <v>7</v>
      </c>
      <c r="B18" s="250">
        <f>'Прил.5 Расчет СМР и ОБ'!B57</f>
        <v/>
      </c>
      <c r="C18" s="250">
        <f>'Прил.5 Расчет СМР и ОБ'!C57</f>
        <v/>
      </c>
      <c r="D18" s="251">
        <f>'Прил.5 Расчет СМР и ОБ'!D57</f>
        <v/>
      </c>
      <c r="E18" s="328">
        <f>'Прил.5 Расчет СМР и ОБ'!E57</f>
        <v/>
      </c>
      <c r="F18" s="253">
        <f>'Прил.5 Расчет СМР и ОБ'!F57</f>
        <v/>
      </c>
      <c r="G18" s="32">
        <f>ROUND(E18*F18,2)</f>
        <v/>
      </c>
    </row>
    <row r="19" ht="15.75" customFormat="1" customHeight="1" s="199">
      <c r="A19" s="251" t="n">
        <v>8</v>
      </c>
      <c r="B19" s="250">
        <f>'Прил.5 Расчет СМР и ОБ'!B61</f>
        <v/>
      </c>
      <c r="C19" s="250">
        <f>'Прил.5 Расчет СМР и ОБ'!C61</f>
        <v/>
      </c>
      <c r="D19" s="251">
        <f>'Прил.5 Расчет СМР и ОБ'!D61</f>
        <v/>
      </c>
      <c r="E19" s="328">
        <f>'Прил.5 Расчет СМР и ОБ'!E61</f>
        <v/>
      </c>
      <c r="F19" s="253">
        <f>'Прил.5 Расчет СМР и ОБ'!F61</f>
        <v/>
      </c>
      <c r="G19" s="32">
        <f>ROUND(E19*F19,2)</f>
        <v/>
      </c>
    </row>
    <row r="20" ht="63.75" customFormat="1" customHeight="1" s="199">
      <c r="A20" s="251" t="n">
        <v>9</v>
      </c>
      <c r="B20" s="250">
        <f>'Прил.5 Расчет СМР и ОБ'!B62</f>
        <v/>
      </c>
      <c r="C20" s="250">
        <f>'Прил.5 Расчет СМР и ОБ'!C62</f>
        <v/>
      </c>
      <c r="D20" s="251">
        <f>'Прил.5 Расчет СМР и ОБ'!D62</f>
        <v/>
      </c>
      <c r="E20" s="328">
        <f>'Прил.5 Расчет СМР и ОБ'!E62</f>
        <v/>
      </c>
      <c r="F20" s="253">
        <f>'Прил.5 Расчет СМР и ОБ'!F62</f>
        <v/>
      </c>
      <c r="G20" s="32">
        <f>ROUND(E20*F20,2)</f>
        <v/>
      </c>
    </row>
    <row r="21" ht="25.5" customFormat="1" customHeight="1" s="199">
      <c r="A21" s="251" t="n">
        <v>10</v>
      </c>
      <c r="B21" s="250">
        <f>'Прил.5 Расчет СМР и ОБ'!B63</f>
        <v/>
      </c>
      <c r="C21" s="250">
        <f>'Прил.5 Расчет СМР и ОБ'!C63</f>
        <v/>
      </c>
      <c r="D21" s="251">
        <f>'Прил.5 Расчет СМР и ОБ'!D63</f>
        <v/>
      </c>
      <c r="E21" s="328">
        <f>'Прил.5 Расчет СМР и ОБ'!E63</f>
        <v/>
      </c>
      <c r="F21" s="253">
        <f>'Прил.5 Расчет СМР и ОБ'!F63</f>
        <v/>
      </c>
      <c r="G21" s="32">
        <f>ROUND(E21*F21,2)</f>
        <v/>
      </c>
    </row>
    <row r="22" ht="15.75" customFormat="1" customHeight="1" s="199">
      <c r="A22" s="251" t="n">
        <v>11</v>
      </c>
      <c r="B22" s="250">
        <f>'Прил.5 Расчет СМР и ОБ'!B64</f>
        <v/>
      </c>
      <c r="C22" s="250">
        <f>'Прил.5 Расчет СМР и ОБ'!C64</f>
        <v/>
      </c>
      <c r="D22" s="251">
        <f>'Прил.5 Расчет СМР и ОБ'!D64</f>
        <v/>
      </c>
      <c r="E22" s="328">
        <f>'Прил.5 Расчет СМР и ОБ'!E64</f>
        <v/>
      </c>
      <c r="F22" s="253">
        <f>'Прил.5 Расчет СМР и ОБ'!F64</f>
        <v/>
      </c>
      <c r="G22" s="32">
        <f>ROUND(E22*F22,2)</f>
        <v/>
      </c>
    </row>
    <row r="23" ht="38.25" customFormat="1" customHeight="1" s="199">
      <c r="A23" s="251" t="n">
        <v>12</v>
      </c>
      <c r="B23" s="250">
        <f>'Прил.5 Расчет СМР и ОБ'!B65</f>
        <v/>
      </c>
      <c r="C23" s="250">
        <f>'Прил.5 Расчет СМР и ОБ'!C65</f>
        <v/>
      </c>
      <c r="D23" s="251">
        <f>'Прил.5 Расчет СМР и ОБ'!D65</f>
        <v/>
      </c>
      <c r="E23" s="328">
        <f>'Прил.5 Расчет СМР и ОБ'!E65</f>
        <v/>
      </c>
      <c r="F23" s="253">
        <f>'Прил.5 Расчет СМР и ОБ'!F65</f>
        <v/>
      </c>
      <c r="G23" s="32">
        <f>ROUND(E23*F23,2)</f>
        <v/>
      </c>
    </row>
    <row r="24" ht="15.75" customFormat="1" customHeight="1" s="199">
      <c r="A24" s="251" t="n">
        <v>13</v>
      </c>
      <c r="B24" s="250">
        <f>'Прил.5 Расчет СМР и ОБ'!B66</f>
        <v/>
      </c>
      <c r="C24" s="250">
        <f>'Прил.5 Расчет СМР и ОБ'!C66</f>
        <v/>
      </c>
      <c r="D24" s="251">
        <f>'Прил.5 Расчет СМР и ОБ'!D66</f>
        <v/>
      </c>
      <c r="E24" s="328">
        <f>'Прил.5 Расчет СМР и ОБ'!E66</f>
        <v/>
      </c>
      <c r="F24" s="253">
        <f>'Прил.5 Расчет СМР и ОБ'!F66</f>
        <v/>
      </c>
      <c r="G24" s="32">
        <f>ROUND(E24*F24,2)</f>
        <v/>
      </c>
    </row>
    <row r="25" ht="38.25" customFormat="1" customHeight="1" s="199">
      <c r="A25" s="251" t="n">
        <v>14</v>
      </c>
      <c r="B25" s="250">
        <f>'Прил.5 Расчет СМР и ОБ'!B67</f>
        <v/>
      </c>
      <c r="C25" s="250">
        <f>'Прил.5 Расчет СМР и ОБ'!C67</f>
        <v/>
      </c>
      <c r="D25" s="251">
        <f>'Прил.5 Расчет СМР и ОБ'!D67</f>
        <v/>
      </c>
      <c r="E25" s="328">
        <f>'Прил.5 Расчет СМР и ОБ'!E67</f>
        <v/>
      </c>
      <c r="F25" s="253">
        <f>'Прил.5 Расчет СМР и ОБ'!F67</f>
        <v/>
      </c>
      <c r="G25" s="32">
        <f>ROUND(E25*F25,2)</f>
        <v/>
      </c>
    </row>
    <row r="26" ht="15.75" customFormat="1" customHeight="1" s="199">
      <c r="A26" s="251" t="n">
        <v>15</v>
      </c>
      <c r="B26" s="250">
        <f>'Прил.5 Расчет СМР и ОБ'!B68</f>
        <v/>
      </c>
      <c r="C26" s="250">
        <f>'Прил.5 Расчет СМР и ОБ'!C68</f>
        <v/>
      </c>
      <c r="D26" s="251">
        <f>'Прил.5 Расчет СМР и ОБ'!D68</f>
        <v/>
      </c>
      <c r="E26" s="328">
        <f>'Прил.5 Расчет СМР и ОБ'!E68</f>
        <v/>
      </c>
      <c r="F26" s="253">
        <f>'Прил.5 Расчет СМР и ОБ'!F68</f>
        <v/>
      </c>
      <c r="G26" s="32">
        <f>ROUND(E26*F26,2)</f>
        <v/>
      </c>
    </row>
    <row r="27" ht="38.25" customFormat="1" customHeight="1" s="199">
      <c r="A27" s="251" t="n">
        <v>16</v>
      </c>
      <c r="B27" s="250">
        <f>'Прил.5 Расчет СМР и ОБ'!B69</f>
        <v/>
      </c>
      <c r="C27" s="250">
        <f>'Прил.5 Расчет СМР и ОБ'!C69</f>
        <v/>
      </c>
      <c r="D27" s="251">
        <f>'Прил.5 Расчет СМР и ОБ'!D69</f>
        <v/>
      </c>
      <c r="E27" s="328">
        <f>'Прил.5 Расчет СМР и ОБ'!E69</f>
        <v/>
      </c>
      <c r="F27" s="253">
        <f>'Прил.5 Расчет СМР и ОБ'!F69</f>
        <v/>
      </c>
      <c r="G27" s="32">
        <f>ROUND(E27*F27,2)</f>
        <v/>
      </c>
    </row>
    <row r="28" ht="15.75" customFormat="1" customHeight="1" s="199">
      <c r="A28" s="251" t="n">
        <v>17</v>
      </c>
      <c r="B28" s="250">
        <f>'Прил.5 Расчет СМР и ОБ'!B70</f>
        <v/>
      </c>
      <c r="C28" s="250">
        <f>'Прил.5 Расчет СМР и ОБ'!C70</f>
        <v/>
      </c>
      <c r="D28" s="251">
        <f>'Прил.5 Расчет СМР и ОБ'!D70</f>
        <v/>
      </c>
      <c r="E28" s="328">
        <f>'Прил.5 Расчет СМР и ОБ'!E70</f>
        <v/>
      </c>
      <c r="F28" s="253">
        <f>'Прил.5 Расчет СМР и ОБ'!F70</f>
        <v/>
      </c>
      <c r="G28" s="32">
        <f>ROUND(E28*F28,2)</f>
        <v/>
      </c>
    </row>
    <row r="29" ht="15.75" customFormat="1" customHeight="1" s="199">
      <c r="A29" s="251" t="n">
        <v>18</v>
      </c>
      <c r="B29" s="250">
        <f>'Прил.5 Расчет СМР и ОБ'!B71</f>
        <v/>
      </c>
      <c r="C29" s="250">
        <f>'Прил.5 Расчет СМР и ОБ'!C71</f>
        <v/>
      </c>
      <c r="D29" s="251">
        <f>'Прил.5 Расчет СМР и ОБ'!D71</f>
        <v/>
      </c>
      <c r="E29" s="328">
        <f>'Прил.5 Расчет СМР и ОБ'!E71</f>
        <v/>
      </c>
      <c r="F29" s="253">
        <f>'Прил.5 Расчет СМР и ОБ'!F71</f>
        <v/>
      </c>
      <c r="G29" s="32">
        <f>ROUND(E29*F29,2)</f>
        <v/>
      </c>
    </row>
    <row r="30" ht="63.75" customFormat="1" customHeight="1" s="199">
      <c r="A30" s="251" t="n">
        <v>19</v>
      </c>
      <c r="B30" s="250">
        <f>'Прил.5 Расчет СМР и ОБ'!B72</f>
        <v/>
      </c>
      <c r="C30" s="250">
        <f>'Прил.5 Расчет СМР и ОБ'!C72</f>
        <v/>
      </c>
      <c r="D30" s="251">
        <f>'Прил.5 Расчет СМР и ОБ'!D72</f>
        <v/>
      </c>
      <c r="E30" s="328">
        <f>'Прил.5 Расчет СМР и ОБ'!E72</f>
        <v/>
      </c>
      <c r="F30" s="253">
        <f>'Прил.5 Расчет СМР и ОБ'!F72</f>
        <v/>
      </c>
      <c r="G30" s="32">
        <f>ROUND(E30*F30,2)</f>
        <v/>
      </c>
    </row>
    <row r="31" ht="15.75" customFormat="1" customHeight="1" s="199">
      <c r="A31" s="251" t="n">
        <v>20</v>
      </c>
      <c r="B31" s="250">
        <f>'Прил.5 Расчет СМР и ОБ'!B73</f>
        <v/>
      </c>
      <c r="C31" s="250">
        <f>'Прил.5 Расчет СМР и ОБ'!C73</f>
        <v/>
      </c>
      <c r="D31" s="251">
        <f>'Прил.5 Расчет СМР и ОБ'!D73</f>
        <v/>
      </c>
      <c r="E31" s="328">
        <f>'Прил.5 Расчет СМР и ОБ'!E73</f>
        <v/>
      </c>
      <c r="F31" s="253">
        <f>'Прил.5 Расчет СМР и ОБ'!F73</f>
        <v/>
      </c>
      <c r="G31" s="32">
        <f>ROUND(E31*F31,2)</f>
        <v/>
      </c>
    </row>
    <row r="32" ht="15.75" customFormat="1" customHeight="1" s="199">
      <c r="A32" s="251" t="n">
        <v>21</v>
      </c>
      <c r="B32" s="250">
        <f>'Прил.5 Расчет СМР и ОБ'!B74</f>
        <v/>
      </c>
      <c r="C32" s="250">
        <f>'Прил.5 Расчет СМР и ОБ'!C74</f>
        <v/>
      </c>
      <c r="D32" s="251">
        <f>'Прил.5 Расчет СМР и ОБ'!D74</f>
        <v/>
      </c>
      <c r="E32" s="328">
        <f>'Прил.5 Расчет СМР и ОБ'!E74</f>
        <v/>
      </c>
      <c r="F32" s="253">
        <f>'Прил.5 Расчет СМР и ОБ'!F74</f>
        <v/>
      </c>
      <c r="G32" s="32">
        <f>ROUND(E32*F32,2)</f>
        <v/>
      </c>
    </row>
    <row r="33" ht="15.75" customFormat="1" customHeight="1" s="199">
      <c r="A33" s="251" t="n">
        <v>22</v>
      </c>
      <c r="B33" s="250">
        <f>'Прил.5 Расчет СМР и ОБ'!B75</f>
        <v/>
      </c>
      <c r="C33" s="250">
        <f>'Прил.5 Расчет СМР и ОБ'!C75</f>
        <v/>
      </c>
      <c r="D33" s="251">
        <f>'Прил.5 Расчет СМР и ОБ'!D75</f>
        <v/>
      </c>
      <c r="E33" s="328">
        <f>'Прил.5 Расчет СМР и ОБ'!E75</f>
        <v/>
      </c>
      <c r="F33" s="253">
        <f>'Прил.5 Расчет СМР и ОБ'!F75</f>
        <v/>
      </c>
      <c r="G33" s="32">
        <f>ROUND(E33*F33,2)</f>
        <v/>
      </c>
    </row>
    <row r="34" ht="15.75" customFormat="1" customHeight="1" s="199">
      <c r="A34" s="251" t="n">
        <v>23</v>
      </c>
      <c r="B34" s="250">
        <f>'Прил.5 Расчет СМР и ОБ'!B76</f>
        <v/>
      </c>
      <c r="C34" s="250">
        <f>'Прил.5 Расчет СМР и ОБ'!C76</f>
        <v/>
      </c>
      <c r="D34" s="251">
        <f>'Прил.5 Расчет СМР и ОБ'!D76</f>
        <v/>
      </c>
      <c r="E34" s="328">
        <f>'Прил.5 Расчет СМР и ОБ'!E76</f>
        <v/>
      </c>
      <c r="F34" s="253">
        <f>'Прил.5 Расчет СМР и ОБ'!F76</f>
        <v/>
      </c>
      <c r="G34" s="32">
        <f>ROUND(E34*F34,2)</f>
        <v/>
      </c>
    </row>
    <row r="35" ht="51" customFormat="1" customHeight="1" s="199">
      <c r="A35" s="251" t="n">
        <v>24</v>
      </c>
      <c r="B35" s="250">
        <f>'Прил.5 Расчет СМР и ОБ'!B77</f>
        <v/>
      </c>
      <c r="C35" s="250">
        <f>'Прил.5 Расчет СМР и ОБ'!C77</f>
        <v/>
      </c>
      <c r="D35" s="251">
        <f>'Прил.5 Расчет СМР и ОБ'!D77</f>
        <v/>
      </c>
      <c r="E35" s="328">
        <f>'Прил.5 Расчет СМР и ОБ'!E77</f>
        <v/>
      </c>
      <c r="F35" s="253">
        <f>'Прил.5 Расчет СМР и ОБ'!F77</f>
        <v/>
      </c>
      <c r="G35" s="32">
        <f>ROUND(E35*F35,2)</f>
        <v/>
      </c>
    </row>
    <row r="36" ht="25.5" customFormat="1" customHeight="1" s="199">
      <c r="A36" s="251" t="n">
        <v>25</v>
      </c>
      <c r="B36" s="250">
        <f>'Прил.5 Расчет СМР и ОБ'!B78</f>
        <v/>
      </c>
      <c r="C36" s="250">
        <f>'Прил.5 Расчет СМР и ОБ'!C78</f>
        <v/>
      </c>
      <c r="D36" s="251">
        <f>'Прил.5 Расчет СМР и ОБ'!D78</f>
        <v/>
      </c>
      <c r="E36" s="328">
        <f>'Прил.5 Расчет СМР и ОБ'!E78</f>
        <v/>
      </c>
      <c r="F36" s="253">
        <f>'Прил.5 Расчет СМР и ОБ'!F78</f>
        <v/>
      </c>
      <c r="G36" s="32">
        <f>ROUND(E36*F36,2)</f>
        <v/>
      </c>
    </row>
    <row r="37" ht="25.5" customFormat="1" customHeight="1" s="199">
      <c r="A37" s="251" t="n">
        <v>26</v>
      </c>
      <c r="B37" s="250">
        <f>'Прил.5 Расчет СМР и ОБ'!B79</f>
        <v/>
      </c>
      <c r="C37" s="250">
        <f>'Прил.5 Расчет СМР и ОБ'!C79</f>
        <v/>
      </c>
      <c r="D37" s="251">
        <f>'Прил.5 Расчет СМР и ОБ'!D79</f>
        <v/>
      </c>
      <c r="E37" s="328">
        <f>'Прил.5 Расчет СМР и ОБ'!E79</f>
        <v/>
      </c>
      <c r="F37" s="253">
        <f>'Прил.5 Расчет СМР и ОБ'!F79</f>
        <v/>
      </c>
      <c r="G37" s="32">
        <f>ROUND(E37*F37,2)</f>
        <v/>
      </c>
    </row>
    <row r="38" ht="15.75" customFormat="1" customHeight="1" s="199">
      <c r="A38" s="251" t="n">
        <v>27</v>
      </c>
      <c r="B38" s="250">
        <f>'Прил.5 Расчет СМР и ОБ'!B80</f>
        <v/>
      </c>
      <c r="C38" s="250">
        <f>'Прил.5 Расчет СМР и ОБ'!C80</f>
        <v/>
      </c>
      <c r="D38" s="251">
        <f>'Прил.5 Расчет СМР и ОБ'!D80</f>
        <v/>
      </c>
      <c r="E38" s="328">
        <f>'Прил.5 Расчет СМР и ОБ'!E80</f>
        <v/>
      </c>
      <c r="F38" s="253">
        <f>'Прил.5 Расчет СМР и ОБ'!F80</f>
        <v/>
      </c>
      <c r="G38" s="32">
        <f>ROUND(E38*F38,2)</f>
        <v/>
      </c>
    </row>
    <row r="39" ht="15.75" customFormat="1" customHeight="1" s="199">
      <c r="A39" s="251" t="n">
        <v>28</v>
      </c>
      <c r="B39" s="250">
        <f>'Прил.5 Расчет СМР и ОБ'!B81</f>
        <v/>
      </c>
      <c r="C39" s="250">
        <f>'Прил.5 Расчет СМР и ОБ'!C81</f>
        <v/>
      </c>
      <c r="D39" s="251">
        <f>'Прил.5 Расчет СМР и ОБ'!D81</f>
        <v/>
      </c>
      <c r="E39" s="328">
        <f>'Прил.5 Расчет СМР и ОБ'!E81</f>
        <v/>
      </c>
      <c r="F39" s="253">
        <f>'Прил.5 Расчет СМР и ОБ'!F81</f>
        <v/>
      </c>
      <c r="G39" s="32">
        <f>ROUND(E39*F39,2)</f>
        <v/>
      </c>
    </row>
    <row r="40" ht="51" customFormat="1" customHeight="1" s="199">
      <c r="A40" s="251" t="n">
        <v>29</v>
      </c>
      <c r="B40" s="250">
        <f>'Прил.5 Расчет СМР и ОБ'!B82</f>
        <v/>
      </c>
      <c r="C40" s="250">
        <f>'Прил.5 Расчет СМР и ОБ'!C82</f>
        <v/>
      </c>
      <c r="D40" s="251">
        <f>'Прил.5 Расчет СМР и ОБ'!D82</f>
        <v/>
      </c>
      <c r="E40" s="328">
        <f>'Прил.5 Расчет СМР и ОБ'!E82</f>
        <v/>
      </c>
      <c r="F40" s="253">
        <f>'Прил.5 Расчет СМР и ОБ'!F82</f>
        <v/>
      </c>
      <c r="G40" s="32">
        <f>ROUND(E40*F40,2)</f>
        <v/>
      </c>
    </row>
    <row r="41" ht="25.5" customFormat="1" customHeight="1" s="199">
      <c r="A41" s="251" t="n">
        <v>30</v>
      </c>
      <c r="B41" s="250">
        <f>'Прил.5 Расчет СМР и ОБ'!B83</f>
        <v/>
      </c>
      <c r="C41" s="250">
        <f>'Прил.5 Расчет СМР и ОБ'!C83</f>
        <v/>
      </c>
      <c r="D41" s="251">
        <f>'Прил.5 Расчет СМР и ОБ'!D83</f>
        <v/>
      </c>
      <c r="E41" s="328">
        <f>'Прил.5 Расчет СМР и ОБ'!E83</f>
        <v/>
      </c>
      <c r="F41" s="253">
        <f>'Прил.5 Расчет СМР и ОБ'!F83</f>
        <v/>
      </c>
      <c r="G41" s="32">
        <f>ROUND(E41*F41,2)</f>
        <v/>
      </c>
    </row>
    <row r="42" ht="38.25" customFormat="1" customHeight="1" s="199">
      <c r="A42" s="251" t="n">
        <v>31</v>
      </c>
      <c r="B42" s="250">
        <f>'Прил.5 Расчет СМР и ОБ'!B84</f>
        <v/>
      </c>
      <c r="C42" s="250">
        <f>'Прил.5 Расчет СМР и ОБ'!C84</f>
        <v/>
      </c>
      <c r="D42" s="251">
        <f>'Прил.5 Расчет СМР и ОБ'!D84</f>
        <v/>
      </c>
      <c r="E42" s="328">
        <f>'Прил.5 Расчет СМР и ОБ'!E84</f>
        <v/>
      </c>
      <c r="F42" s="253">
        <f>'Прил.5 Расчет СМР и ОБ'!F84</f>
        <v/>
      </c>
      <c r="G42" s="32">
        <f>ROUND(E42*F42,2)</f>
        <v/>
      </c>
    </row>
    <row r="43" ht="38.25" customFormat="1" customHeight="1" s="199">
      <c r="A43" s="251" t="n">
        <v>32</v>
      </c>
      <c r="B43" s="250">
        <f>'Прил.5 Расчет СМР и ОБ'!B85</f>
        <v/>
      </c>
      <c r="C43" s="250">
        <f>'Прил.5 Расчет СМР и ОБ'!C85</f>
        <v/>
      </c>
      <c r="D43" s="251">
        <f>'Прил.5 Расчет СМР и ОБ'!D85</f>
        <v/>
      </c>
      <c r="E43" s="328">
        <f>'Прил.5 Расчет СМР и ОБ'!E85</f>
        <v/>
      </c>
      <c r="F43" s="253">
        <f>'Прил.5 Расчет СМР и ОБ'!F85</f>
        <v/>
      </c>
      <c r="G43" s="32">
        <f>ROUND(E43*F43,2)</f>
        <v/>
      </c>
    </row>
    <row r="44" ht="15.75" customFormat="1" customHeight="1" s="199">
      <c r="A44" s="251" t="n">
        <v>33</v>
      </c>
      <c r="B44" s="250">
        <f>'Прил.5 Расчет СМР и ОБ'!B86</f>
        <v/>
      </c>
      <c r="C44" s="250">
        <f>'Прил.5 Расчет СМР и ОБ'!C86</f>
        <v/>
      </c>
      <c r="D44" s="251">
        <f>'Прил.5 Расчет СМР и ОБ'!D86</f>
        <v/>
      </c>
      <c r="E44" s="328">
        <f>'Прил.5 Расчет СМР и ОБ'!E86</f>
        <v/>
      </c>
      <c r="F44" s="253">
        <f>'Прил.5 Расчет СМР и ОБ'!F86</f>
        <v/>
      </c>
      <c r="G44" s="32">
        <f>ROUND(E44*F44,2)</f>
        <v/>
      </c>
    </row>
    <row r="45" ht="38.25" customFormat="1" customHeight="1" s="199">
      <c r="A45" s="251" t="n">
        <v>34</v>
      </c>
      <c r="B45" s="250">
        <f>'Прил.5 Расчет СМР и ОБ'!B87</f>
        <v/>
      </c>
      <c r="C45" s="250">
        <f>'Прил.5 Расчет СМР и ОБ'!C87</f>
        <v/>
      </c>
      <c r="D45" s="251">
        <f>'Прил.5 Расчет СМР и ОБ'!D87</f>
        <v/>
      </c>
      <c r="E45" s="328">
        <f>'Прил.5 Расчет СМР и ОБ'!E87</f>
        <v/>
      </c>
      <c r="F45" s="253">
        <f>'Прил.5 Расчет СМР и ОБ'!F87</f>
        <v/>
      </c>
      <c r="G45" s="32">
        <f>ROUND(E45*F45,2)</f>
        <v/>
      </c>
    </row>
    <row r="46" ht="38.25" customFormat="1" customHeight="1" s="199">
      <c r="A46" s="251" t="n">
        <v>35</v>
      </c>
      <c r="B46" s="250">
        <f>'Прил.5 Расчет СМР и ОБ'!B88</f>
        <v/>
      </c>
      <c r="C46" s="250">
        <f>'Прил.5 Расчет СМР и ОБ'!C88</f>
        <v/>
      </c>
      <c r="D46" s="251">
        <f>'Прил.5 Расчет СМР и ОБ'!D88</f>
        <v/>
      </c>
      <c r="E46" s="328">
        <f>'Прил.5 Расчет СМР и ОБ'!E88</f>
        <v/>
      </c>
      <c r="F46" s="253">
        <f>'Прил.5 Расчет СМР и ОБ'!F88</f>
        <v/>
      </c>
      <c r="G46" s="32">
        <f>ROUND(E46*F46,2)</f>
        <v/>
      </c>
    </row>
    <row r="47" ht="25.5" customHeight="1" s="197">
      <c r="A47" s="251" t="n"/>
      <c r="B47" s="250" t="n"/>
      <c r="C47" s="250" t="inlineStr">
        <is>
          <t>ИТОГО ТЕХНОЛОГИЧЕСКОЕ ОБОРУДОВАНИЕ</t>
        </is>
      </c>
      <c r="D47" s="250" t="n"/>
      <c r="E47" s="268" t="n"/>
      <c r="F47" s="253" t="n"/>
      <c r="G47" s="32">
        <f>SUM(G12:G46)</f>
        <v/>
      </c>
    </row>
    <row r="48" ht="19.5" customHeight="1" s="197">
      <c r="A48" s="251" t="n"/>
      <c r="B48" s="250" t="n"/>
      <c r="C48" s="250" t="inlineStr">
        <is>
          <t>Всего по разделу «Оборудование»</t>
        </is>
      </c>
      <c r="D48" s="250" t="n"/>
      <c r="E48" s="268" t="n"/>
      <c r="F48" s="253" t="n"/>
      <c r="G48" s="32">
        <f>G10+G47</f>
        <v/>
      </c>
    </row>
    <row r="49">
      <c r="A49" s="195" t="n"/>
      <c r="B49" s="142" t="n"/>
      <c r="C49" s="195" t="n"/>
      <c r="D49" s="195" t="n"/>
      <c r="E49" s="195" t="n"/>
      <c r="F49" s="195" t="n"/>
      <c r="G49" s="195" t="n"/>
    </row>
    <row r="50">
      <c r="A50" s="193" t="inlineStr">
        <is>
          <t>Составил ______________________    Д.Ю. Нефедова</t>
        </is>
      </c>
      <c r="B50" s="194" t="n"/>
      <c r="C50" s="194" t="n"/>
      <c r="D50" s="195" t="n"/>
      <c r="E50" s="195" t="n"/>
      <c r="F50" s="195" t="n"/>
      <c r="G50" s="195" t="n"/>
    </row>
    <row r="51">
      <c r="A51" s="196" t="inlineStr">
        <is>
          <t xml:space="preserve">                         (подпись, инициалы, фамилия)</t>
        </is>
      </c>
      <c r="B51" s="194" t="n"/>
      <c r="C51" s="194" t="n"/>
      <c r="D51" s="195" t="n"/>
      <c r="E51" s="195" t="n"/>
      <c r="F51" s="195" t="n"/>
      <c r="G51" s="195" t="n"/>
    </row>
    <row r="52">
      <c r="A52" s="193" t="n"/>
      <c r="B52" s="194" t="n"/>
      <c r="C52" s="194" t="n"/>
      <c r="D52" s="195" t="n"/>
      <c r="E52" s="195" t="n"/>
      <c r="F52" s="195" t="n"/>
      <c r="G52" s="195" t="n"/>
    </row>
    <row r="53">
      <c r="A53" s="193" t="inlineStr">
        <is>
          <t>Проверил ______________________        А.В. Костянецкая</t>
        </is>
      </c>
      <c r="B53" s="194" t="n"/>
      <c r="C53" s="194" t="n"/>
      <c r="D53" s="195" t="n"/>
      <c r="E53" s="195" t="n"/>
      <c r="F53" s="195" t="n"/>
      <c r="G53" s="195" t="n"/>
    </row>
    <row r="54">
      <c r="A54" s="196" t="inlineStr">
        <is>
          <t xml:space="preserve">                        (подпись, инициалы, фамилия)</t>
        </is>
      </c>
      <c r="B54" s="194" t="n"/>
      <c r="C54" s="194" t="n"/>
      <c r="D54" s="195" t="n"/>
      <c r="E54" s="195" t="n"/>
      <c r="F54" s="195" t="n"/>
      <c r="G54" s="1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197" min="1" max="1"/>
    <col width="16.42578125" customWidth="1" style="197" min="2" max="2"/>
    <col width="37.140625" customWidth="1" style="197" min="3" max="3"/>
    <col width="49" customWidth="1" style="197" min="4" max="4"/>
    <col width="9.140625" customWidth="1" style="197" min="5" max="5"/>
  </cols>
  <sheetData>
    <row r="1" ht="15.75" customHeight="1" s="197">
      <c r="A1" s="199" t="n"/>
      <c r="B1" s="199" t="n"/>
      <c r="C1" s="199" t="n"/>
      <c r="D1" s="199" t="inlineStr">
        <is>
          <t>Приложение №7</t>
        </is>
      </c>
    </row>
    <row r="2" ht="15.75" customHeight="1" s="197">
      <c r="A2" s="199" t="n"/>
      <c r="B2" s="199" t="n"/>
      <c r="C2" s="199" t="n"/>
      <c r="D2" s="199" t="n"/>
    </row>
    <row r="3" ht="15.75" customHeight="1" s="197">
      <c r="A3" s="199" t="n"/>
      <c r="B3" s="188" t="inlineStr">
        <is>
          <t>Расчет показателя УНЦ</t>
        </is>
      </c>
      <c r="C3" s="199" t="n"/>
      <c r="D3" s="199" t="n"/>
    </row>
    <row r="4" ht="15.75" customHeight="1" s="197">
      <c r="A4" s="199" t="n"/>
      <c r="B4" s="199" t="n"/>
      <c r="C4" s="199" t="n"/>
      <c r="D4" s="199" t="n"/>
    </row>
    <row r="5" ht="15.75" customHeight="1" s="197">
      <c r="A5" s="270" t="inlineStr">
        <is>
          <t xml:space="preserve">Наименование разрабатываемого показателя УНЦ - </t>
        </is>
      </c>
      <c r="D5" s="270">
        <f>'Прил.5 Расчет СМР и ОБ'!D6:J6</f>
        <v/>
      </c>
    </row>
    <row r="6" ht="15.75" customHeight="1" s="197">
      <c r="A6" s="199" t="inlineStr">
        <is>
          <t>Единица измерения  — 1 м2</t>
        </is>
      </c>
      <c r="B6" s="199" t="n"/>
      <c r="C6" s="199" t="n"/>
      <c r="D6" s="199" t="n"/>
    </row>
    <row r="7" ht="15.75" customHeight="1" s="197">
      <c r="A7" s="199" t="n"/>
      <c r="B7" s="199" t="n"/>
      <c r="C7" s="199" t="n"/>
      <c r="D7" s="199" t="n"/>
    </row>
    <row r="8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>
      <c r="A9" s="324" t="n"/>
      <c r="B9" s="324" t="n"/>
      <c r="C9" s="324" t="n"/>
      <c r="D9" s="324" t="n"/>
    </row>
    <row r="10" ht="15.75" customHeight="1" s="197">
      <c r="A10" s="235" t="n">
        <v>1</v>
      </c>
      <c r="B10" s="235" t="n">
        <v>2</v>
      </c>
      <c r="C10" s="235" t="n">
        <v>3</v>
      </c>
      <c r="D10" s="235" t="n">
        <v>4</v>
      </c>
    </row>
    <row r="11" ht="63" customHeight="1" s="197">
      <c r="A11" s="235" t="inlineStr">
        <is>
          <t>И16-01</t>
        </is>
      </c>
      <c r="B11" s="235" t="inlineStr">
        <is>
          <t xml:space="preserve">УНЦ комплекса систем безопасности ПС </t>
        </is>
      </c>
      <c r="C11" s="191">
        <f>D5</f>
        <v/>
      </c>
      <c r="D11" s="205">
        <f>'Прил.4 РМ'!C40/1000</f>
        <v/>
      </c>
    </row>
    <row r="13">
      <c r="A13" s="193" t="inlineStr">
        <is>
          <t>Составил ______________________     Д.Ю. Нефедова</t>
        </is>
      </c>
      <c r="B13" s="194" t="n"/>
      <c r="C13" s="194" t="n"/>
      <c r="D13" s="195" t="n"/>
    </row>
    <row r="14">
      <c r="A14" s="196" t="inlineStr">
        <is>
          <t xml:space="preserve">                         (подпись, инициалы, фамилия)</t>
        </is>
      </c>
      <c r="B14" s="194" t="n"/>
      <c r="C14" s="194" t="n"/>
      <c r="D14" s="195" t="n"/>
    </row>
    <row r="15">
      <c r="A15" s="193" t="n"/>
      <c r="B15" s="194" t="n"/>
      <c r="C15" s="194" t="n"/>
      <c r="D15" s="195" t="n"/>
    </row>
    <row r="16">
      <c r="A16" s="193" t="inlineStr">
        <is>
          <t>Проверил ______________________        А.В. Костянецкая</t>
        </is>
      </c>
      <c r="B16" s="194" t="n"/>
      <c r="C16" s="194" t="n"/>
      <c r="D16" s="195" t="n"/>
    </row>
    <row r="17">
      <c r="A17" s="196" t="inlineStr">
        <is>
          <t xml:space="preserve">                        (подпись, инициалы, фамилия)</t>
        </is>
      </c>
      <c r="B17" s="194" t="n"/>
      <c r="C17" s="194" t="n"/>
      <c r="D17" s="19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tabSelected="1" view="pageBreakPreview" topLeftCell="A7" zoomScale="60" zoomScaleNormal="85" workbookViewId="0">
      <selection activeCell="B24" sqref="B24:C24"/>
    </sheetView>
  </sheetViews>
  <sheetFormatPr baseColWidth="8" defaultRowHeight="15"/>
  <cols>
    <col width="9.140625" customWidth="1" style="197" min="1" max="1"/>
    <col width="40.7109375" customWidth="1" style="197" min="2" max="2"/>
    <col width="37" customWidth="1" style="197" min="3" max="3"/>
    <col width="32" customWidth="1" style="197" min="4" max="4"/>
    <col width="9.140625" customWidth="1" style="197" min="5" max="5"/>
  </cols>
  <sheetData>
    <row r="4" ht="15.75" customHeight="1" s="197">
      <c r="B4" s="227" t="inlineStr">
        <is>
          <t>Приложение № 10</t>
        </is>
      </c>
    </row>
    <row r="5" ht="18.75" customHeight="1" s="197">
      <c r="B5" s="118" t="n"/>
    </row>
    <row r="6" ht="15.75" customHeight="1" s="197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71" t="n"/>
    </row>
    <row r="8">
      <c r="B8" s="271" t="n"/>
      <c r="C8" s="271" t="n"/>
      <c r="D8" s="271" t="n"/>
      <c r="E8" s="271" t="n"/>
    </row>
    <row r="9" ht="47.25" customHeight="1" s="197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 s="197">
      <c r="B10" s="235" t="n">
        <v>1</v>
      </c>
      <c r="C10" s="235" t="n">
        <v>2</v>
      </c>
      <c r="D10" s="235" t="n">
        <v>3</v>
      </c>
    </row>
    <row r="11" ht="45" customHeight="1" s="197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прил.1</t>
        </is>
      </c>
      <c r="D11" s="235" t="n">
        <v>44.29</v>
      </c>
    </row>
    <row r="12" ht="29.25" customHeight="1" s="197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прил.1</t>
        </is>
      </c>
      <c r="D12" s="235" t="n">
        <v>13.47</v>
      </c>
    </row>
    <row r="13" ht="29.25" customHeight="1" s="197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прил.1</t>
        </is>
      </c>
      <c r="D13" s="235" t="n">
        <v>8.039999999999999</v>
      </c>
    </row>
    <row r="14" ht="30.75" customHeight="1" s="197">
      <c r="B14" s="235" t="inlineStr">
        <is>
          <t>Индекс изменения сметной стоимости на 1 квартал 2023 года. ОБ</t>
        </is>
      </c>
      <c r="C14" s="147" t="inlineStr">
        <is>
          <t>Письмо Минстроя России от 23.02.2023г. №9791-ИФ/09 прил.6</t>
        </is>
      </c>
      <c r="D14" s="235" t="n">
        <v>6.26</v>
      </c>
    </row>
    <row r="15" ht="89.25" customHeight="1" s="197">
      <c r="B15" s="235" t="inlineStr">
        <is>
          <t>Временные здания и сооружения</t>
        </is>
      </c>
      <c r="C15" s="235" t="inlineStr">
        <is>
          <t xml:space="preserve">п.23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0.025</v>
      </c>
    </row>
    <row r="16" ht="78.75" customHeight="1" s="197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0.021</v>
      </c>
    </row>
    <row r="17" ht="34.5" customHeight="1" s="197">
      <c r="B17" s="235" t="n"/>
      <c r="C17" s="235" t="n"/>
      <c r="D17" s="235" t="n"/>
    </row>
    <row r="18" ht="31.5" customHeight="1" s="197">
      <c r="B18" s="235" t="inlineStr">
        <is>
          <t>Строительный контроль</t>
        </is>
      </c>
      <c r="C18" s="235" t="inlineStr">
        <is>
          <t>Постановление Правительства РФ от 21.06.10 г. № 468</t>
        </is>
      </c>
      <c r="D18" s="119" t="n">
        <v>0.0214</v>
      </c>
    </row>
    <row r="19" ht="31.5" customHeight="1" s="197">
      <c r="B19" s="235" t="inlineStr">
        <is>
          <t>Авторский надзор - 0,2%</t>
        </is>
      </c>
      <c r="C19" s="235" t="inlineStr">
        <is>
          <t>Приказ от 4.08.2020 № 421/пр п.173</t>
        </is>
      </c>
      <c r="D19" s="119" t="n">
        <v>0.002</v>
      </c>
    </row>
    <row r="20" ht="24" customHeight="1" s="197">
      <c r="B20" s="235" t="inlineStr">
        <is>
          <t>Непредвиденные расходы</t>
        </is>
      </c>
      <c r="C20" s="235" t="inlineStr">
        <is>
          <t>Приказ от 4.08.2020 № 421/пр п.179</t>
        </is>
      </c>
      <c r="D20" s="119" t="n">
        <v>0.03</v>
      </c>
    </row>
    <row r="21" ht="18.75" customHeight="1" s="197">
      <c r="B21" s="143" t="n"/>
    </row>
    <row r="22" ht="18.75" customHeight="1" s="197">
      <c r="B22" s="143" t="n"/>
    </row>
    <row r="23" ht="18.75" customHeight="1" s="197">
      <c r="B23" s="143" t="n"/>
    </row>
    <row r="24" ht="18.75" customHeight="1" s="197">
      <c r="B24" s="143" t="n"/>
    </row>
    <row r="27">
      <c r="B27" s="193" t="inlineStr">
        <is>
          <t>Составил ______________________        Д.Ю. Нефедова</t>
        </is>
      </c>
      <c r="C27" s="194" t="n"/>
    </row>
    <row r="28">
      <c r="B28" s="196" t="inlineStr">
        <is>
          <t xml:space="preserve">                         (подпись, инициалы, фамилия)</t>
        </is>
      </c>
      <c r="C28" s="194" t="n"/>
    </row>
    <row r="29">
      <c r="B29" s="193" t="n"/>
      <c r="C29" s="194" t="n"/>
    </row>
    <row r="30">
      <c r="B30" s="193" t="inlineStr">
        <is>
          <t>Проверил ______________________        А.В. Костянецкая</t>
        </is>
      </c>
      <c r="C30" s="194" t="n"/>
    </row>
    <row r="31">
      <c r="B31" s="196" t="inlineStr">
        <is>
          <t xml:space="preserve">                        (подпись, инициалы, фамилия)</t>
        </is>
      </c>
      <c r="C31" s="1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97" min="2" max="2"/>
    <col width="13" customWidth="1" style="197" min="3" max="3"/>
    <col width="22.85546875" customWidth="1" style="197" min="4" max="4"/>
    <col width="21.5703125" customWidth="1" style="197" min="5" max="5"/>
    <col width="43.85546875" customWidth="1" style="197" min="6" max="6"/>
  </cols>
  <sheetData>
    <row r="1" s="197"/>
    <row r="2" ht="17.25" customHeight="1" s="197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3" s="197"/>
    <row r="4" ht="18" customHeight="1" s="197">
      <c r="A4" s="198" t="inlineStr">
        <is>
          <t>Составлен в уровне цен на 01.01.2023 г.</t>
        </is>
      </c>
      <c r="B4" s="199" t="n"/>
      <c r="C4" s="199" t="n"/>
      <c r="D4" s="199" t="n"/>
      <c r="E4" s="199" t="n"/>
      <c r="F4" s="199" t="n"/>
      <c r="G4" s="199" t="n"/>
    </row>
    <row r="5" ht="15.75" customHeight="1" s="197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99" t="n"/>
    </row>
    <row r="6" ht="15.75" customHeight="1" s="197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99" t="n"/>
    </row>
    <row r="7" ht="110.25" customHeight="1" s="197">
      <c r="A7" s="201" t="inlineStr">
        <is>
          <t>1.1</t>
        </is>
      </c>
      <c r="B7" s="20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204" t="n">
        <v>47872.94</v>
      </c>
      <c r="F7" s="20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9" t="n"/>
    </row>
    <row r="8" ht="31.5" customHeight="1" s="197">
      <c r="A8" s="201" t="inlineStr">
        <is>
          <t>1.2</t>
        </is>
      </c>
      <c r="B8" s="206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205">
        <f>1973/12</f>
        <v/>
      </c>
      <c r="F8" s="206" t="inlineStr">
        <is>
          <t>Производственный календарь 2023 год
(40-часов.неделя)</t>
        </is>
      </c>
      <c r="G8" s="208" t="n"/>
    </row>
    <row r="9" ht="15.75" customHeight="1" s="197">
      <c r="A9" s="201" t="inlineStr">
        <is>
          <t>1.3</t>
        </is>
      </c>
      <c r="B9" s="206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205" t="n">
        <v>1</v>
      </c>
      <c r="F9" s="206" t="n"/>
      <c r="G9" s="208" t="n"/>
    </row>
    <row r="10" ht="15.75" customHeight="1" s="197">
      <c r="A10" s="201" t="inlineStr">
        <is>
          <t>1.4</t>
        </is>
      </c>
      <c r="B10" s="206" t="inlineStr">
        <is>
          <t>Средний разряд работ</t>
        </is>
      </c>
      <c r="C10" s="235" t="n"/>
      <c r="D10" s="235" t="n"/>
      <c r="E10" s="333" t="n">
        <v>4</v>
      </c>
      <c r="F10" s="206" t="inlineStr">
        <is>
          <t>РТМ</t>
        </is>
      </c>
      <c r="G10" s="208" t="n"/>
    </row>
    <row r="11" ht="78.75" customHeight="1" s="197">
      <c r="A11" s="201" t="inlineStr">
        <is>
          <t>1.5</t>
        </is>
      </c>
      <c r="B11" s="206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334" t="n">
        <v>1.34</v>
      </c>
      <c r="F11" s="20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9" t="n"/>
    </row>
    <row r="12" ht="78.75" customHeight="1" s="197">
      <c r="A12" s="201" t="inlineStr">
        <is>
          <t>1.6</t>
        </is>
      </c>
      <c r="B12" s="211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335" t="n">
        <v>1.139</v>
      </c>
      <c r="F12" s="2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n"/>
    </row>
    <row r="13" ht="63" customHeight="1" s="197">
      <c r="A13" s="315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17" t="inlineStr">
        <is>
          <t>ФОТр.тек.</t>
        </is>
      </c>
      <c r="D13" s="317" t="inlineStr">
        <is>
          <t>(С1ср/tср*КТ*Т*Кув)*Кинф</t>
        </is>
      </c>
      <c r="E13" s="318">
        <f>((E7*E9/E8)*E11)*E12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2025-01-24T12:01:59Z</dcterms:modified>
  <cp:lastModifiedBy>Nikolay Ivanov</cp:lastModifiedBy>
  <cp:lastPrinted>2023-11-30T14:16:46Z</cp:lastPrinted>
</cp:coreProperties>
</file>