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7" sheetId="6" state="visible" r:id="rId6"/>
    <sheet name="Прил.6 Расчет ОБ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xlnm.Print_Area" localSheetId="1">'Прил.2 Расч стоим'!$A$1:$J$32</definedName>
    <definedName name="_Toc132270799" localSheetId="2">Прил.3!$A$2</definedName>
    <definedName name="_xlnm.Print_Area" localSheetId="2">'Прил.3'!$A$1:$H$57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ОБ'!$A$1:$J$76</definedName>
    <definedName name="\AUTOEXEC" localSheetId="5">#REF!</definedName>
    <definedName name="\z" localSheetId="5">#REF!</definedName>
    <definedName name="______a2" localSheetId="5">#REF!</definedName>
    <definedName name="______xlnm.Primt_Area_3" localSheetId="5">#REF!</definedName>
    <definedName name="_____xlnm.Print_Area_1" localSheetId="5">#REF!</definedName>
    <definedName name="____xlnm.Primt_Area_3" localSheetId="5">#REF!</definedName>
    <definedName name="___wrn2" localSheetId="5">{"'Прил.7'!glc1",#N/A,FALSE,"GLC";"'Прил.7'!glc2",#N/A,FALSE,"GLC";"'Прил.7'!glc3",#N/A,FALSE,"GLC";"'Прил.7'!glc4",#N/A,FALSE,"GLC";"'Прил.7'!glc5",#N/A,FALSE,"GLC"}</definedName>
    <definedName name="___wrn222" localSheetId="5">{"'Прил.7'!glc1",#N/A,FALSE,"GLC";"'Прил.7'!glc2",#N/A,FALSE,"GLC";"'Прил.7'!glc3",#N/A,FALSE,"GLC";"'Прил.7'!glc4",#N/A,FALSE,"GLC";"'Прил.7'!glc5",#N/A,FALSE,"GLC"}</definedName>
    <definedName name="___xlnm.Primt_Area_3" localSheetId="5">#REF!</definedName>
    <definedName name="__IntlFixup" localSheetId="5">TRUE</definedName>
    <definedName name="__qs2" localSheetId="5">#REF!</definedName>
    <definedName name="__wrn2" localSheetId="5">{"'Прил.7'!glc1",#N/A,FALSE,"GLC";"'Прил.7'!glc2",#N/A,FALSE,"GLC";"'Прил.7'!glc3",#N/A,FALSE,"GLC";"'Прил.7'!glc4",#N/A,FALSE,"GLC";"'Прил.7'!glc5",#N/A,FALSE,"GLC"}</definedName>
    <definedName name="__wrn222" localSheetId="5">{"'Прил.7'!glc1",#N/A,FALSE,"GLC";"'Прил.7'!glc2",#N/A,FALSE,"GLC";"'Прил.7'!glc3",#N/A,FALSE,"GLC";"'Прил.7'!glc4",#N/A,FALSE,"GLC";"'Прил.7'!glc5",#N/A,FALSE,"GLC"}</definedName>
    <definedName name="__xlnm.Primt_Area_3" localSheetId="5">#REF!</definedName>
    <definedName name="_02121" localSheetId="5">#REF!</definedName>
    <definedName name="_AUTOEXEC" localSheetId="5">#REF!</definedName>
    <definedName name="_Fill" localSheetId="5">#REF!</definedName>
    <definedName name="_Hlt440565644_1" localSheetId="5">#REF!</definedName>
    <definedName name="_k" localSheetId="5">#REF!</definedName>
    <definedName name="_qs2" localSheetId="5">#REF!</definedName>
    <definedName name="_wrn2" localSheetId="5">{"'Прил.7'!glc1",#N/A,FALSE,"GLC";"'Прил.7'!glc2",#N/A,FALSE,"GLC";"'Прил.7'!glc3",#N/A,FALSE,"GLC";"'Прил.7'!glc4",#N/A,FALSE,"GLC";"'Прил.7'!glc5",#N/A,FALSE,"GLC"}</definedName>
    <definedName name="_wrn222" localSheetId="5">{"'Прил.7'!glc1",#N/A,FALSE,"GLC";"'Прил.7'!glc2",#N/A,FALSE,"GLC";"'Прил.7'!glc3",#N/A,FALSE,"GLC";"'Прил.7'!glc4",#N/A,FALSE,"GLC";"'Прил.7'!glc5",#N/A,FALSE,"GLC"}</definedName>
    <definedName name="_z" localSheetId="5">#REF!</definedName>
    <definedName name="_Стоимость_УНЦП" localSheetId="5">#REF!</definedName>
    <definedName name="a" localSheetId="5">#REF!</definedName>
    <definedName name="asd" localSheetId="5">#REF!</definedName>
    <definedName name="Categories" localSheetId="5">#REF!</definedName>
    <definedName name="_xlnm.Criteria" localSheetId="5">#REF!</definedName>
    <definedName name="cvtnf" localSheetId="5">#REF!</definedName>
    <definedName name="ddduy" localSheetId="5">#REF!</definedName>
    <definedName name="DiscontRate" localSheetId="5">#REF!</definedName>
    <definedName name="Excel_BuiltIn_Database" localSheetId="5">#REF!</definedName>
    <definedName name="Excel_BuiltIn_Print_Area_10_1" localSheetId="5">#REF!</definedName>
    <definedName name="Excel_BuiltIn_Print_Area_15" localSheetId="5">#REF!</definedName>
    <definedName name="Excel_BuiltIn_Print_Area_2_1" localSheetId="5">#REF!</definedName>
    <definedName name="Excel_BuiltIn_Print_Area_3_1" localSheetId="5">#REF!</definedName>
    <definedName name="Excel_BuiltIn_Print_Area_4" localSheetId="5">#REF!</definedName>
    <definedName name="Excel_BuiltIn_Print_Area_5" localSheetId="5">#REF!</definedName>
    <definedName name="Excel_BuiltIn_Print_Area_7_1" localSheetId="5">#REF!</definedName>
    <definedName name="Excel_BuiltIn_Print_Area_8_1" localSheetId="5">#REF!</definedName>
    <definedName name="Excel_BuiltIn_Print_Area_9_1" localSheetId="5">#REF!</definedName>
    <definedName name="htvjyn" localSheetId="5">#REF!</definedName>
    <definedName name="iii" localSheetId="5">#REF!</definedName>
    <definedName name="Itog" localSheetId="5">#REF!</definedName>
    <definedName name="jkjhggh" localSheetId="5">#REF!</definedName>
    <definedName name="kk" localSheetId="5">#REF!</definedName>
    <definedName name="KPlan" localSheetId="5">#REF!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5">#REF!</definedName>
    <definedName name="n_1" localSheetId="5">{"","одинz","дваz","триz","четыреz","пятьz","шестьz","семьz","восемьz","девятьz"}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5">{"";1;"двадцатьz";"тридцатьz";"сорокz";"пятьдесятz";"шестьдесятz";"семьдесятz";"восемьдесятz";"девяностоz"}</definedName>
    <definedName name="n_4" localSheetId="5">{"","стоz","двестиz","тристаz","четырестаz","пятьсотz","шестьсотz","семьсотz","восемьсотz","девятьсотz"}</definedName>
    <definedName name="n_5" localSheetId="5">{"","однаz","двеz","триz","четыреz","пятьz","шестьz","семьz","восемьz","девятьz"}</definedName>
    <definedName name="n0x" localSheetId="5">IF(Прил.7!n_3=1,Прил.7!n_2,Прил.7!n_3&amp;Прил.7!n_1)</definedName>
    <definedName name="n1x" localSheetId="5">IF(Прил.7!n_3=1,Прил.7!n_2,Прил.7!n_3&amp;Прил.7!n_5)</definedName>
    <definedName name="Nalog" localSheetId="5">#REF!</definedName>
    <definedName name="NumColJournal" localSheetId="5">#REF!</definedName>
    <definedName name="oppp" localSheetId="5">#REF!</definedName>
    <definedName name="pp" localSheetId="5">#REF!</definedName>
    <definedName name="_xlnm.Print_Area" localSheetId="5">#REF!</definedName>
    <definedName name="propis" localSheetId="5">#REF!</definedName>
    <definedName name="qqqqqqqqqqqqqqqqqqqqqqqqqqqqqqqqqqq" localSheetId="5">#REF!</definedName>
    <definedName name="rrrrrr" localSheetId="5">#REF!</definedName>
    <definedName name="SD_DC" localSheetId="5">#REF!</definedName>
    <definedName name="SDDsfd" localSheetId="5">#REF!</definedName>
    <definedName name="SM" localSheetId="5">#REF!</definedName>
    <definedName name="SM_STO1" localSheetId="5">#REF!</definedName>
    <definedName name="Status" localSheetId="5">#REF!</definedName>
    <definedName name="SUM_" localSheetId="5">#REF!</definedName>
    <definedName name="ttt" localSheetId="5">#REF!</definedName>
    <definedName name="USA_1" localSheetId="5">#REF!</definedName>
    <definedName name="v" localSheetId="5">#REF!</definedName>
    <definedName name="w" localSheetId="5">#REF!</definedName>
    <definedName name="wrn" localSheetId="5">{"'Прил.7'!glc1",#N/A,FALSE,"GLC";"'Прил.7'!glc2",#N/A,FALSE,"GLC";"'Прил.7'!glc3",#N/A,FALSE,"GLC";"'Прил.7'!glc4",#N/A,FALSE,"GLC";"'Прил.7'!glc5",#N/A,FALSE,"GLC"}</definedName>
    <definedName name="wrn.1." localSheetId="5">{#N/A,#N/A,FALSE,"Шаблон_Спец1"}</definedName>
    <definedName name="wrn.Aging._.and._.Trend._.Analysis." localSheetId="5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basicfin." localSheetId="5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Departmentals." localSheetId="5">{#N/A,#N/A,TRUE,"Engineering Dept";#N/A,#N/A,TRUE,"Sales Dept";#N/A,#N/A,TRUE,"Marketing Dept";#N/A,#N/A,TRUE,"Admin Dept"}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Financials." localSheetId="5">{#N/A,#N/A,TRUE,"Balance Sheet";#N/A,#N/A,TRUE,"Income Statement";#N/A,#N/A,TRUE,"Statement of Cash Flows";#N/A,#N/A,TRUE,"Key Indicators"}</definedName>
    <definedName name="wrn.glc." localSheetId="5">{"glcbs",#N/A,FALSE,"GLCBS";"glccsbs",#N/A,FALSE,"GLCCSBS";"glcis",#N/A,FALSE,"GLCIS";"glccsis",#N/A,FALSE,"GLCCSIS";"glcrat1",#N/A,FALSE,"GLC-ratios1"}</definedName>
    <definedName name="wrn.glcpromonte." localSheetId="5">{"'Прил.7'!glc1",#N/A,FALSE,"GLC";"'Прил.7'!glc2",#N/A,FALSE,"GLC";"'Прил.7'!glc3",#N/A,FALSE,"GLC";"'Прил.7'!glc4",#N/A,FALSE,"GLC";"'Прил.7'!glc5",#N/A,FALSE,"GLC"}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5">#REF!</definedName>
    <definedName name="А10" localSheetId="5">#REF!</definedName>
    <definedName name="аааа" localSheetId="5">#REF!</definedName>
    <definedName name="ало" localSheetId="5">#REF!</definedName>
    <definedName name="анол" localSheetId="5">#REF!</definedName>
    <definedName name="аода" localSheetId="5">#REF!</definedName>
    <definedName name="аопы" localSheetId="5">#REF!</definedName>
    <definedName name="аправи" localSheetId="5">#REF!</definedName>
    <definedName name="апыо" localSheetId="5">#REF!</definedName>
    <definedName name="аро" localSheetId="5">#REF!</definedName>
    <definedName name="ародарод" localSheetId="5">#REF!</definedName>
    <definedName name="Астраханская_область" localSheetId="5">#REF!</definedName>
    <definedName name="аыв" localSheetId="5">#REF!</definedName>
    <definedName name="аыпрыпр" localSheetId="5">#REF!</definedName>
    <definedName name="б" localSheetId="5">#REF!</definedName>
    <definedName name="Больш" localSheetId="5">#REF!</definedName>
    <definedName name="бьюждж" localSheetId="5">#REF!</definedName>
    <definedName name="вава" localSheetId="5">#REF!</definedName>
    <definedName name="ВАЛ_" localSheetId="5">#REF!</definedName>
    <definedName name="вао" localSheetId="5">#REF!</definedName>
    <definedName name="варо" localSheetId="5">#REF!</definedName>
    <definedName name="ввв" localSheetId="5">#REF!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5">#REF!</definedName>
    <definedName name="веше" localSheetId="5">#REF!</definedName>
    <definedName name="Владимирская_область" localSheetId="5">#REF!</definedName>
    <definedName name="внеове" localSheetId="5">#REF!</definedName>
    <definedName name="Волгоградская_область" localSheetId="5">#REF!</definedName>
    <definedName name="Вп" localSheetId="5">#REF!</definedName>
    <definedName name="впор" localSheetId="5">#REF!</definedName>
    <definedName name="врьпврь" localSheetId="5">#REF!</definedName>
    <definedName name="вс" localSheetId="5">{#N/A,#N/A,FALSE,"Aging Summary";#N/A,#N/A,FALSE,"Ratio Analysis";#N/A,#N/A,FALSE,"Test 120 Day Accts";#N/A,#N/A,FALSE,"Tickmarks"}</definedName>
    <definedName name="Всего_по_смете" localSheetId="5">#REF!</definedName>
    <definedName name="ВсегоШурфов" localSheetId="5">#REF!</definedName>
    <definedName name="Вычислительная_техника_1" localSheetId="5">#REF!</definedName>
    <definedName name="ГАП" localSheetId="5">#REF!</definedName>
    <definedName name="гелог" localSheetId="5">#REF!</definedName>
    <definedName name="геол1" localSheetId="5">#REF!</definedName>
    <definedName name="гидро1" localSheetId="5">#REF!</definedName>
    <definedName name="гидро5" localSheetId="5">#REF!</definedName>
    <definedName name="глрп" localSheetId="5">#REF!</definedName>
    <definedName name="гор" localSheetId="5">#REF!</definedName>
    <definedName name="гш" localSheetId="5">#REF!</definedName>
    <definedName name="д" localSheetId="5">#REF!</definedName>
    <definedName name="десятый" localSheetId="5">#REF!</definedName>
    <definedName name="Дефлятор" localSheetId="5">#REF!</definedName>
    <definedName name="Дефлятор1" localSheetId="5">#REF!</definedName>
    <definedName name="диапазон" localSheetId="5">#REF!</definedName>
    <definedName name="Диск" localSheetId="5">#REF!</definedName>
    <definedName name="Длинна_границы" localSheetId="5">#REF!</definedName>
    <definedName name="длозщшзщдлжб" localSheetId="5">#REF!</definedName>
    <definedName name="Дн_ставка" localSheetId="5">#REF!</definedName>
    <definedName name="ДОЛЛАР" localSheetId="5">#REF!</definedName>
    <definedName name="Доп._оборудование_1" localSheetId="5">#REF!</definedName>
    <definedName name="Дорога_1" localSheetId="5">#REF!</definedName>
    <definedName name="дщшю" localSheetId="5">#REF!</definedName>
    <definedName name="Еврейская_автономная_область" localSheetId="5">#REF!</definedName>
    <definedName name="жжж" localSheetId="5">#REF!</definedName>
    <definedName name="Заказчик" localSheetId="5">#REF!</definedName>
    <definedName name="зждзд" localSheetId="5">#REF!</definedName>
    <definedName name="ЗИП_Всего_1" localSheetId="5">#REF!</definedName>
    <definedName name="зощр" localSheetId="5">#REF!</definedName>
    <definedName name="Ивановская_область" localSheetId="5">#REF!</definedName>
    <definedName name="имт" localSheetId="5">#REF!</definedName>
    <definedName name="Ини" localSheetId="5">#REF!</definedName>
    <definedName name="ИС__И.Максимов" localSheetId="5">#REF!</definedName>
    <definedName name="Итого_ЗПМ_по_акту_вып_работ_в_базисных_ценах_с_учетом_к_тов" localSheetId="5">#REF!</definedName>
    <definedName name="Итого_материал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5">#REF!</definedName>
    <definedName name="Итого_НР_по_акту_по_ресурсному_расчету" localSheetId="5">#REF!</definedName>
    <definedName name="Итого_ОЗП_по_акту_вып_работ_в_базисных_ценах_с_учетом_к_тов" localSheetId="5">#REF!</definedName>
    <definedName name="Итого_ПЗ_по_акту_вып_работ_в_базисных_ценах_с_учетом_к_тов" localSheetId="5">#REF!</definedName>
    <definedName name="Итого_СП_по_акту_по_ресурсному_расчету" localSheetId="5">#REF!</definedName>
    <definedName name="Итого_ФОТ_по_акту_выполненных_работ_в_базисных_ценах" localSheetId="5">#REF!</definedName>
    <definedName name="Итого_ЭММ_по_акту_вып_работ_в_базисных_ценах_с_учетом_к_тов" localSheetId="5">#REF!</definedName>
    <definedName name="йцйу3йк" localSheetId="5">#REF!</definedName>
    <definedName name="йцу" localSheetId="5">#REF!</definedName>
    <definedName name="Кабели_1" localSheetId="5">#REF!</definedName>
    <definedName name="кака" localSheetId="5">#REF!</definedName>
    <definedName name="Категория_сложности" localSheetId="5">#REF!</definedName>
    <definedName name="КВАРТАЛ2" localSheetId="5">#REF!</definedName>
    <definedName name="кгкг" localSheetId="5">#REF!</definedName>
    <definedName name="КИПиавтом" localSheetId="5">#REF!</definedName>
    <definedName name="книга" localSheetId="5">#REF!</definedName>
    <definedName name="Количество_планшетов" localSheetId="5">#REF!</definedName>
    <definedName name="ком." localSheetId="5">#REF!</definedName>
    <definedName name="комплект" localSheetId="5">#REF!</definedName>
    <definedName name="конкурс" localSheetId="5">#REF!</definedName>
    <definedName name="Контроллер_1" localSheetId="5">#REF!</definedName>
    <definedName name="корр" localSheetId="5">{#N/A,#N/A,FALSE,"Шаблон_Спец1"}</definedName>
    <definedName name="Костромская_область" localSheetId="5">#REF!</definedName>
    <definedName name="КОЭФ3" localSheetId="5">#REF!</definedName>
    <definedName name="КоэфБезПоля" localSheetId="5">#REF!</definedName>
    <definedName name="Коэффициент" localSheetId="5">#REF!</definedName>
    <definedName name="крас" localSheetId="5">#REF!</definedName>
    <definedName name="куку" localSheetId="5">#REF!</definedName>
    <definedName name="Курс_доллара_США" localSheetId="5">#REF!</definedName>
    <definedName name="лаборатория" localSheetId="5">#REF!</definedName>
    <definedName name="ленин" localSheetId="5">#REF!</definedName>
    <definedName name="ЛимитУРС_ПИР" localSheetId="5">#REF!</definedName>
    <definedName name="М" localSheetId="5">#REF!</definedName>
    <definedName name="Магаданская_область" localSheetId="5">#REF!</definedName>
    <definedName name="МАРЖА" localSheetId="5">#REF!</definedName>
    <definedName name="МИ_Т" localSheetId="5">#REF!</definedName>
    <definedName name="мил" localSheetId="5">{0,"овz";1,"z";2,"аz";5,"овz"}</definedName>
    <definedName name="мин" localSheetId="5">#REF!</definedName>
    <definedName name="мм" localSheetId="5">#REF!</definedName>
    <definedName name="Монтаж" localSheetId="5">#REF!</definedName>
    <definedName name="Московская_область" localSheetId="5">#REF!</definedName>
    <definedName name="Мурманская_область" localSheetId="5">#REF!</definedName>
    <definedName name="над" localSheetId="5">#REF!</definedName>
    <definedName name="Название_проекта" localSheetId="5">#REF!</definedName>
    <definedName name="Наименование_группы_строек" localSheetId="5">#REF!</definedName>
    <definedName name="нвле" localSheetId="5">#REF!</definedName>
    <definedName name="нер" localSheetId="5">#REF!</definedName>
    <definedName name="неуо" localSheetId="5">#REF!</definedName>
    <definedName name="новый" localSheetId="5">#REF!</definedName>
    <definedName name="НормаАУП_на_УЕ" localSheetId="5">#REF!</definedName>
    <definedName name="нр" localSheetId="5">граж</definedName>
    <definedName name="о" localSheetId="5">#REF!</definedName>
    <definedName name="об" localSheetId="5">#REF!</definedName>
    <definedName name="Обоснование_поправки" localSheetId="5">#REF!</definedName>
    <definedName name="объем___0" localSheetId="5">#REF!</definedName>
    <definedName name="объем___10___0___0" localSheetId="5">#REF!</definedName>
    <definedName name="объем___11" localSheetId="5">#REF!</definedName>
    <definedName name="объем___11___10" localSheetId="5">#REF!</definedName>
    <definedName name="объем___2" localSheetId="5">#REF!</definedName>
    <definedName name="объем___3___10" localSheetId="5">#REF!</definedName>
    <definedName name="объем___4___0___0" localSheetId="5">#REF!</definedName>
    <definedName name="объем___5___0" localSheetId="5">#REF!</definedName>
    <definedName name="объем___6___0" localSheetId="5">#REF!</definedName>
    <definedName name="окн" localSheetId="5">#REF!</definedName>
    <definedName name="Оренбургская_область" localSheetId="5">#REF!</definedName>
    <definedName name="ОсвоениеИмущества" localSheetId="5">#REF!</definedName>
    <definedName name="ОтпускИзЕНЭС" localSheetId="5">#REF!</definedName>
    <definedName name="оьт" localSheetId="5">#REF!</definedName>
    <definedName name="паша" localSheetId="5">#REF!</definedName>
    <definedName name="пвьрвпрь" localSheetId="5">#REF!</definedName>
    <definedName name="Пи" localSheetId="5">#REF!</definedName>
    <definedName name="пл" localSheetId="5">#REF!</definedName>
    <definedName name="плдпол" localSheetId="5">#REF!</definedName>
    <definedName name="плыа" localSheetId="5">#REF!</definedName>
    <definedName name="пов" localSheetId="5">#REF!</definedName>
    <definedName name="Подгон" localSheetId="5">#REF!</definedName>
    <definedName name="подста" localSheetId="5">#REF!</definedName>
    <definedName name="Покупное_ПО" localSheetId="5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6___0" localSheetId="5">#REF!</definedName>
    <definedName name="ПотериНорма" localSheetId="5">#REF!</definedName>
    <definedName name="пп" localSheetId="5">#REF!</definedName>
    <definedName name="пппппппппппппппппппппппа" localSheetId="5">#REF!</definedName>
    <definedName name="прд" localSheetId="5">#REF!</definedName>
    <definedName name="прибыль" localSheetId="5">#REF!</definedName>
    <definedName name="Приморский_край" localSheetId="5">#REF!</definedName>
    <definedName name="прл" localSheetId="5">#REF!</definedName>
    <definedName name="проект" localSheetId="5">#REF!</definedName>
    <definedName name="пролоддошщ" localSheetId="5">#REF!</definedName>
    <definedName name="Промбезоп" localSheetId="5">#REF!</definedName>
    <definedName name="пропр" localSheetId="5">#REF!</definedName>
    <definedName name="протоколРМВК" localSheetId="5">#REF!</definedName>
    <definedName name="Прочие_работы" localSheetId="5">#REF!</definedName>
    <definedName name="прпр_1" localSheetId="5">#REF!</definedName>
    <definedName name="прьто" localSheetId="5">#REF!</definedName>
    <definedName name="Псковская_область" localSheetId="5">#REF!</definedName>
    <definedName name="пшждю" localSheetId="5">#REF!</definedName>
    <definedName name="Работа1" localSheetId="5">#REF!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об" localSheetId="5">#REF!</definedName>
    <definedName name="расш" localSheetId="5">#REF!</definedName>
    <definedName name="Расшифровка" localSheetId="5">#REF!</definedName>
    <definedName name="Регистрационный_номер_группы_строек" localSheetId="5">#REF!</definedName>
    <definedName name="рлвро" localSheetId="5">#REF!</definedName>
    <definedName name="роло" localSheetId="5">#REF!</definedName>
    <definedName name="рпьрь" localSheetId="5">#REF!</definedName>
    <definedName name="Рязанская_область" localSheetId="5">#REF!</definedName>
    <definedName name="С" localSheetId="5">{#N/A,#N/A,FALSE,"Шаблон_Спец1"}</definedName>
    <definedName name="с1" localSheetId="5">#REF!</definedName>
    <definedName name="Свердловская_область" localSheetId="5">#REF!</definedName>
    <definedName name="Сводка" localSheetId="5">#REF!</definedName>
    <definedName name="сев" localSheetId="5">#REF!</definedName>
    <definedName name="Сегодня" localSheetId="5">#REF!</definedName>
    <definedName name="Семь" localSheetId="5">#REF!</definedName>
    <definedName name="Сервис_Всего_1" localSheetId="5">#REF!</definedName>
    <definedName name="Сервисное_оборудование_1" localSheetId="5">#REF!</definedName>
    <definedName name="СлБелг" localSheetId="5">#REF!</definedName>
    <definedName name="см" localSheetId="5">#REF!</definedName>
    <definedName name="См7" localSheetId="5">#REF!</definedName>
    <definedName name="смета" localSheetId="5">#REF!</definedName>
    <definedName name="смета1" localSheetId="5">#REF!</definedName>
    <definedName name="Сметная_стоимость_в_базисных_ценах" localSheetId="5">#REF!</definedName>
    <definedName name="Сметная_стоимость_по_ресурсному_расчету" localSheetId="5">#REF!</definedName>
    <definedName name="Согласование" localSheetId="5">#REF!</definedName>
    <definedName name="Составитель" localSheetId="5">#REF!</definedName>
    <definedName name="сп2" localSheetId="5">#REF!</definedName>
    <definedName name="срл" localSheetId="5">#REF!</definedName>
    <definedName name="СтавкаАмортизации" localSheetId="5">#REF!</definedName>
    <definedName name="Стадия_проектирования" localSheetId="5">#REF!</definedName>
    <definedName name="Стоимость" localSheetId="5">#REF!</definedName>
    <definedName name="страх" localSheetId="5">#REF!</definedName>
    <definedName name="Строительная_полоса" localSheetId="5">#REF!</definedName>
    <definedName name="т" localSheetId="5">#REF!</definedName>
    <definedName name="Тамбовская_область" localSheetId="5">#REF!</definedName>
    <definedName name="Томская_область" localSheetId="5">#REF!</definedName>
    <definedName name="третий" localSheetId="5">#REF!</definedName>
    <definedName name="тыс" localSheetId="5">{0,"тысячz";1,"тысячаz";2,"тысячиz";5,"тысячz"}</definedName>
    <definedName name="тьбю" localSheetId="5">#REF!</definedName>
    <definedName name="УслугиТОиР_ГС" localSheetId="5">#REF!</definedName>
    <definedName name="Ф5.1" localSheetId="5">#REF!</definedName>
    <definedName name="Ф91" localSheetId="5">#REF!</definedName>
    <definedName name="Финансирование_Y2017" localSheetId="5">#REF!</definedName>
    <definedName name="фукек" localSheetId="5">#REF!</definedName>
    <definedName name="ффггг" localSheetId="5">#REF!</definedName>
    <definedName name="цена___0" localSheetId="5">#REF!</definedName>
    <definedName name="цена___10___0___0" localSheetId="5">#REF!</definedName>
    <definedName name="цена___11" localSheetId="5">#REF!</definedName>
    <definedName name="цена___11___10" localSheetId="5">#REF!</definedName>
    <definedName name="цена___2" localSheetId="5">#REF!</definedName>
    <definedName name="цена___3___10" localSheetId="5">#REF!</definedName>
    <definedName name="цена___4___0___0" localSheetId="5">#REF!</definedName>
    <definedName name="цена___5___0" localSheetId="5">#REF!</definedName>
    <definedName name="цена___6___0" localSheetId="5">#REF!</definedName>
    <definedName name="ЦенаШурфов" localSheetId="5">#REF!</definedName>
    <definedName name="Читинская_область" localSheetId="5">#REF!</definedName>
    <definedName name="Шкафы_ТМ" localSheetId="5">#REF!</definedName>
    <definedName name="ыа" localSheetId="5">#REF!</definedName>
    <definedName name="ыапраыр" localSheetId="5">#REF!</definedName>
    <definedName name="ЫВGGGGGGGGGGGGGGG" localSheetId="5">#REF!</definedName>
    <definedName name="ываф" localSheetId="5">#REF!</definedName>
    <definedName name="ыВПВП" localSheetId="5">#REF!</definedName>
    <definedName name="ыпры" localSheetId="5">#REF!</definedName>
    <definedName name="ьбюбб" localSheetId="5">#REF!</definedName>
    <definedName name="экол1" localSheetId="5">#REF!</definedName>
    <definedName name="ЭКСПО" localSheetId="5">граж</definedName>
    <definedName name="ЭКСПОФОРУМ" localSheetId="5">граж</definedName>
    <definedName name="экт" localSheetId="5">#REF!</definedName>
    <definedName name="ЭлеСи_1" localSheetId="5">#REF!</definedName>
    <definedName name="юдшншджгп" localSheetId="5">#REF!</definedName>
    <definedName name="яапт" localSheetId="5">#REF!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00"/>
    <numFmt numFmtId="169" formatCode="#,##0.0"/>
  </numFmts>
  <fonts count="16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4">
    <fill>
      <patternFill/>
    </fill>
    <fill>
      <patternFill patternType="gray125"/>
    </fill>
    <fill>
      <patternFill patternType="solid">
        <fgColor rgb="FFE2EEDA"/>
        <bgColor rgb="FFFFFFFF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right" vertical="center"/>
    </xf>
    <xf numFmtId="167" fontId="6" fillId="0" borderId="1" applyAlignment="1" pivotButton="0" quotePrefix="0" xfId="0">
      <alignment horizontal="right" vertical="center" wrapText="1"/>
    </xf>
    <xf numFmtId="167" fontId="10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68" fontId="6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1" applyAlignment="1" pivotButton="0" quotePrefix="1" xfId="0">
      <alignment horizontal="center" vertical="center"/>
    </xf>
    <xf numFmtId="4" fontId="6" fillId="0" borderId="1" applyAlignment="1" pivotButton="0" quotePrefix="0" xfId="0">
      <alignment horizontal="right" vertical="center"/>
    </xf>
    <xf numFmtId="4" fontId="10" fillId="0" borderId="1" applyAlignment="1" pivotButton="0" quotePrefix="0" xfId="0">
      <alignment horizontal="right" vertical="center"/>
    </xf>
    <xf numFmtId="0" fontId="0" fillId="2" borderId="0" pivotButton="0" quotePrefix="0" xfId="0"/>
    <xf numFmtId="4" fontId="2" fillId="3" borderId="1" applyAlignment="1" pivotButton="0" quotePrefix="0" xfId="0">
      <alignment horizontal="right" vertical="center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6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10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168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2" pivotButton="0" quotePrefix="0" xfId="0"/>
    <xf numFmtId="167" fontId="6" fillId="0" borderId="1" applyAlignment="1" pivotButton="0" quotePrefix="0" xfId="0">
      <alignment horizontal="right" vertical="center"/>
    </xf>
    <xf numFmtId="167" fontId="6" fillId="0" borderId="1" applyAlignment="1" pivotButton="0" quotePrefix="0" xfId="0">
      <alignment horizontal="right" vertical="center" wrapText="1"/>
    </xf>
    <xf numFmtId="167" fontId="10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166" fontId="12" fillId="0" borderId="0" pivotButton="0" quotePrefix="0" xfId="0"/>
    <xf numFmtId="0" fontId="3" fillId="0" borderId="13" applyAlignment="1" pivotButton="0" quotePrefix="0" xfId="0">
      <alignment horizontal="left" vertical="center" wrapText="1"/>
    </xf>
    <xf numFmtId="0" fontId="0" fillId="0" borderId="8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5"/>
  <sheetViews>
    <sheetView view="pageBreakPreview" topLeftCell="A4" zoomScale="60" zoomScaleNormal="85" workbookViewId="0">
      <selection activeCell="C27" sqref="C27"/>
    </sheetView>
  </sheetViews>
  <sheetFormatPr baseColWidth="8" defaultColWidth="9.140625" defaultRowHeight="15.75"/>
  <cols>
    <col width="9.140625" customWidth="1" style="113" min="1" max="2"/>
    <col width="36.85546875" customWidth="1" style="113" min="3" max="3"/>
    <col width="36.5703125" customWidth="1" style="113" min="4" max="5"/>
    <col hidden="1" width="36.5703125" customWidth="1" style="113" min="6" max="6"/>
    <col width="14.28515625" customWidth="1" style="111" min="7" max="7"/>
    <col width="12.140625" customWidth="1" style="111" min="8" max="8"/>
    <col width="12.28515625" customWidth="1" style="111" min="9" max="9"/>
    <col width="15" customWidth="1" style="111" min="10" max="10"/>
  </cols>
  <sheetData>
    <row r="1">
      <c r="G1" s="113" t="n"/>
      <c r="H1" s="113" t="n"/>
      <c r="I1" s="113" t="n"/>
      <c r="J1" s="113" t="n"/>
      <c r="K1" s="113" t="n"/>
    </row>
    <row r="2">
      <c r="G2" s="113" t="n"/>
      <c r="H2" s="113" t="n"/>
      <c r="I2" s="113" t="n"/>
      <c r="J2" s="113" t="n"/>
      <c r="K2" s="113" t="n"/>
    </row>
    <row r="3">
      <c r="B3" s="129" t="inlineStr">
        <is>
          <t>Приложение № 1</t>
        </is>
      </c>
      <c r="G3" s="113" t="n"/>
      <c r="H3" s="113" t="n"/>
      <c r="I3" s="113" t="n"/>
      <c r="J3" s="113" t="n"/>
      <c r="K3" s="113" t="n"/>
    </row>
    <row r="4">
      <c r="B4" s="130" t="inlineStr">
        <is>
          <t>Сравнительная таблица отбора объекта-представителя</t>
        </is>
      </c>
      <c r="G4" s="113" t="n"/>
      <c r="H4" s="113" t="n"/>
      <c r="I4" s="113" t="n"/>
      <c r="J4" s="113" t="n"/>
      <c r="K4" s="113" t="n"/>
    </row>
    <row r="5">
      <c r="B5" s="58" t="n"/>
      <c r="C5" s="58" t="n"/>
      <c r="D5" s="58" t="n"/>
      <c r="E5" s="58" t="n"/>
      <c r="F5" s="58" t="n"/>
      <c r="G5" s="113" t="n"/>
      <c r="H5" s="113" t="n"/>
      <c r="I5" s="113" t="n"/>
      <c r="J5" s="113" t="n"/>
      <c r="K5" s="113" t="n"/>
    </row>
    <row r="6">
      <c r="B6" s="58" t="n"/>
      <c r="C6" s="58" t="n"/>
      <c r="D6" s="58" t="n"/>
      <c r="E6" s="58" t="n"/>
      <c r="F6" s="58" t="n"/>
      <c r="G6" s="113" t="n"/>
      <c r="H6" s="113" t="n"/>
      <c r="I6" s="113" t="n"/>
      <c r="J6" s="113" t="n"/>
      <c r="K6" s="113" t="n"/>
    </row>
    <row r="7" ht="31.7" customHeight="1" s="111">
      <c r="B7" s="128">
        <f>_xlfn.CONCAT(TEXT('Прил.5 Расчет СМР и ОБ'!A6,0)," - ",TEXT('Прил.5 Расчет СМР и ОБ'!D6,0))</f>
        <v/>
      </c>
      <c r="G7" s="59" t="n"/>
      <c r="H7" s="113" t="n"/>
      <c r="I7" s="113" t="n"/>
      <c r="J7" s="113" t="n"/>
      <c r="K7" s="113" t="n"/>
    </row>
    <row r="8" ht="15.75" customHeight="1" s="111">
      <c r="B8" s="57" t="inlineStr">
        <is>
          <t xml:space="preserve">Сопоставимый уровень цен: </t>
        </is>
      </c>
      <c r="C8" s="57" t="n"/>
      <c r="D8" s="57">
        <f>D22</f>
        <v/>
      </c>
      <c r="E8" s="57" t="n"/>
      <c r="F8" s="57" t="n"/>
      <c r="G8" s="113" t="n"/>
      <c r="H8" s="113" t="n"/>
      <c r="I8" s="113" t="n"/>
      <c r="J8" s="113" t="n"/>
      <c r="K8" s="113" t="n"/>
    </row>
    <row r="9" ht="15.75" customHeight="1" s="111">
      <c r="B9" s="128" t="inlineStr">
        <is>
          <t>Единица измерения  —  м2</t>
        </is>
      </c>
      <c r="G9" s="59" t="n"/>
      <c r="H9" s="113" t="n"/>
      <c r="I9" s="113" t="n"/>
      <c r="J9" s="113" t="n"/>
      <c r="K9" s="113" t="n"/>
    </row>
    <row r="10">
      <c r="B10" s="128" t="n"/>
      <c r="G10" s="113" t="n"/>
      <c r="H10" s="113" t="n"/>
      <c r="I10" s="113" t="n"/>
      <c r="J10" s="113" t="n"/>
      <c r="K10" s="113" t="n"/>
    </row>
    <row r="11">
      <c r="B11" s="131" t="inlineStr">
        <is>
          <t>№ п/п</t>
        </is>
      </c>
      <c r="C11" s="131" t="inlineStr">
        <is>
          <t>Параметр</t>
        </is>
      </c>
      <c r="D11" s="131" t="inlineStr">
        <is>
          <t>Объект-представитель 1</t>
        </is>
      </c>
      <c r="E11" s="131" t="inlineStr">
        <is>
          <t>Объект-представитель 2</t>
        </is>
      </c>
      <c r="F11" s="131" t="inlineStr">
        <is>
          <t>Объект-представитель 3</t>
        </is>
      </c>
      <c r="G11" s="59" t="n"/>
      <c r="H11" s="113" t="n"/>
      <c r="I11" s="113" t="n"/>
      <c r="J11" s="113" t="n"/>
      <c r="K11" s="113" t="n"/>
    </row>
    <row r="12" ht="63" customHeight="1" s="111">
      <c r="B12" s="131" t="n">
        <v>1</v>
      </c>
      <c r="C12" s="125" t="inlineStr">
        <is>
          <t>Наименование объекта-представителя</t>
        </is>
      </c>
      <c r="D12" s="131" t="inlineStr">
        <is>
          <t>Строительство ПС 220 кВ Налдинская с заходами ВЛ 220 кВ (K_3335729)</t>
        </is>
      </c>
      <c r="E12" s="131" t="inlineStr">
        <is>
          <t>Строительство подстанции 110/35/10 кВ Выездное с питающими ЛЭП (I_NNE-01249-000)</t>
        </is>
      </c>
      <c r="F12" s="131" t="n"/>
      <c r="G12" s="113" t="n"/>
      <c r="H12" s="113" t="n"/>
      <c r="I12" s="113" t="n"/>
      <c r="J12" s="113" t="n"/>
      <c r="K12" s="113" t="n"/>
    </row>
    <row r="13" ht="31.5" customHeight="1" s="111">
      <c r="B13" s="131" t="n">
        <v>2</v>
      </c>
      <c r="C13" s="125" t="inlineStr">
        <is>
          <t>Наименование субъекта Российской Федерации</t>
        </is>
      </c>
      <c r="D13" s="131" t="inlineStr">
        <is>
          <t>Республика Саха (Якутия)</t>
        </is>
      </c>
      <c r="E13" s="131" t="inlineStr">
        <is>
          <t>Нижегородская область</t>
        </is>
      </c>
      <c r="F13" s="131" t="n"/>
      <c r="G13" s="113" t="n"/>
      <c r="H13" s="113" t="n"/>
      <c r="I13" s="113" t="n"/>
      <c r="J13" s="113" t="n"/>
      <c r="K13" s="113" t="n"/>
    </row>
    <row r="14">
      <c r="B14" s="131" t="n">
        <v>3</v>
      </c>
      <c r="C14" s="125" t="inlineStr">
        <is>
          <t>Климатический район и подрайон</t>
        </is>
      </c>
      <c r="D14" s="131" t="inlineStr">
        <is>
          <t>IД</t>
        </is>
      </c>
      <c r="E14" s="131" t="inlineStr">
        <is>
          <t>IIВ</t>
        </is>
      </c>
      <c r="F14" s="131" t="n"/>
      <c r="G14" s="113" t="n"/>
      <c r="H14" s="113" t="n"/>
      <c r="I14" s="113" t="n"/>
      <c r="J14" s="113" t="n"/>
      <c r="K14" s="113" t="n"/>
    </row>
    <row r="15">
      <c r="B15" s="131" t="n">
        <v>4</v>
      </c>
      <c r="C15" s="125" t="inlineStr">
        <is>
          <t>Мощность объекта</t>
        </is>
      </c>
      <c r="D15" s="131" t="n">
        <v>562.08</v>
      </c>
      <c r="E15" s="131" t="n">
        <v>576.9299999999999</v>
      </c>
      <c r="F15" s="131" t="n"/>
      <c r="G15" s="113" t="n"/>
      <c r="H15" s="113" t="n"/>
      <c r="I15" s="113" t="n"/>
      <c r="J15" s="113" t="n"/>
      <c r="K15" s="113" t="n"/>
    </row>
    <row r="16" ht="94.5" customHeight="1" s="111">
      <c r="B16" s="70" t="n">
        <v>5</v>
      </c>
      <c r="C16" s="7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1" t="inlineStr">
        <is>
          <t xml:space="preserve">Электрический обогреватель(конвектор) - 35 шт
Теплый пол(нагревательный электрический мат) - 5 шт
</t>
        </is>
      </c>
      <c r="E16" s="131" t="inlineStr">
        <is>
          <t>Электрический обогреватель(конвектор) - 31 шт</t>
        </is>
      </c>
      <c r="F16" s="131" t="n"/>
      <c r="G16" s="113" t="n"/>
      <c r="H16" s="113" t="n"/>
      <c r="I16" s="113" t="n"/>
      <c r="J16" s="113" t="n"/>
      <c r="K16" s="113" t="n"/>
    </row>
    <row r="17" ht="82.5" customHeight="1" s="111">
      <c r="B17" s="131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1">
        <f>SUM(D18:D21)</f>
        <v/>
      </c>
      <c r="E17" s="61">
        <f>SUM(E18:E21)</f>
        <v/>
      </c>
      <c r="F17" s="61" t="n"/>
      <c r="G17" s="62" t="n"/>
      <c r="H17" s="113" t="n"/>
      <c r="I17" s="113" t="n"/>
      <c r="J17" s="113" t="n"/>
      <c r="K17" s="113" t="n"/>
    </row>
    <row r="18">
      <c r="B18" s="63" t="inlineStr">
        <is>
          <t>6.1</t>
        </is>
      </c>
      <c r="C18" s="125" t="inlineStr">
        <is>
          <t>строительно-монтажные работы</t>
        </is>
      </c>
      <c r="D18" s="61">
        <f>'Прил.2 Расч стоим'!F14+'Прил.2 Расч стоим'!G14</f>
        <v/>
      </c>
      <c r="E18" s="61">
        <f>'Прил.2 Расч стоим'!F22+'Прил.2 Расч стоим'!G22</f>
        <v/>
      </c>
      <c r="F18" s="61" t="n"/>
      <c r="G18" s="113" t="n"/>
      <c r="H18" s="113" t="n"/>
      <c r="I18" s="113" t="n"/>
      <c r="J18" s="113" t="n"/>
      <c r="K18" s="113" t="n"/>
    </row>
    <row r="19">
      <c r="B19" s="63" t="inlineStr">
        <is>
          <t>6.2</t>
        </is>
      </c>
      <c r="C19" s="125" t="inlineStr">
        <is>
          <t>оборудование и инвентарь</t>
        </is>
      </c>
      <c r="D19" s="61">
        <f>'Прил.2 Расч стоим'!H14</f>
        <v/>
      </c>
      <c r="E19" s="61">
        <f>'Прил.2 Расч стоим'!H22</f>
        <v/>
      </c>
      <c r="F19" s="61" t="n"/>
      <c r="G19" s="113" t="n"/>
      <c r="H19" s="113" t="n"/>
      <c r="I19" s="113" t="n"/>
      <c r="J19" s="113" t="n"/>
      <c r="K19" s="113" t="n"/>
    </row>
    <row r="20">
      <c r="B20" s="63" t="inlineStr">
        <is>
          <t>6.3</t>
        </is>
      </c>
      <c r="C20" s="125" t="inlineStr">
        <is>
          <t>пусконаладочные работы</t>
        </is>
      </c>
      <c r="D20" s="61">
        <f>104918.2*D19/991165.92</f>
        <v/>
      </c>
      <c r="E20" s="61">
        <f>E19*7%*0.8</f>
        <v/>
      </c>
      <c r="F20" s="61" t="n"/>
      <c r="G20" s="113" t="n"/>
      <c r="H20" s="113" t="n"/>
      <c r="I20" s="113" t="n"/>
      <c r="J20" s="113" t="n"/>
      <c r="K20" s="113" t="n"/>
    </row>
    <row r="21" ht="31.5" customHeight="1" s="111">
      <c r="B21" s="63" t="inlineStr">
        <is>
          <t>6.4</t>
        </is>
      </c>
      <c r="C21" s="64" t="inlineStr">
        <is>
          <t>прочие и лимитированные затраты</t>
        </is>
      </c>
      <c r="D21" s="171">
        <f>D18*3.9%+(D18+D18*3.9%)*7%</f>
        <v/>
      </c>
      <c r="E21" s="171">
        <f>E18*3.9%+(E18+E18*3.9%)*3.2%</f>
        <v/>
      </c>
      <c r="F21" s="171" t="n"/>
      <c r="G21" s="113" t="n"/>
      <c r="H21" s="113" t="n"/>
      <c r="I21" s="113" t="n"/>
      <c r="J21" s="113" t="n"/>
      <c r="K21" s="113" t="n"/>
    </row>
    <row r="22">
      <c r="B22" s="131" t="n">
        <v>7</v>
      </c>
      <c r="C22" s="64" t="inlineStr">
        <is>
          <t>Сопоставимый уровень цен</t>
        </is>
      </c>
      <c r="D22" s="131" t="inlineStr">
        <is>
          <t>3 кв. 2021 г</t>
        </is>
      </c>
      <c r="E22" s="131">
        <f>D22</f>
        <v/>
      </c>
      <c r="F22" s="131" t="n"/>
      <c r="G22" s="62" t="n"/>
      <c r="H22" s="113" t="n"/>
      <c r="I22" s="113" t="n"/>
      <c r="J22" s="113" t="n"/>
      <c r="K22" s="113" t="n"/>
    </row>
    <row r="23" ht="119.25" customHeight="1" s="111">
      <c r="B23" s="131" t="n">
        <v>8</v>
      </c>
      <c r="C23" s="6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6">
        <f>D17</f>
        <v/>
      </c>
      <c r="E23" s="61">
        <f>'Прил.2 Расч стоим'!J23</f>
        <v/>
      </c>
      <c r="F23" s="61" t="n"/>
      <c r="G23" s="113" t="n"/>
      <c r="H23" s="113" t="n"/>
      <c r="I23" s="113" t="n"/>
      <c r="J23" s="113" t="n"/>
      <c r="K23" s="113" t="n"/>
    </row>
    <row r="24" ht="47.25" customHeight="1" s="111">
      <c r="B24" s="131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66">
        <f>D23/D15</f>
        <v/>
      </c>
      <c r="E24" s="66">
        <f>E23/E15</f>
        <v/>
      </c>
      <c r="F24" s="66" t="n"/>
      <c r="G24" s="62" t="n"/>
      <c r="H24" s="113" t="n"/>
      <c r="I24" s="113" t="n"/>
      <c r="J24" s="113" t="n"/>
      <c r="K24" s="113" t="n"/>
    </row>
    <row r="25" ht="47.25" customHeight="1" s="111">
      <c r="B25" s="131" t="n">
        <v>10</v>
      </c>
      <c r="C25" s="125" t="inlineStr">
        <is>
          <t>Примечание</t>
        </is>
      </c>
      <c r="D25" s="125" t="n"/>
      <c r="E25" s="125" t="inlineStr">
        <is>
          <t xml:space="preserve">Выбран объектом-представителем с учетом минимальной удельной стоимости </t>
        </is>
      </c>
      <c r="F25" s="66" t="n"/>
      <c r="G25" s="113" t="n"/>
      <c r="H25" s="113" t="n"/>
      <c r="I25" s="113" t="n"/>
      <c r="J25" s="113" t="n"/>
      <c r="K25" s="113" t="n"/>
    </row>
    <row r="26">
      <c r="B26" s="164" t="n"/>
      <c r="C26" s="68" t="n"/>
      <c r="D26" s="68" t="n"/>
      <c r="E26" s="68" t="n"/>
      <c r="F26" s="68" t="n"/>
      <c r="G26" s="113" t="n"/>
      <c r="H26" s="113" t="n"/>
      <c r="I26" s="113" t="n"/>
      <c r="J26" s="113" t="n"/>
      <c r="K26" s="113" t="n"/>
    </row>
    <row r="27">
      <c r="B27" s="57" t="n"/>
      <c r="G27" s="113" t="n"/>
      <c r="H27" s="113" t="n"/>
      <c r="I27" s="113" t="n"/>
      <c r="J27" s="113" t="n"/>
      <c r="K27" s="113" t="n"/>
    </row>
    <row r="28">
      <c r="B28" s="113" t="inlineStr">
        <is>
          <t>Составил ______________________        Е.А. Князева</t>
        </is>
      </c>
      <c r="G28" s="113" t="n"/>
      <c r="H28" s="113" t="n"/>
      <c r="I28" s="113" t="n"/>
      <c r="J28" s="113" t="n"/>
      <c r="K28" s="113" t="n"/>
    </row>
    <row r="29" ht="22.5" customHeight="1" s="111">
      <c r="B29" s="79" t="inlineStr">
        <is>
          <t xml:space="preserve">                         (подпись, инициалы, фамилия)</t>
        </is>
      </c>
      <c r="G29" s="113" t="n"/>
      <c r="H29" s="113" t="n"/>
      <c r="I29" s="113" t="n"/>
      <c r="J29" s="113" t="n"/>
      <c r="K29" s="113" t="n"/>
    </row>
    <row r="30">
      <c r="G30" s="113" t="n"/>
      <c r="H30" s="113" t="n"/>
      <c r="I30" s="113" t="n"/>
      <c r="J30" s="113" t="n"/>
      <c r="K30" s="113" t="n"/>
    </row>
    <row r="31">
      <c r="B31" s="113" t="inlineStr">
        <is>
          <t>Проверил ______________________        А.В. Костянецкая</t>
        </is>
      </c>
      <c r="G31" s="113" t="n"/>
      <c r="H31" s="113" t="n"/>
      <c r="I31" s="113" t="n"/>
      <c r="J31" s="113" t="n"/>
      <c r="K31" s="113" t="n"/>
    </row>
    <row r="32" ht="22.5" customHeight="1" s="111">
      <c r="B32" s="79" t="inlineStr">
        <is>
          <t xml:space="preserve">                        (подпись, инициалы, фамилия)</t>
        </is>
      </c>
      <c r="G32" s="113" t="n"/>
      <c r="H32" s="113" t="n"/>
      <c r="I32" s="113" t="n"/>
      <c r="J32" s="113" t="n"/>
      <c r="K32" s="113" t="n"/>
    </row>
    <row r="33">
      <c r="G33" s="113" t="n"/>
      <c r="H33" s="113" t="n"/>
      <c r="I33" s="113" t="n"/>
      <c r="J33" s="113" t="n"/>
      <c r="K33" s="113" t="n"/>
    </row>
    <row r="34">
      <c r="G34" s="113" t="n"/>
      <c r="H34" s="113" t="n"/>
      <c r="I34" s="113" t="n"/>
      <c r="J34" s="113" t="n"/>
      <c r="K34" s="113" t="n"/>
    </row>
    <row r="35">
      <c r="G35" s="113" t="n"/>
      <c r="H35" s="113" t="n"/>
      <c r="I35" s="113" t="n"/>
      <c r="J35" s="113" t="n"/>
      <c r="K35" s="113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68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1"/>
  <sheetViews>
    <sheetView view="pageBreakPreview" topLeftCell="C7" zoomScale="60" zoomScaleNormal="100" workbookViewId="0">
      <selection activeCell="C28" sqref="C28"/>
    </sheetView>
  </sheetViews>
  <sheetFormatPr baseColWidth="8" defaultColWidth="9.140625" defaultRowHeight="15"/>
  <cols>
    <col width="5.5703125" customWidth="1" style="111" min="1" max="1"/>
    <col width="35.28515625" customWidth="1" style="111" min="3" max="3"/>
    <col width="13.85546875" customWidth="1" style="111" min="4" max="4"/>
    <col width="24.85546875" customWidth="1" style="111" min="5" max="5"/>
    <col width="12.7109375" customWidth="1" style="111" min="6" max="6"/>
    <col width="14.85546875" customWidth="1" style="111" min="7" max="7"/>
    <col width="16.7109375" customWidth="1" style="111" min="8" max="8"/>
    <col width="13" customWidth="1" style="111" min="9" max="10"/>
    <col width="7" customWidth="1" style="111" min="11" max="11"/>
    <col hidden="1" outlineLevel="1" width="10.140625" customWidth="1" style="111" min="12" max="12"/>
    <col hidden="1" outlineLevel="1" width="9.85546875" customWidth="1" style="111" min="13" max="13"/>
    <col hidden="1" outlineLevel="1" width="9.140625" customWidth="1" style="111" min="14" max="14"/>
    <col hidden="1" outlineLevel="1" width="10.140625" customWidth="1" style="111" min="15" max="15"/>
    <col hidden="1" outlineLevel="1" width="14.140625" customWidth="1" style="111" min="16" max="16"/>
    <col collapsed="1" width="9.140625" customWidth="1" style="111" min="17" max="17"/>
  </cols>
  <sheetData>
    <row r="1" ht="15.75" customHeight="1" s="111">
      <c r="A1" s="113" t="n"/>
      <c r="B1" s="113" t="n"/>
      <c r="C1" s="113" t="n"/>
      <c r="D1" s="113" t="n"/>
      <c r="E1" s="113" t="n"/>
      <c r="F1" s="113" t="n"/>
      <c r="G1" s="113" t="n"/>
      <c r="H1" s="113" t="n"/>
      <c r="I1" s="113" t="n"/>
      <c r="J1" s="113" t="n"/>
    </row>
    <row r="2" ht="15.75" customHeight="1" s="111">
      <c r="A2" s="113" t="n"/>
      <c r="B2" s="113" t="n"/>
      <c r="C2" s="113" t="n"/>
      <c r="D2" s="113" t="n"/>
      <c r="E2" s="113" t="n"/>
      <c r="F2" s="113" t="n"/>
      <c r="G2" s="113" t="n"/>
      <c r="H2" s="113" t="n"/>
      <c r="I2" s="113" t="n"/>
      <c r="J2" s="113" t="n"/>
    </row>
    <row r="3" ht="15.75" customHeight="1" s="111">
      <c r="A3" s="113" t="n"/>
      <c r="B3" s="129" t="inlineStr">
        <is>
          <t>Приложение № 2</t>
        </is>
      </c>
    </row>
    <row r="4" ht="15.75" customHeight="1" s="111">
      <c r="A4" s="113" t="n"/>
      <c r="B4" s="130" t="inlineStr">
        <is>
          <t>Расчет стоимости основных видов работ для выбора объекта-представителя</t>
        </is>
      </c>
    </row>
    <row r="5" ht="15.75" customHeight="1" s="111">
      <c r="A5" s="113" t="n"/>
      <c r="B5" s="58" t="n"/>
      <c r="C5" s="58" t="n"/>
      <c r="D5" s="58" t="n"/>
      <c r="E5" s="58" t="n"/>
      <c r="F5" s="58" t="n"/>
      <c r="G5" s="58" t="n"/>
      <c r="H5" s="58" t="n"/>
      <c r="I5" s="58" t="n"/>
      <c r="J5" s="58" t="n"/>
    </row>
    <row r="6" ht="15.75" customHeight="1" s="111">
      <c r="A6" s="113" t="n"/>
      <c r="B6" s="134">
        <f>'Прил.1 Сравнит табл'!B7</f>
        <v/>
      </c>
    </row>
    <row r="7" ht="15.75" customHeight="1" s="111">
      <c r="A7" s="113" t="n"/>
      <c r="B7" s="128">
        <f>'Прил.1 Сравнит табл'!B9</f>
        <v/>
      </c>
    </row>
    <row r="8" ht="15.75" customHeight="1" s="111">
      <c r="A8" s="113" t="n"/>
      <c r="B8" s="128" t="n"/>
      <c r="C8" s="113" t="n"/>
      <c r="D8" s="113" t="n"/>
      <c r="E8" s="113" t="n"/>
      <c r="F8" s="113" t="n"/>
      <c r="G8" s="113" t="n"/>
      <c r="H8" s="113" t="n"/>
      <c r="I8" s="113" t="n"/>
      <c r="J8" s="113" t="n"/>
    </row>
    <row r="9" ht="15.75" customHeight="1" s="111">
      <c r="A9" s="113" t="n"/>
      <c r="B9" s="131" t="inlineStr">
        <is>
          <t>№ п/п</t>
        </is>
      </c>
      <c r="C9" s="1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1" t="inlineStr">
        <is>
          <t>Объект-представитель 1</t>
        </is>
      </c>
      <c r="E9" s="172" t="n"/>
      <c r="F9" s="172" t="n"/>
      <c r="G9" s="172" t="n"/>
      <c r="H9" s="172" t="n"/>
      <c r="I9" s="172" t="n"/>
      <c r="J9" s="173" t="n"/>
    </row>
    <row r="10" ht="15.75" customHeight="1" s="111">
      <c r="A10" s="113" t="n"/>
      <c r="B10" s="174" t="n"/>
      <c r="C10" s="174" t="n"/>
      <c r="D10" s="131" t="inlineStr">
        <is>
          <t>Номер сметы</t>
        </is>
      </c>
      <c r="E10" s="131" t="inlineStr">
        <is>
          <t>Наименование сметы</t>
        </is>
      </c>
      <c r="F10" s="131" t="inlineStr">
        <is>
          <t>Сметная стоимость в уровне цен 3 кв. 2021 г., тыс. руб.</t>
        </is>
      </c>
      <c r="G10" s="172" t="n"/>
      <c r="H10" s="172" t="n"/>
      <c r="I10" s="172" t="n"/>
      <c r="J10" s="173" t="n"/>
    </row>
    <row r="11" ht="62.45" customHeight="1" s="111">
      <c r="A11" s="113" t="n"/>
      <c r="B11" s="175" t="n"/>
      <c r="C11" s="175" t="n"/>
      <c r="D11" s="175" t="n"/>
      <c r="E11" s="175" t="n"/>
      <c r="F11" s="131" t="inlineStr">
        <is>
          <t>Строительные работы</t>
        </is>
      </c>
      <c r="G11" s="131" t="inlineStr">
        <is>
          <t>Монтажные работы</t>
        </is>
      </c>
      <c r="H11" s="131" t="inlineStr">
        <is>
          <t>Оборудование</t>
        </is>
      </c>
      <c r="I11" s="131" t="inlineStr">
        <is>
          <t>Прочее</t>
        </is>
      </c>
      <c r="J11" s="131" t="inlineStr">
        <is>
          <t>Всего</t>
        </is>
      </c>
    </row>
    <row r="12" ht="47.25" customHeight="1" s="111">
      <c r="A12" s="113" t="n"/>
      <c r="B12" s="78" t="n">
        <v>1</v>
      </c>
      <c r="C12" s="125" t="inlineStr">
        <is>
          <t>Конвекторы, теплый пол</t>
        </is>
      </c>
      <c r="D12" s="95" t="inlineStr">
        <is>
          <t>02-07-07</t>
        </is>
      </c>
      <c r="E12" s="125" t="inlineStr">
        <is>
          <t>ПС 220 кВ Налдинская. Здание ОПУ. Отопление</t>
        </is>
      </c>
      <c r="F12" s="176" t="n">
        <v>45.99</v>
      </c>
      <c r="G12" s="176" t="n">
        <v>89.289</v>
      </c>
      <c r="H12" s="176" t="n">
        <v>506.104</v>
      </c>
      <c r="I12" s="176" t="n"/>
      <c r="J12" s="177">
        <f>SUM(F12:I12)</f>
        <v/>
      </c>
    </row>
    <row r="13" ht="47.25" customHeight="1" s="111">
      <c r="A13" s="113" t="n"/>
      <c r="B13" s="78" t="n">
        <v>2</v>
      </c>
      <c r="C13" s="125" t="inlineStr">
        <is>
          <t>Кабельное хозяйство</t>
        </is>
      </c>
      <c r="D13" s="95" t="inlineStr">
        <is>
          <t>02-07-10</t>
        </is>
      </c>
      <c r="E13" s="125" t="inlineStr">
        <is>
          <t>ОПУ. Электротехнические решения</t>
        </is>
      </c>
      <c r="F13" s="176">
        <f>11.327</f>
        <v/>
      </c>
      <c r="G13" s="176">
        <f>280.893+361.092</f>
        <v/>
      </c>
      <c r="H13" s="176" t="n">
        <v>139.15</v>
      </c>
      <c r="I13" s="176" t="n"/>
      <c r="J13" s="177">
        <f>SUM(F13:I13)</f>
        <v/>
      </c>
    </row>
    <row r="14" ht="15" customHeight="1" s="111">
      <c r="A14" s="113" t="n"/>
      <c r="B14" s="133" t="inlineStr">
        <is>
          <t>Всего по объекту:</t>
        </is>
      </c>
      <c r="C14" s="172" t="n"/>
      <c r="D14" s="172" t="n"/>
      <c r="E14" s="173" t="n"/>
      <c r="F14" s="178">
        <f>SUM(F12:F13)</f>
        <v/>
      </c>
      <c r="G14" s="178">
        <f>SUM(G12:G13)</f>
        <v/>
      </c>
      <c r="H14" s="178">
        <f>SUM(H12:H13)</f>
        <v/>
      </c>
      <c r="I14" s="178">
        <f>SUM(I12:I13)</f>
        <v/>
      </c>
      <c r="J14" s="178">
        <f>SUM(F14:I14)</f>
        <v/>
      </c>
    </row>
    <row r="15" ht="15.75" customHeight="1" s="111">
      <c r="A15" s="113" t="n"/>
      <c r="B15" s="133" t="inlineStr">
        <is>
          <t>Всего по объекту в сопоставимом уровне цен 3 кв. 2021 г:</t>
        </is>
      </c>
      <c r="C15" s="172" t="n"/>
      <c r="D15" s="172" t="n"/>
      <c r="E15" s="173" t="n"/>
      <c r="F15" s="178">
        <f>F14</f>
        <v/>
      </c>
      <c r="G15" s="178">
        <f>G14</f>
        <v/>
      </c>
      <c r="H15" s="178">
        <f>H14</f>
        <v/>
      </c>
      <c r="I15" s="178">
        <f>I14</f>
        <v/>
      </c>
      <c r="J15" s="178">
        <f>SUM(F15:I15)</f>
        <v/>
      </c>
    </row>
    <row r="16" ht="89.45" customHeight="1" s="111">
      <c r="A16" s="113" t="n"/>
      <c r="B16" s="128" t="n"/>
      <c r="C16" s="113" t="n"/>
      <c r="D16" s="113" t="n"/>
      <c r="E16" s="113" t="n"/>
      <c r="F16" s="113" t="n"/>
      <c r="G16" s="113" t="n"/>
      <c r="H16" s="113" t="n"/>
      <c r="I16" s="113" t="n"/>
      <c r="J16" s="113" t="n"/>
    </row>
    <row r="17" ht="15.75" customHeight="1" s="111">
      <c r="A17" s="113" t="n"/>
      <c r="B17" s="131" t="inlineStr">
        <is>
          <t>№ п/п</t>
        </is>
      </c>
      <c r="C17" s="1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7" s="131" t="inlineStr">
        <is>
          <t>Объект-представитель 2</t>
        </is>
      </c>
      <c r="E17" s="172" t="n"/>
      <c r="F17" s="172" t="n"/>
      <c r="G17" s="172" t="n"/>
      <c r="H17" s="172" t="n"/>
      <c r="I17" s="172" t="n"/>
      <c r="J17" s="173" t="n"/>
    </row>
    <row r="18" ht="15.75" customHeight="1" s="111">
      <c r="A18" s="113" t="n"/>
      <c r="B18" s="174" t="n"/>
      <c r="C18" s="174" t="n"/>
      <c r="D18" s="131" t="inlineStr">
        <is>
          <t>Номер сметы</t>
        </is>
      </c>
      <c r="E18" s="131" t="inlineStr">
        <is>
          <t>Наименование сметы</t>
        </is>
      </c>
      <c r="F18" s="131" t="inlineStr">
        <is>
          <t>Сметная стоимость в уровне цен 2 кв. 2019 г., тыс. руб.</t>
        </is>
      </c>
      <c r="G18" s="172" t="n"/>
      <c r="H18" s="172" t="n"/>
      <c r="I18" s="172" t="n"/>
      <c r="J18" s="173" t="n"/>
      <c r="L18" s="132" t="inlineStr">
        <is>
          <t>Сметная стоимость в баз. уровне цен</t>
        </is>
      </c>
      <c r="M18" s="172" t="n"/>
      <c r="N18" s="172" t="n"/>
      <c r="O18" s="172" t="n"/>
      <c r="P18" s="173" t="n"/>
    </row>
    <row r="19" ht="64.5" customHeight="1" s="111">
      <c r="A19" s="113" t="n"/>
      <c r="B19" s="175" t="n"/>
      <c r="C19" s="175" t="n"/>
      <c r="D19" s="175" t="n"/>
      <c r="E19" s="175" t="n"/>
      <c r="F19" s="131" t="inlineStr">
        <is>
          <t>Строительные работы</t>
        </is>
      </c>
      <c r="G19" s="131" t="inlineStr">
        <is>
          <t>Монтажные работы</t>
        </is>
      </c>
      <c r="H19" s="131" t="inlineStr">
        <is>
          <t>Оборудование</t>
        </is>
      </c>
      <c r="I19" s="131" t="inlineStr">
        <is>
          <t>Прочее</t>
        </is>
      </c>
      <c r="J19" s="131" t="inlineStr">
        <is>
          <t>Всего</t>
        </is>
      </c>
      <c r="L19" s="131" t="inlineStr">
        <is>
          <t>мат</t>
        </is>
      </c>
      <c r="M19" s="131" t="inlineStr">
        <is>
          <t>ФОТ+НР+СП</t>
        </is>
      </c>
      <c r="N19" s="131" t="inlineStr">
        <is>
          <t>ЭМ-Отм</t>
        </is>
      </c>
      <c r="O19" s="131" t="inlineStr">
        <is>
          <t>Об</t>
        </is>
      </c>
      <c r="P19" s="131" t="inlineStr">
        <is>
          <t xml:space="preserve">Итого </t>
        </is>
      </c>
    </row>
    <row r="20" ht="47.25" customHeight="1" s="111">
      <c r="A20" s="113" t="n"/>
      <c r="B20" s="125" t="n">
        <v>1</v>
      </c>
      <c r="C20" s="125" t="inlineStr">
        <is>
          <t>Конвекторы</t>
        </is>
      </c>
      <c r="D20" s="95" t="inlineStr">
        <is>
          <t>02-01-02</t>
        </is>
      </c>
      <c r="E20" s="125" t="inlineStr">
        <is>
          <t>Отопление и  вентиляция в здании ЗРУ</t>
        </is>
      </c>
      <c r="F20" s="176" t="n"/>
      <c r="G20" s="176" t="n">
        <v>22.02236</v>
      </c>
      <c r="H20" s="176" t="n"/>
      <c r="I20" s="176" t="n"/>
      <c r="J20" s="177">
        <f>SUM(F20:I20)</f>
        <v/>
      </c>
      <c r="L20" s="96" t="n">
        <v>2131.81</v>
      </c>
      <c r="M20" s="96">
        <f>313.1+297.45+203.52</f>
        <v/>
      </c>
      <c r="N20" s="96">
        <f>79.36-4.34</f>
        <v/>
      </c>
      <c r="O20" s="96" t="n">
        <v>0</v>
      </c>
      <c r="P20" s="96">
        <f>O20+N20+M20+L20</f>
        <v/>
      </c>
    </row>
    <row r="21" ht="63" customHeight="1" s="111">
      <c r="A21" s="113" t="n"/>
      <c r="B21" s="125" t="n">
        <v>2</v>
      </c>
      <c r="C21" s="125" t="inlineStr">
        <is>
          <t>Кабельное хозяйство</t>
        </is>
      </c>
      <c r="D21" s="95" t="inlineStr">
        <is>
          <t>02-01-06</t>
        </is>
      </c>
      <c r="E21" s="125" t="inlineStr">
        <is>
          <t xml:space="preserve"> Здание ЗРУ 35 кВ, 10 кВ, совмещенное с ОПУ. Отопление и вентиляция. ЭТР</t>
        </is>
      </c>
      <c r="F21" s="176" t="n">
        <v>0</v>
      </c>
      <c r="G21" s="176" t="n">
        <v>127.5811</v>
      </c>
      <c r="H21" s="176" t="n">
        <v>191.82068</v>
      </c>
      <c r="I21" s="176" t="n"/>
      <c r="J21" s="177">
        <f>SUM(F21:I21)</f>
        <v/>
      </c>
      <c r="L21" s="96" t="n">
        <v>13537.94</v>
      </c>
      <c r="M21" s="96">
        <f>1311.81+1246.22+852.68</f>
        <v/>
      </c>
      <c r="N21" s="96">
        <f>533.6-11.41</f>
        <v/>
      </c>
      <c r="O21" s="96">
        <f>H21/4.65*1000</f>
        <v/>
      </c>
      <c r="P21" s="96">
        <f>O21+N21+M21+L21</f>
        <v/>
      </c>
    </row>
    <row r="22" ht="15.75" customHeight="1" s="111">
      <c r="A22" s="113" t="n"/>
      <c r="B22" s="133" t="inlineStr">
        <is>
          <t>Всего по объекту:</t>
        </is>
      </c>
      <c r="C22" s="172" t="n"/>
      <c r="D22" s="172" t="n"/>
      <c r="E22" s="173" t="n"/>
      <c r="F22" s="178">
        <f>SUM(F20:F21)</f>
        <v/>
      </c>
      <c r="G22" s="178">
        <f>SUM(G20:G21)</f>
        <v/>
      </c>
      <c r="H22" s="178">
        <f>SUM(H20:H21)</f>
        <v/>
      </c>
      <c r="I22" s="178">
        <f>SUM(I20:I21)</f>
        <v/>
      </c>
      <c r="J22" s="178">
        <f>SUM(F22:I22)</f>
        <v/>
      </c>
      <c r="L22" s="97">
        <f>L21+L20</f>
        <v/>
      </c>
      <c r="M22" s="97">
        <f>M21+M20</f>
        <v/>
      </c>
      <c r="N22" s="97">
        <f>N21+N20</f>
        <v/>
      </c>
      <c r="O22" s="97">
        <f>O21+O20</f>
        <v/>
      </c>
      <c r="P22" s="97">
        <f>P21+P20</f>
        <v/>
      </c>
    </row>
    <row r="23" ht="15.75" customHeight="1" s="111">
      <c r="A23" s="113" t="n"/>
      <c r="B23" s="133" t="inlineStr">
        <is>
          <t>Всего по объекту в сопоставимом уровне цен 3 кв. 2021 г:</t>
        </is>
      </c>
      <c r="C23" s="172" t="n"/>
      <c r="D23" s="172" t="n"/>
      <c r="E23" s="173" t="n"/>
      <c r="F23" s="178">
        <f>F22</f>
        <v/>
      </c>
      <c r="G23" s="178">
        <f>(L22*L23+M22*M23+N22*N23)/1000</f>
        <v/>
      </c>
      <c r="H23" s="178">
        <f>O22*O23/1000</f>
        <v/>
      </c>
      <c r="I23" s="178">
        <f>I22</f>
        <v/>
      </c>
      <c r="J23" s="178">
        <f>SUM(F23:I23)</f>
        <v/>
      </c>
      <c r="L23" s="98" t="n">
        <v>6.57</v>
      </c>
      <c r="M23" s="98" t="n">
        <v>33.95</v>
      </c>
      <c r="N23" s="98" t="n">
        <v>10.54</v>
      </c>
      <c r="O23" t="n">
        <v>5.56</v>
      </c>
    </row>
    <row r="24" ht="15.75" customHeight="1" s="111">
      <c r="A24" s="113" t="n"/>
      <c r="B24" s="113" t="n"/>
      <c r="C24" s="113" t="n"/>
      <c r="D24" s="113" t="n"/>
      <c r="E24" s="113" t="n"/>
      <c r="F24" s="113" t="n"/>
      <c r="G24" s="113" t="n"/>
      <c r="H24" s="113" t="n"/>
      <c r="I24" s="113" t="n"/>
      <c r="J24" s="113" t="n"/>
      <c r="L24" s="98" t="inlineStr">
        <is>
          <t xml:space="preserve">14.09.2021г. №39177-ИФ/09 </t>
        </is>
      </c>
      <c r="M24" s="98" t="n"/>
      <c r="N24" s="98" t="n"/>
    </row>
    <row r="25" ht="15.75" customHeight="1" s="111">
      <c r="A25" s="113" t="n"/>
      <c r="B25" s="113" t="n"/>
      <c r="C25" s="113" t="n"/>
      <c r="D25" s="113" t="n"/>
      <c r="E25" s="113" t="n"/>
      <c r="F25" s="113" t="n"/>
      <c r="G25" s="113" t="n"/>
      <c r="H25" s="113" t="n"/>
      <c r="I25" s="113" t="n"/>
      <c r="J25" s="113" t="n"/>
    </row>
    <row r="26" ht="15.75" customHeight="1" s="111">
      <c r="A26" s="113" t="n"/>
      <c r="B26" s="113" t="n"/>
      <c r="C26" s="113" t="n"/>
      <c r="D26" s="113" t="n"/>
      <c r="E26" s="113" t="n"/>
      <c r="F26" s="113" t="n"/>
      <c r="G26" s="113" t="n"/>
      <c r="H26" s="113" t="n"/>
      <c r="I26" s="113" t="n"/>
      <c r="J26" s="113" t="n"/>
    </row>
    <row r="27" ht="15.75" customHeight="1" s="111">
      <c r="A27" s="113" t="n"/>
      <c r="B27" s="113" t="inlineStr">
        <is>
          <t>Составил ______________________        Е.А. Князева</t>
        </is>
      </c>
      <c r="C27" s="113" t="n"/>
      <c r="D27" s="113" t="n"/>
      <c r="E27" s="113" t="n"/>
      <c r="F27" s="113" t="n"/>
      <c r="G27" s="113" t="n"/>
      <c r="H27" s="113" t="n"/>
      <c r="I27" s="113" t="n"/>
      <c r="J27" s="113" t="n"/>
    </row>
    <row r="28" ht="22.5" customHeight="1" s="111">
      <c r="A28" s="113" t="n"/>
      <c r="B28" s="79" t="inlineStr">
        <is>
          <t xml:space="preserve">                         (подпись, инициалы, фамилия)</t>
        </is>
      </c>
      <c r="C28" s="113" t="n"/>
      <c r="D28" s="113" t="n"/>
      <c r="E28" s="113" t="n"/>
      <c r="F28" s="113" t="n"/>
      <c r="G28" s="113" t="n"/>
      <c r="H28" s="113" t="n"/>
      <c r="I28" s="113" t="n"/>
      <c r="J28" s="113" t="n"/>
    </row>
    <row r="29" ht="15.75" customHeight="1" s="111">
      <c r="A29" s="113" t="n"/>
      <c r="B29" s="113" t="n"/>
      <c r="C29" s="113" t="n"/>
      <c r="D29" s="113" t="n"/>
      <c r="E29" s="113" t="n"/>
      <c r="F29" s="113" t="n"/>
      <c r="G29" s="113" t="n"/>
      <c r="H29" s="113" t="n"/>
      <c r="I29" s="113" t="n"/>
      <c r="J29" s="113" t="n"/>
    </row>
    <row r="30" ht="15.75" customHeight="1" s="111">
      <c r="A30" s="113" t="n"/>
      <c r="B30" s="113" t="inlineStr">
        <is>
          <t>Проверил ______________________        А.В. Костянецкая</t>
        </is>
      </c>
      <c r="C30" s="113" t="n"/>
      <c r="D30" s="113" t="n"/>
      <c r="E30" s="113" t="n"/>
      <c r="F30" s="113" t="n"/>
      <c r="G30" s="113" t="n"/>
      <c r="H30" s="113" t="n"/>
      <c r="I30" s="113" t="n"/>
      <c r="J30" s="113" t="n"/>
    </row>
    <row r="31" ht="22.5" customHeight="1" s="111">
      <c r="A31" s="113" t="n"/>
      <c r="B31" s="79" t="inlineStr">
        <is>
          <t xml:space="preserve">                        (подпись, инициалы, фамилия)</t>
        </is>
      </c>
      <c r="C31" s="113" t="n"/>
      <c r="D31" s="113" t="n"/>
      <c r="E31" s="113" t="n"/>
      <c r="F31" s="113" t="n"/>
      <c r="G31" s="113" t="n"/>
      <c r="H31" s="113" t="n"/>
      <c r="I31" s="113" t="n"/>
      <c r="J31" s="113" t="n"/>
    </row>
  </sheetData>
  <mergeCells count="21">
    <mergeCell ref="D9:J9"/>
    <mergeCell ref="C17:C19"/>
    <mergeCell ref="F10:J10"/>
    <mergeCell ref="B15:E15"/>
    <mergeCell ref="E10:E11"/>
    <mergeCell ref="F18:J18"/>
    <mergeCell ref="L18:P18"/>
    <mergeCell ref="B6:J6"/>
    <mergeCell ref="B22:E22"/>
    <mergeCell ref="D18:D19"/>
    <mergeCell ref="B4:J4"/>
    <mergeCell ref="B14:E14"/>
    <mergeCell ref="B7:J7"/>
    <mergeCell ref="B23:E23"/>
    <mergeCell ref="B17:B19"/>
    <mergeCell ref="B3:J3"/>
    <mergeCell ref="D10:D11"/>
    <mergeCell ref="D17:J17"/>
    <mergeCell ref="E18:E19"/>
    <mergeCell ref="B9:B11"/>
    <mergeCell ref="C9:C11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5"/>
  <sheetViews>
    <sheetView view="pageBreakPreview" topLeftCell="A40" workbookViewId="0">
      <selection activeCell="B56" sqref="B56"/>
    </sheetView>
  </sheetViews>
  <sheetFormatPr baseColWidth="8" defaultColWidth="9.140625" defaultRowHeight="15.75"/>
  <cols>
    <col width="9.140625" customWidth="1" style="113" min="1" max="1"/>
    <col width="12.5703125" customWidth="1" style="113" min="2" max="2"/>
    <col width="22.42578125" customWidth="1" style="113" min="3" max="3"/>
    <col width="49.7109375" customWidth="1" style="113" min="4" max="4"/>
    <col width="10.140625" customWidth="1" style="113" min="5" max="5"/>
    <col width="20.7109375" customWidth="1" style="113" min="6" max="6"/>
    <col width="16.140625" customWidth="1" style="113" min="7" max="7"/>
    <col width="16.7109375" customWidth="1" style="113" min="8" max="8"/>
    <col width="9.140625" customWidth="1" style="113" min="9" max="9"/>
    <col width="19.42578125" customWidth="1" style="113" min="10" max="10"/>
    <col width="13" customWidth="1" style="111" min="11" max="11"/>
  </cols>
  <sheetData>
    <row r="1">
      <c r="K1" s="113" t="n"/>
    </row>
    <row r="2">
      <c r="A2" s="129" t="inlineStr">
        <is>
          <t xml:space="preserve">Приложение № 3 </t>
        </is>
      </c>
      <c r="K2" s="113" t="n"/>
    </row>
    <row r="3">
      <c r="A3" s="130" t="inlineStr">
        <is>
          <t>Объектная ресурсная ведомость</t>
        </is>
      </c>
      <c r="K3" s="113" t="n"/>
    </row>
    <row r="4" ht="18.75" customHeight="1" s="111">
      <c r="A4" s="128" t="n"/>
      <c r="K4" s="113" t="n"/>
    </row>
    <row r="5">
      <c r="A5" s="134">
        <f>'Прил.1 Сравнит табл'!B7</f>
        <v/>
      </c>
      <c r="K5" s="113" t="n"/>
    </row>
    <row r="6">
      <c r="A6" s="134" t="n"/>
      <c r="B6" s="134" t="n"/>
      <c r="C6" s="134" t="n"/>
      <c r="D6" s="134" t="n"/>
      <c r="E6" s="134" t="n"/>
      <c r="F6" s="134" t="n"/>
      <c r="G6" s="134" t="n"/>
      <c r="H6" s="134" t="n"/>
      <c r="K6" s="113" t="n"/>
    </row>
    <row r="7" ht="15.75" customHeight="1" s="111">
      <c r="A7" s="131" t="inlineStr">
        <is>
          <t>п/п</t>
        </is>
      </c>
      <c r="B7" s="131" t="inlineStr">
        <is>
          <t>№ЛСР</t>
        </is>
      </c>
      <c r="C7" s="131" t="inlineStr">
        <is>
          <t>Код ресурса</t>
        </is>
      </c>
      <c r="D7" s="131" t="inlineStr">
        <is>
          <t>Наименование ресурса</t>
        </is>
      </c>
      <c r="E7" s="131" t="inlineStr">
        <is>
          <t>Ед. изм.</t>
        </is>
      </c>
      <c r="F7" s="131" t="inlineStr">
        <is>
          <t>Кол-во единиц по данным объекта-представителя</t>
        </is>
      </c>
      <c r="G7" s="131" t="inlineStr">
        <is>
          <t>Сметная стоимость в ценах на 01.01.2000 (руб.)</t>
        </is>
      </c>
      <c r="H7" s="173" t="n"/>
      <c r="K7" s="113" t="n"/>
    </row>
    <row r="8">
      <c r="A8" s="175" t="n"/>
      <c r="B8" s="175" t="n"/>
      <c r="C8" s="175" t="n"/>
      <c r="D8" s="175" t="n"/>
      <c r="E8" s="175" t="n"/>
      <c r="F8" s="175" t="n"/>
      <c r="G8" s="131" t="inlineStr">
        <is>
          <t>на ед.изм.</t>
        </is>
      </c>
      <c r="H8" s="131" t="inlineStr">
        <is>
          <t>общая</t>
        </is>
      </c>
      <c r="K8" s="113" t="n"/>
    </row>
    <row r="9">
      <c r="A9" s="70" t="n">
        <v>1</v>
      </c>
      <c r="B9" s="70" t="n"/>
      <c r="C9" s="70" t="n">
        <v>2</v>
      </c>
      <c r="D9" s="70" t="inlineStr">
        <is>
          <t>З</t>
        </is>
      </c>
      <c r="E9" s="70" t="n">
        <v>4</v>
      </c>
      <c r="F9" s="70" t="n">
        <v>5</v>
      </c>
      <c r="G9" s="70" t="n">
        <v>6</v>
      </c>
      <c r="H9" s="70" t="n">
        <v>7</v>
      </c>
      <c r="K9" s="113" t="n"/>
    </row>
    <row r="10">
      <c r="A10" s="135" t="inlineStr">
        <is>
          <t>Затраты труда рабочих</t>
        </is>
      </c>
      <c r="B10" s="172" t="n"/>
      <c r="C10" s="172" t="n"/>
      <c r="D10" s="172" t="n"/>
      <c r="E10" s="173" t="n"/>
      <c r="F10" s="71" t="n">
        <v>161.6024</v>
      </c>
      <c r="G10" s="71" t="n"/>
      <c r="H10" s="71">
        <f>SUM(H11:H13)</f>
        <v/>
      </c>
      <c r="I10" s="102" t="n"/>
      <c r="J10" s="102" t="n"/>
      <c r="K10" s="102" t="n"/>
    </row>
    <row r="11">
      <c r="A11" s="136" t="n">
        <v>1</v>
      </c>
      <c r="B11" s="92" t="n"/>
      <c r="C11" s="74" t="inlineStr">
        <is>
          <t>1-3-8</t>
        </is>
      </c>
      <c r="D11" s="137" t="inlineStr">
        <is>
          <t>Затраты труда рабочих (ср 3,8)</t>
        </is>
      </c>
      <c r="E11" s="136" t="inlineStr">
        <is>
          <t>чел.-ч</t>
        </is>
      </c>
      <c r="F11" s="136" t="n">
        <v>73.58799999999999</v>
      </c>
      <c r="G11" s="76" t="n">
        <v>9.4</v>
      </c>
      <c r="H11" s="76">
        <f>ROUND(F11*G11,2)</f>
        <v/>
      </c>
      <c r="K11" s="113" t="n"/>
    </row>
    <row r="12" ht="15" customHeight="1" s="111">
      <c r="A12" s="136" t="n">
        <v>2</v>
      </c>
      <c r="B12" s="92" t="n"/>
      <c r="C12" s="74" t="inlineStr">
        <is>
          <t>1-4-2</t>
        </is>
      </c>
      <c r="D12" s="137" t="inlineStr">
        <is>
          <t>Затраты труда рабочих (ср 4,2)</t>
        </is>
      </c>
      <c r="E12" s="136" t="inlineStr">
        <is>
          <t>чел.-ч</t>
        </is>
      </c>
      <c r="F12" s="136" t="n">
        <v>42.4144</v>
      </c>
      <c r="G12" s="76" t="n">
        <v>9.92</v>
      </c>
      <c r="H12" s="76">
        <f>ROUND(F12*G12,2)</f>
        <v/>
      </c>
      <c r="K12" s="113" t="n"/>
    </row>
    <row r="13">
      <c r="A13" s="136" t="n">
        <v>3</v>
      </c>
      <c r="B13" s="92" t="n"/>
      <c r="C13" s="74" t="inlineStr">
        <is>
          <t>1-3-6</t>
        </is>
      </c>
      <c r="D13" s="137" t="inlineStr">
        <is>
          <t>Затраты труда рабочих (ср 3,6)</t>
        </is>
      </c>
      <c r="E13" s="136" t="inlineStr">
        <is>
          <t>чел.-ч</t>
        </is>
      </c>
      <c r="F13" s="136" t="n">
        <v>45.6</v>
      </c>
      <c r="G13" s="76" t="n">
        <v>9.18</v>
      </c>
      <c r="H13" s="76">
        <f>ROUND(F13*G13,2)</f>
        <v/>
      </c>
      <c r="K13" s="113" t="n"/>
    </row>
    <row r="14">
      <c r="A14" s="135" t="inlineStr">
        <is>
          <t>Затраты труда машинистов</t>
        </is>
      </c>
      <c r="B14" s="172" t="n"/>
      <c r="C14" s="172" t="n"/>
      <c r="D14" s="172" t="n"/>
      <c r="E14" s="173" t="n"/>
      <c r="F14" s="135" t="n">
        <v>2.184</v>
      </c>
      <c r="G14" s="71" t="n"/>
      <c r="H14" s="71">
        <f>H15</f>
        <v/>
      </c>
      <c r="K14" s="113" t="n"/>
    </row>
    <row r="15">
      <c r="A15" s="136" t="n">
        <v>4</v>
      </c>
      <c r="B15" s="114" t="n"/>
      <c r="C15" s="86" t="n">
        <v>2</v>
      </c>
      <c r="D15" s="137" t="inlineStr">
        <is>
          <t>Затраты труда машинистов</t>
        </is>
      </c>
      <c r="E15" s="136" t="inlineStr">
        <is>
          <t>чел.-ч</t>
        </is>
      </c>
      <c r="F15" s="136" t="n">
        <v>2.184</v>
      </c>
      <c r="G15" s="76" t="n"/>
      <c r="H15" s="76" t="n">
        <v>27.42</v>
      </c>
      <c r="K15" s="113" t="n"/>
    </row>
    <row r="16">
      <c r="A16" s="135" t="inlineStr">
        <is>
          <t>Машины и механизмы</t>
        </is>
      </c>
      <c r="B16" s="172" t="n"/>
      <c r="C16" s="172" t="n"/>
      <c r="D16" s="172" t="n"/>
      <c r="E16" s="173" t="n"/>
      <c r="F16" s="135" t="n"/>
      <c r="G16" s="71" t="n"/>
      <c r="H16" s="71">
        <f>SUM(H17:H19)</f>
        <v/>
      </c>
      <c r="I16" s="102" t="n"/>
      <c r="J16" s="102" t="n"/>
      <c r="K16" s="102" t="n"/>
    </row>
    <row r="17" ht="31.5" customHeight="1" s="111">
      <c r="A17" s="136" t="n">
        <v>5</v>
      </c>
      <c r="B17" s="114" t="n"/>
      <c r="C17" s="137" t="inlineStr">
        <is>
          <t>91.05.05-015</t>
        </is>
      </c>
      <c r="D17" s="137" t="inlineStr">
        <is>
          <t>Краны на автомобильном ходу, грузоподъемность 16 т</t>
        </is>
      </c>
      <c r="E17" s="136" t="inlineStr">
        <is>
          <t>маш.час</t>
        </is>
      </c>
      <c r="F17" s="136" t="n">
        <v>1.0934</v>
      </c>
      <c r="G17" s="76" t="n">
        <v>115.4</v>
      </c>
      <c r="H17" s="76">
        <f>ROUND(F17*G17,2)</f>
        <v/>
      </c>
      <c r="K17" s="113" t="n"/>
    </row>
    <row r="18" ht="31.5" customHeight="1" s="111">
      <c r="A18" s="136" t="n">
        <v>6</v>
      </c>
      <c r="B18" s="114" t="n"/>
      <c r="C18" s="137" t="inlineStr">
        <is>
          <t>91.17.04-233</t>
        </is>
      </c>
      <c r="D18" s="137" t="inlineStr">
        <is>
          <t>Установки для сварки ручной дуговой (постоянного тока)</t>
        </is>
      </c>
      <c r="E18" s="136" t="inlineStr">
        <is>
          <t>маш.час</t>
        </is>
      </c>
      <c r="F18" s="136" t="n">
        <v>14.172</v>
      </c>
      <c r="G18" s="76" t="n">
        <v>8.1</v>
      </c>
      <c r="H18" s="76">
        <f>ROUND(F18*G18,2)</f>
        <v/>
      </c>
      <c r="I18" s="102" t="n"/>
      <c r="J18" s="102" t="n"/>
      <c r="K18" s="102" t="n"/>
    </row>
    <row r="19">
      <c r="A19" s="136" t="n">
        <v>7</v>
      </c>
      <c r="B19" s="114" t="n"/>
      <c r="C19" s="137" t="inlineStr">
        <is>
          <t>91.14.02-001</t>
        </is>
      </c>
      <c r="D19" s="137" t="inlineStr">
        <is>
          <t>Автомобили бортовые, грузоподъемность до 5 т</t>
        </is>
      </c>
      <c r="E19" s="136" t="inlineStr">
        <is>
          <t>маш.час</t>
        </is>
      </c>
      <c r="F19" s="136" t="n">
        <v>1.0906</v>
      </c>
      <c r="G19" s="76" t="n">
        <v>65.70999999999999</v>
      </c>
      <c r="H19" s="76">
        <f>ROUND(F19*G19,2)</f>
        <v/>
      </c>
      <c r="K19" s="113" t="n"/>
    </row>
    <row r="20">
      <c r="A20" s="135" t="inlineStr">
        <is>
          <t>Оборудование</t>
        </is>
      </c>
      <c r="B20" s="172" t="n"/>
      <c r="C20" s="172" t="n"/>
      <c r="D20" s="172" t="n"/>
      <c r="E20" s="173" t="n"/>
      <c r="F20" s="135" t="n"/>
      <c r="G20" s="71" t="n"/>
      <c r="H20" s="71">
        <f>SUM(H21:H25)</f>
        <v/>
      </c>
      <c r="J20" s="88" t="n"/>
    </row>
    <row r="21" ht="78.75" customHeight="1" s="111">
      <c r="A21" s="136" t="n">
        <v>8</v>
      </c>
      <c r="B21" s="114" t="n"/>
      <c r="C21" s="137" t="inlineStr">
        <is>
          <t>62.1.02.06-0014</t>
        </is>
      </c>
      <c r="D21" s="137" t="inlineStr">
        <is>
          <t>Пункт распределительный, тип: ПР 06-100-00-41-УХЛ3, 380/220 В на 48 модулей (Низковольтный распределительный шкаф переменного тока 380/220 В (450х426х145) 1DQ5)</t>
        </is>
      </c>
      <c r="E21" s="136" t="inlineStr">
        <is>
          <t>шт</t>
        </is>
      </c>
      <c r="F21" s="136" t="n">
        <v>1</v>
      </c>
      <c r="G21" s="76" t="n">
        <v>22557.59</v>
      </c>
      <c r="H21" s="76">
        <f>ROUND(F21*G21,2)</f>
        <v/>
      </c>
    </row>
    <row r="22" ht="78.75" customHeight="1" s="111">
      <c r="A22" s="136" t="n">
        <v>9</v>
      </c>
      <c r="B22" s="114" t="n"/>
      <c r="C22" s="137" t="inlineStr">
        <is>
          <t>62.1.02.06-0014</t>
        </is>
      </c>
      <c r="D22" s="137" t="inlineStr">
        <is>
          <t>Пункт распределительный, тип: ПР 06-100-00-41-УХЛ3, 380/220 В на 48 модулей (Низковольтный распределительный шкаф переменного тока 380/220 В (450х426х145) 1DQ6)</t>
        </is>
      </c>
      <c r="E22" s="136" t="inlineStr">
        <is>
          <t>шт</t>
        </is>
      </c>
      <c r="F22" s="136" t="n">
        <v>1</v>
      </c>
      <c r="G22" s="76" t="n">
        <v>22557.59</v>
      </c>
      <c r="H22" s="76">
        <f>ROUND(F22*G22,2)</f>
        <v/>
      </c>
    </row>
    <row r="23" ht="31.5" customHeight="1" s="111">
      <c r="A23" s="136" t="n">
        <v>10</v>
      </c>
      <c r="B23" s="114" t="n"/>
      <c r="C23" s="137" t="inlineStr">
        <is>
          <t>63.3.01.01-1022</t>
        </is>
      </c>
      <c r="D23" s="137" t="inlineStr">
        <is>
          <t>Электрообогреватель конвекторного типа, тип исполнения-настенный, мощность 1 кВт</t>
        </is>
      </c>
      <c r="E23" s="136" t="inlineStr">
        <is>
          <t>шт</t>
        </is>
      </c>
      <c r="F23" s="136" t="n">
        <v>27</v>
      </c>
      <c r="G23" s="76" t="n">
        <v>805.34</v>
      </c>
      <c r="H23" s="76">
        <f>ROUND(F23*G23,2)</f>
        <v/>
      </c>
    </row>
    <row r="24" ht="31.5" customHeight="1" s="111">
      <c r="A24" s="136" t="n">
        <v>11</v>
      </c>
      <c r="B24" s="114" t="n"/>
      <c r="C24" s="137" t="inlineStr">
        <is>
          <t>63.3.01.02-0005</t>
        </is>
      </c>
      <c r="D24" s="137" t="inlineStr">
        <is>
          <t>Обогреватели электрические Noirot: Spot E-3 1500 Вт</t>
        </is>
      </c>
      <c r="E24" s="136" t="inlineStr">
        <is>
          <t>шт</t>
        </is>
      </c>
      <c r="F24" s="136" t="n">
        <v>3</v>
      </c>
      <c r="G24" s="76" t="n">
        <v>946.77</v>
      </c>
      <c r="H24" s="76">
        <f>ROUND(F24*G24,2)</f>
        <v/>
      </c>
    </row>
    <row r="25" ht="31.5" customHeight="1" s="111">
      <c r="A25" s="136" t="n">
        <v>12</v>
      </c>
      <c r="B25" s="114" t="n"/>
      <c r="C25" s="137" t="inlineStr">
        <is>
          <t>63.3.01.02-1016</t>
        </is>
      </c>
      <c r="D25" s="137" t="inlineStr">
        <is>
          <t>Электрообогреватели излучающего типа, тип исполнения настенный, мощность 2 кВт</t>
        </is>
      </c>
      <c r="E25" s="136" t="inlineStr">
        <is>
          <t>шт</t>
        </is>
      </c>
      <c r="F25" s="136" t="n">
        <v>1</v>
      </c>
      <c r="G25" s="76" t="n">
        <v>1073.02</v>
      </c>
      <c r="H25" s="76">
        <f>ROUND(F25*G25,2)</f>
        <v/>
      </c>
    </row>
    <row r="26">
      <c r="A26" s="135" t="inlineStr">
        <is>
          <t>Материалы</t>
        </is>
      </c>
      <c r="B26" s="172" t="n"/>
      <c r="C26" s="172" t="n"/>
      <c r="D26" s="172" t="n"/>
      <c r="E26" s="173" t="n"/>
      <c r="F26" s="135" t="n"/>
      <c r="G26" s="71" t="n"/>
      <c r="H26" s="71">
        <f>SUM(H27:H48)</f>
        <v/>
      </c>
      <c r="J26" s="88" t="n"/>
    </row>
    <row r="27" ht="31.5" customHeight="1" s="111">
      <c r="A27" s="136" t="n">
        <v>13</v>
      </c>
      <c r="B27" s="94" t="n"/>
      <c r="C27" s="137" t="inlineStr">
        <is>
          <t>21.1.06.09-0154</t>
        </is>
      </c>
      <c r="D27" s="137" t="inlineStr">
        <is>
          <t>Кабель силовой с медными жилами ВВГнг(A)-LS 3х6-660</t>
        </is>
      </c>
      <c r="E27" s="136" t="inlineStr">
        <is>
          <t>1000 м</t>
        </is>
      </c>
      <c r="F27" s="136" t="n">
        <v>0.35</v>
      </c>
      <c r="G27" s="76" t="n">
        <v>15727.78</v>
      </c>
      <c r="H27" s="76">
        <f>ROUND(F27*G27,2)</f>
        <v/>
      </c>
    </row>
    <row r="28" ht="31.5" customHeight="1" s="111">
      <c r="A28" s="136" t="n">
        <v>14</v>
      </c>
      <c r="B28" s="94" t="n"/>
      <c r="C28" s="137" t="inlineStr">
        <is>
          <t>21.1.06.09-0162</t>
        </is>
      </c>
      <c r="D28" s="137" t="inlineStr">
        <is>
          <t>Кабель силовой с медными жилами ВВГнг(A)-LS 4х4-660</t>
        </is>
      </c>
      <c r="E28" s="136" t="inlineStr">
        <is>
          <t>1000 м</t>
        </is>
      </c>
      <c r="F28" s="136" t="n">
        <v>0.22</v>
      </c>
      <c r="G28" s="76" t="n">
        <v>14484.63</v>
      </c>
      <c r="H28" s="76">
        <f>ROUND(F28*G28,2)</f>
        <v/>
      </c>
    </row>
    <row r="29" ht="47.25" customHeight="1" s="111">
      <c r="A29" s="136" t="n">
        <v>15</v>
      </c>
      <c r="B29" s="94" t="n"/>
      <c r="C29" s="137" t="inlineStr">
        <is>
          <t>24.3.01.02-0014</t>
        </is>
      </c>
      <c r="D29" s="137" t="inlineStr">
        <is>
          <t>Трубы гибкие гофрированные легкие из самозатухающего ПВХ (IP55) серии FL, диаметром: 32 мм</t>
        </is>
      </c>
      <c r="E29" s="136" t="inlineStr">
        <is>
          <t>10 м</t>
        </is>
      </c>
      <c r="F29" s="136" t="n">
        <v>30</v>
      </c>
      <c r="G29" s="76" t="n">
        <v>53.03</v>
      </c>
      <c r="H29" s="76">
        <f>ROUND(F29*G29,2)</f>
        <v/>
      </c>
    </row>
    <row r="30">
      <c r="A30" s="136" t="n">
        <v>16</v>
      </c>
      <c r="B30" s="94" t="n"/>
      <c r="C30" s="137" t="inlineStr">
        <is>
          <t>20.2.05.04-0015</t>
        </is>
      </c>
      <c r="D30" s="137" t="inlineStr">
        <is>
          <t>Кабель-канал (короб) "Legrand": 50х130 мм</t>
        </is>
      </c>
      <c r="E30" s="136" t="inlineStr">
        <is>
          <t>100 м</t>
        </is>
      </c>
      <c r="F30" s="136" t="n">
        <v>0.2</v>
      </c>
      <c r="G30" s="76" t="n">
        <v>7153.01</v>
      </c>
      <c r="H30" s="76">
        <f>ROUND(F30*G30,2)</f>
        <v/>
      </c>
    </row>
    <row r="31" ht="15" customHeight="1" s="111">
      <c r="A31" s="136" t="n">
        <v>17</v>
      </c>
      <c r="B31" s="94" t="n"/>
      <c r="C31" s="137" t="inlineStr">
        <is>
          <t>07.2.07.04-0007</t>
        </is>
      </c>
      <c r="D31" s="137" t="inlineStr">
        <is>
          <t>Конструкции стальные индивидуальные решетчатые сварные, масса до 0,1 т</t>
        </is>
      </c>
      <c r="E31" s="136" t="inlineStr">
        <is>
          <t>т</t>
        </is>
      </c>
      <c r="F31" s="136" t="n">
        <v>0.03</v>
      </c>
      <c r="G31" s="76" t="n">
        <v>11500</v>
      </c>
      <c r="H31" s="76">
        <f>ROUND(F31*G31,2)</f>
        <v/>
      </c>
    </row>
    <row r="32" ht="31.5" customHeight="1" s="111">
      <c r="A32" s="136" t="n">
        <v>18</v>
      </c>
      <c r="B32" s="94" t="n"/>
      <c r="C32" s="137" t="inlineStr">
        <is>
          <t>20.2.05.02-0012</t>
        </is>
      </c>
      <c r="D32" s="137" t="inlineStr">
        <is>
          <t>Держатель пластмассовый с защелкой для труб диаметром 32 мм</t>
        </is>
      </c>
      <c r="E32" s="136" t="inlineStr">
        <is>
          <t>100 шт</t>
        </is>
      </c>
      <c r="F32" s="136" t="n">
        <v>4.8</v>
      </c>
      <c r="G32" s="76" t="n">
        <v>62</v>
      </c>
      <c r="H32" s="76">
        <f>ROUND(F32*G32,2)</f>
        <v/>
      </c>
    </row>
    <row r="33">
      <c r="A33" s="136" t="n">
        <v>19</v>
      </c>
      <c r="B33" s="94" t="n"/>
      <c r="C33" s="137" t="inlineStr">
        <is>
          <t>20.4.03.06-0003</t>
        </is>
      </c>
      <c r="D33" s="137" t="inlineStr">
        <is>
          <t>Розетка скрытой проводки</t>
        </is>
      </c>
      <c r="E33" s="136" t="inlineStr">
        <is>
          <t>100 шт</t>
        </is>
      </c>
      <c r="F33" s="136" t="n">
        <v>0.28</v>
      </c>
      <c r="G33" s="76" t="n">
        <v>863</v>
      </c>
      <c r="H33" s="76">
        <f>ROUND(F33*G33,2)</f>
        <v/>
      </c>
    </row>
    <row r="34" ht="15" customHeight="1" s="111">
      <c r="A34" s="136" t="n">
        <v>20</v>
      </c>
      <c r="B34" s="94" t="n"/>
      <c r="C34" s="137" t="inlineStr">
        <is>
          <t>14.5.01.10-0029</t>
        </is>
      </c>
      <c r="D34" s="137" t="inlineStr">
        <is>
          <t>Пена монтажная полиуретановая противопожарная однокомпонентная модифицированная для заполнения, уплотнения, утепления, изоляции и соединения швов и стыков в местах с повышенными требованиями пожарной безопасности (0,88 л)</t>
        </is>
      </c>
      <c r="E34" s="136" t="inlineStr">
        <is>
          <t>шт</t>
        </is>
      </c>
      <c r="F34" s="136" t="n">
        <v>2</v>
      </c>
      <c r="G34" s="76" t="n">
        <v>110.11</v>
      </c>
      <c r="H34" s="76">
        <f>ROUND(F34*G34,2)</f>
        <v/>
      </c>
    </row>
    <row r="35" ht="31.5" customHeight="1" s="111">
      <c r="A35" s="136" t="n">
        <v>21</v>
      </c>
      <c r="B35" s="94" t="n"/>
      <c r="C35" s="137" t="inlineStr">
        <is>
          <t>21.1.06.09-0147</t>
        </is>
      </c>
      <c r="D35" s="137" t="inlineStr">
        <is>
          <t>Кабель силовой с медными жилами ВВГнг-LS 2х4-660</t>
        </is>
      </c>
      <c r="E35" s="136" t="inlineStr">
        <is>
          <t>1000 м</t>
        </is>
      </c>
      <c r="F35" s="136" t="n">
        <v>0.0204</v>
      </c>
      <c r="G35" s="76" t="n">
        <v>8470.24</v>
      </c>
      <c r="H35" s="76">
        <f>ROUND(F35*G35,2)</f>
        <v/>
      </c>
    </row>
    <row r="36">
      <c r="A36" s="136" t="n">
        <v>22</v>
      </c>
      <c r="B36" s="94" t="n"/>
      <c r="C36" s="137" t="inlineStr">
        <is>
          <t>01.7.11.07-0034</t>
        </is>
      </c>
      <c r="D36" s="137" t="inlineStr">
        <is>
          <t>Электроды сварочные Э42А, диаметр 4 мм</t>
        </is>
      </c>
      <c r="E36" s="136" t="inlineStr">
        <is>
          <t>кг</t>
        </is>
      </c>
      <c r="F36" s="136" t="n">
        <v>11.605</v>
      </c>
      <c r="G36" s="76" t="n">
        <v>10.57</v>
      </c>
      <c r="H36" s="76">
        <f>ROUND(F36*G36,2)</f>
        <v/>
      </c>
    </row>
    <row r="37">
      <c r="A37" s="136" t="n">
        <v>23</v>
      </c>
      <c r="B37" s="94" t="n"/>
      <c r="C37" s="137" t="inlineStr">
        <is>
          <t>01.7.15.07-0014</t>
        </is>
      </c>
      <c r="D37" s="137" t="inlineStr">
        <is>
          <t>Дюбели распорные полипропиленовые</t>
        </is>
      </c>
      <c r="E37" s="136" t="inlineStr">
        <is>
          <t>100 шт</t>
        </is>
      </c>
      <c r="F37" s="136" t="n">
        <v>0.837</v>
      </c>
      <c r="G37" s="76" t="n">
        <v>86</v>
      </c>
      <c r="H37" s="76">
        <f>ROUND(F37*G37,2)</f>
        <v/>
      </c>
    </row>
    <row r="38">
      <c r="A38" s="136" t="n">
        <v>24</v>
      </c>
      <c r="B38" s="94" t="n"/>
      <c r="C38" s="137" t="inlineStr">
        <is>
          <t>14.4.02.09-0001</t>
        </is>
      </c>
      <c r="D38" s="137" t="inlineStr">
        <is>
          <t>Краска</t>
        </is>
      </c>
      <c r="E38" s="136" t="inlineStr">
        <is>
          <t>кг</t>
        </is>
      </c>
      <c r="F38" s="136" t="n">
        <v>2.44</v>
      </c>
      <c r="G38" s="76" t="n">
        <v>28.6</v>
      </c>
      <c r="H38" s="76">
        <f>ROUND(F38*G38,2)</f>
        <v/>
      </c>
    </row>
    <row r="39" ht="31.5" customHeight="1" s="111">
      <c r="A39" s="136" t="n">
        <v>25</v>
      </c>
      <c r="B39" s="94" t="n"/>
      <c r="C39" s="137" t="inlineStr">
        <is>
          <t>20.5.02.11-0001</t>
        </is>
      </c>
      <c r="D39" s="137" t="inlineStr">
        <is>
          <t>Коробка для установки розеток и выключателей скрытой проводки</t>
        </is>
      </c>
      <c r="E39" s="136" t="inlineStr">
        <is>
          <t>1000 шт</t>
        </is>
      </c>
      <c r="F39" s="136" t="n">
        <v>0.028</v>
      </c>
      <c r="G39" s="76" t="n">
        <v>1979.63</v>
      </c>
      <c r="H39" s="76">
        <f>ROUND(F39*G39,2)</f>
        <v/>
      </c>
    </row>
    <row r="40">
      <c r="A40" s="136" t="n">
        <v>26</v>
      </c>
      <c r="B40" s="94" t="n"/>
      <c r="C40" s="137" t="inlineStr">
        <is>
          <t>01.7.15.07-0152</t>
        </is>
      </c>
      <c r="D40" s="137" t="inlineStr">
        <is>
          <t>Дюбели с шурупом, размер 6х35 мм</t>
        </is>
      </c>
      <c r="E40" s="136" t="inlineStr">
        <is>
          <t>100 шт</t>
        </is>
      </c>
      <c r="F40" s="136" t="n">
        <v>5.25</v>
      </c>
      <c r="G40" s="76" t="n">
        <v>8</v>
      </c>
      <c r="H40" s="76">
        <f>ROUND(F40*G40,2)</f>
        <v/>
      </c>
      <c r="I40" s="102" t="n"/>
      <c r="J40" s="102" t="n"/>
    </row>
    <row r="41" ht="47.25" customHeight="1" s="111">
      <c r="A41" s="136" t="n">
        <v>27</v>
      </c>
      <c r="B41" s="94" t="n"/>
      <c r="C41" s="137" t="inlineStr">
        <is>
          <t>01.7.06.05-0041</t>
        </is>
      </c>
      <c r="D41" s="137" t="inlineStr">
        <is>
          <t>Лента изоляционная прорезиненная односторонняя, ширина 20 мм, толщина 0,25-0,35 мм</t>
        </is>
      </c>
      <c r="E41" s="136" t="inlineStr">
        <is>
          <t>кг</t>
        </is>
      </c>
      <c r="F41" s="136" t="n">
        <v>1.0696</v>
      </c>
      <c r="G41" s="76" t="n">
        <v>30.4</v>
      </c>
      <c r="H41" s="76">
        <f>ROUND(F41*G41,2)</f>
        <v/>
      </c>
    </row>
    <row r="42" ht="31.5" customHeight="1" s="111">
      <c r="A42" s="136" t="n">
        <v>28</v>
      </c>
      <c r="B42" s="94" t="n"/>
      <c r="C42" s="137" t="inlineStr">
        <is>
          <t>999-9950</t>
        </is>
      </c>
      <c r="D42" s="137" t="inlineStr">
        <is>
          <t>Вспомогательные ненормируемые ресурсы (2% от Оплаты труда рабочих)</t>
        </is>
      </c>
      <c r="E42" s="136" t="inlineStr">
        <is>
          <t>руб</t>
        </is>
      </c>
      <c r="F42" s="136" t="n">
        <v>30.599</v>
      </c>
      <c r="G42" s="76" t="n">
        <v>1</v>
      </c>
      <c r="H42" s="76">
        <f>ROUND(F42*G42,2)</f>
        <v/>
      </c>
    </row>
    <row r="43">
      <c r="A43" s="136" t="n">
        <v>29</v>
      </c>
      <c r="B43" s="94" t="n"/>
      <c r="C43" s="137" t="inlineStr">
        <is>
          <t>01.7.06.07-0002</t>
        </is>
      </c>
      <c r="D43" s="137" t="inlineStr">
        <is>
          <t>Лента монтажная, тип ЛМ-5</t>
        </is>
      </c>
      <c r="E43" s="136" t="inlineStr">
        <is>
          <t>10 м</t>
        </is>
      </c>
      <c r="F43" s="136" t="n">
        <v>3.2725</v>
      </c>
      <c r="G43" s="76" t="n">
        <v>6.9</v>
      </c>
      <c r="H43" s="76">
        <f>ROUND(F43*G43,2)</f>
        <v/>
      </c>
    </row>
    <row r="44">
      <c r="A44" s="136" t="n">
        <v>30</v>
      </c>
      <c r="B44" s="94" t="n"/>
      <c r="C44" s="137" t="inlineStr">
        <is>
          <t>20.2.02.01-0019</t>
        </is>
      </c>
      <c r="D44" s="137" t="inlineStr">
        <is>
          <t>Втулки изолирующие</t>
        </is>
      </c>
      <c r="E44" s="136" t="inlineStr">
        <is>
          <t>1000 шт</t>
        </is>
      </c>
      <c r="F44" s="136" t="n">
        <v>0.02856</v>
      </c>
      <c r="G44" s="76" t="n">
        <v>270</v>
      </c>
      <c r="H44" s="76">
        <f>ROUND(F44*G44,2)</f>
        <v/>
      </c>
    </row>
    <row r="45">
      <c r="A45" s="136" t="n">
        <v>31</v>
      </c>
      <c r="B45" s="94" t="n"/>
      <c r="C45" s="137" t="inlineStr">
        <is>
          <t>01.7.15.03-0042</t>
        </is>
      </c>
      <c r="D45" s="137" t="inlineStr">
        <is>
          <t>Болты с гайками и шайбами строительные</t>
        </is>
      </c>
      <c r="E45" s="136" t="inlineStr">
        <is>
          <t>кг</t>
        </is>
      </c>
      <c r="F45" s="136" t="n">
        <v>0.76</v>
      </c>
      <c r="G45" s="76" t="n">
        <v>9.039999999999999</v>
      </c>
      <c r="H45" s="76">
        <f>ROUND(F45*G45,2)</f>
        <v/>
      </c>
    </row>
    <row r="46" ht="31.5" customHeight="1" s="111">
      <c r="A46" s="136" t="n">
        <v>32</v>
      </c>
      <c r="B46" s="94" t="n"/>
      <c r="C46" s="137" t="inlineStr">
        <is>
          <t>01.1.01.09-0024</t>
        </is>
      </c>
      <c r="D46" s="137" t="inlineStr">
        <is>
          <t>Шнур асбестовый общего назначения ШАОН, диаметр 3-5 мм</t>
        </is>
      </c>
      <c r="E46" s="136" t="inlineStr">
        <is>
          <t>т</t>
        </is>
      </c>
      <c r="F46" s="136" t="n">
        <v>0.00012</v>
      </c>
      <c r="G46" s="76" t="n">
        <v>26950</v>
      </c>
      <c r="H46" s="76">
        <f>ROUND(F46*G46,2)</f>
        <v/>
      </c>
    </row>
    <row r="47">
      <c r="A47" s="136" t="n">
        <v>33</v>
      </c>
      <c r="B47" s="94" t="n"/>
      <c r="C47" s="137" t="inlineStr">
        <is>
          <t>01.7.07.29-0111</t>
        </is>
      </c>
      <c r="D47" s="137" t="inlineStr">
        <is>
          <t>Пакля пропитанная</t>
        </is>
      </c>
      <c r="E47" s="136" t="inlineStr">
        <is>
          <t>кг</t>
        </is>
      </c>
      <c r="F47" s="136" t="n">
        <v>0.3</v>
      </c>
      <c r="G47" s="76" t="n">
        <v>9.039999999999999</v>
      </c>
      <c r="H47" s="76">
        <f>ROUND(F47*G47,2)</f>
        <v/>
      </c>
    </row>
    <row r="48">
      <c r="A48" s="136" t="n">
        <v>34</v>
      </c>
      <c r="B48" s="94" t="n"/>
      <c r="C48" s="137" t="inlineStr">
        <is>
          <t>03.1.01.01-0002</t>
        </is>
      </c>
      <c r="D48" s="137" t="inlineStr">
        <is>
          <t>Гипс строительный Г-3</t>
        </is>
      </c>
      <c r="E48" s="136" t="inlineStr">
        <is>
          <t>т</t>
        </is>
      </c>
      <c r="F48" s="136" t="n">
        <v>0.000882</v>
      </c>
      <c r="G48" s="76" t="n">
        <v>729.98</v>
      </c>
      <c r="H48" s="76">
        <f>ROUND(F48*G48,2)</f>
        <v/>
      </c>
    </row>
    <row r="51">
      <c r="B51" s="113" t="inlineStr">
        <is>
          <t>Составил ______________________        Е.А. Князева</t>
        </is>
      </c>
    </row>
    <row r="52">
      <c r="B52" s="57" t="inlineStr">
        <is>
          <t xml:space="preserve">                         (подпись, инициалы, фамилия)</t>
        </is>
      </c>
    </row>
    <row r="54">
      <c r="B54" s="113" t="inlineStr">
        <is>
          <t>Проверил ______________________        А.В. Костянецкая</t>
        </is>
      </c>
    </row>
    <row r="55">
      <c r="B55" s="57" t="inlineStr">
        <is>
          <t xml:space="preserve">                        (подпись, инициалы, фамилия)</t>
        </is>
      </c>
    </row>
  </sheetData>
  <mergeCells count="15">
    <mergeCell ref="A3:H3"/>
    <mergeCell ref="A26:E26"/>
    <mergeCell ref="A20:E20"/>
    <mergeCell ref="A16:E16"/>
    <mergeCell ref="G7:H7"/>
    <mergeCell ref="A14:E14"/>
    <mergeCell ref="A10:E10"/>
    <mergeCell ref="A2:H2"/>
    <mergeCell ref="C7:C8"/>
    <mergeCell ref="A7:A8"/>
    <mergeCell ref="B7:B8"/>
    <mergeCell ref="D7:D8"/>
    <mergeCell ref="E7:E8"/>
    <mergeCell ref="F7:F8"/>
    <mergeCell ref="A5:H5"/>
  </mergeCells>
  <pageMargins left="0.7" right="0.7" top="0.75" bottom="0.75" header="0.3" footer="0.3"/>
  <pageSetup orientation="portrait" paperSize="9" scale="4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6" sqref="B45:B46"/>
    </sheetView>
  </sheetViews>
  <sheetFormatPr baseColWidth="8" defaultColWidth="9.140625" defaultRowHeight="15"/>
  <cols>
    <col width="4.140625" customWidth="1" style="111" min="1" max="1"/>
    <col width="36.28515625" customWidth="1" style="111" min="2" max="2"/>
    <col width="18.85546875" customWidth="1" style="111" min="3" max="3"/>
    <col width="18.28515625" customWidth="1" style="111" min="4" max="4"/>
    <col width="18.85546875" customWidth="1" style="111" min="5" max="5"/>
    <col width="14.28515625" customWidth="1" style="111" min="7" max="7"/>
    <col width="13.5703125" customWidth="1" style="111" min="12" max="12"/>
  </cols>
  <sheetData>
    <row r="1">
      <c r="B1" s="107" t="n"/>
      <c r="C1" s="107" t="n"/>
      <c r="D1" s="107" t="n"/>
      <c r="E1" s="107" t="n"/>
    </row>
    <row r="2">
      <c r="B2" s="107" t="n"/>
      <c r="C2" s="107" t="n"/>
      <c r="D2" s="107" t="n"/>
      <c r="E2" s="162" t="inlineStr">
        <is>
          <t>Приложение № 4</t>
        </is>
      </c>
    </row>
    <row r="3">
      <c r="B3" s="107" t="n"/>
      <c r="C3" s="107" t="n"/>
      <c r="D3" s="107" t="n"/>
      <c r="E3" s="107" t="n"/>
    </row>
    <row r="4">
      <c r="B4" s="107" t="n"/>
      <c r="C4" s="107" t="n"/>
      <c r="D4" s="107" t="n"/>
      <c r="E4" s="107" t="n"/>
    </row>
    <row r="5">
      <c r="B5" s="138" t="inlineStr">
        <is>
          <t>Ресурсная модель</t>
        </is>
      </c>
    </row>
    <row r="6">
      <c r="B6" s="16" t="n"/>
      <c r="C6" s="107" t="n"/>
      <c r="D6" s="107" t="n"/>
      <c r="E6" s="107" t="n"/>
    </row>
    <row r="7" ht="39.75" customHeight="1" s="111">
      <c r="B7" s="139">
        <f>'Прил.1 Сравнит табл'!B7</f>
        <v/>
      </c>
    </row>
    <row r="8">
      <c r="B8" s="140">
        <f>'Прил.1 Сравнит табл'!B9</f>
        <v/>
      </c>
    </row>
    <row r="9">
      <c r="B9" s="16" t="n"/>
      <c r="C9" s="107" t="n"/>
      <c r="D9" s="107" t="n"/>
      <c r="E9" s="107" t="n"/>
    </row>
    <row r="10" ht="51" customHeight="1" s="111">
      <c r="B10" s="142" t="inlineStr">
        <is>
          <t>Наименование</t>
        </is>
      </c>
      <c r="C10" s="142" t="inlineStr">
        <is>
          <t>Сметная стоимость в ценах на 01.01.2023
 (руб.)</t>
        </is>
      </c>
      <c r="D10" s="142" t="inlineStr">
        <is>
          <t>Удельный вес, 
(в СМР)</t>
        </is>
      </c>
      <c r="E10" s="142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ОБ'!J22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ОБ'!J23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ОБ'!J44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ОБ'!J62</f>
        <v/>
      </c>
      <c r="D17" s="26">
        <f>C17/$C$24</f>
        <v/>
      </c>
      <c r="E17" s="26">
        <f>C17/$C$40</f>
        <v/>
      </c>
      <c r="G17" s="179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ОБ'!E66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ОБ'!E65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5" customHeight="1" s="111">
      <c r="B25" s="7" t="inlineStr">
        <is>
          <t>ВСЕГО стоимость оборудования, в том числе</t>
        </is>
      </c>
      <c r="C25" s="27">
        <f>'Прил.5 Расчет СМР и ОБ'!J34</f>
        <v/>
      </c>
      <c r="D25" s="26" t="n"/>
      <c r="E25" s="26">
        <f>C25/$C$40</f>
        <v/>
      </c>
    </row>
    <row r="26" ht="25.5" customHeight="1" s="111">
      <c r="B26" s="7" t="inlineStr">
        <is>
          <t>стоимость оборудования технологического</t>
        </is>
      </c>
      <c r="C26" s="27">
        <f>'Прил.5 Расчет СМР и ОБ'!J35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11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1">
      <c r="B29" s="7" t="inlineStr">
        <is>
          <t>Временные здания и сооружения - 3,9%</t>
        </is>
      </c>
      <c r="C29" s="25">
        <f>ROUND(C24*3.9%,2)</f>
        <v/>
      </c>
      <c r="D29" s="7" t="n"/>
      <c r="E29" s="26">
        <f>C29/$C$40</f>
        <v/>
      </c>
    </row>
    <row r="30" ht="38.25" customHeight="1" s="11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7" t="n"/>
      <c r="E30" s="26">
        <f>C30/$C$40</f>
        <v/>
      </c>
    </row>
    <row r="31">
      <c r="B31" s="7" t="inlineStr">
        <is>
          <t xml:space="preserve">Пусконаладочные работы </t>
        </is>
      </c>
      <c r="C31" s="99" t="n">
        <v>12255.55</v>
      </c>
      <c r="D31" s="7" t="n"/>
      <c r="E31" s="26">
        <f>C31/$C$40</f>
        <v/>
      </c>
    </row>
    <row r="32" ht="25.5" customHeight="1" s="111">
      <c r="B32" s="7" t="inlineStr">
        <is>
          <t xml:space="preserve">Затраты по перевозке работников к месту работы и обратно </t>
        </is>
      </c>
      <c r="C32" s="25" t="n">
        <v>0</v>
      </c>
      <c r="D32" s="7" t="n"/>
      <c r="E32" s="26">
        <f>C32/$C$40</f>
        <v/>
      </c>
      <c r="G32" s="91" t="n"/>
    </row>
    <row r="33" ht="25.5" customHeight="1" s="111">
      <c r="B33" s="7" t="inlineStr">
        <is>
          <t>Затраты, связанные с осуществлением работ вахтовым методом</t>
        </is>
      </c>
      <c r="C33" s="25" t="n">
        <v>0</v>
      </c>
      <c r="D33" s="7" t="n"/>
      <c r="E33" s="26">
        <f>C33/$C$40</f>
        <v/>
      </c>
      <c r="G33" s="91" t="n"/>
    </row>
    <row r="34" ht="51" customHeight="1" s="111">
      <c r="B34" s="7" t="inlineStr">
        <is>
          <t>Расходы на командировки рабочих и пусконаладочного персонала, привлекаемых для выполнения строительства - 0,84%</t>
        </is>
      </c>
      <c r="C34" s="25" t="n">
        <v>0</v>
      </c>
      <c r="D34" s="7" t="n"/>
      <c r="E34" s="26">
        <f>C34/$C$40</f>
        <v/>
      </c>
      <c r="G34" s="91" t="n"/>
    </row>
    <row r="35" ht="76.5" customHeight="1" s="11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91" t="n"/>
    </row>
    <row r="36" ht="25.5" customHeight="1" s="111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25" customHeight="1" s="111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7" customHeight="1" s="111">
      <c r="B39" s="7" t="inlineStr">
        <is>
          <t>Непредвиденные расходы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ОБ'!E69</f>
        <v/>
      </c>
      <c r="D41" s="7" t="n"/>
      <c r="E41" s="7" t="n"/>
    </row>
    <row r="42">
      <c r="B42" s="19" t="n"/>
      <c r="C42" s="107" t="n"/>
      <c r="D42" s="107" t="n"/>
      <c r="E42" s="107" t="n"/>
    </row>
    <row r="43">
      <c r="B43" s="107" t="inlineStr">
        <is>
          <t>Составил ______________________        Е.А. Князева</t>
        </is>
      </c>
      <c r="C43" s="108" t="n"/>
      <c r="D43" s="107" t="n"/>
      <c r="E43" s="107" t="n"/>
    </row>
    <row r="44">
      <c r="B44" s="110" t="inlineStr">
        <is>
          <t xml:space="preserve">                         (подпись, инициалы, фамилия)</t>
        </is>
      </c>
      <c r="C44" s="108" t="n"/>
      <c r="D44" s="107" t="n"/>
      <c r="E44" s="107" t="n"/>
    </row>
    <row r="45">
      <c r="B45" s="107" t="n"/>
      <c r="C45" s="108" t="n"/>
      <c r="D45" s="107" t="n"/>
      <c r="E45" s="107" t="n"/>
    </row>
    <row r="46">
      <c r="B46" s="107" t="inlineStr">
        <is>
          <t>Проверил ______________________        А.В. Костянецкая</t>
        </is>
      </c>
      <c r="C46" s="108" t="n"/>
      <c r="D46" s="107" t="n"/>
      <c r="E46" s="107" t="n"/>
    </row>
    <row r="47">
      <c r="B47" s="110" t="inlineStr">
        <is>
          <t xml:space="preserve">                        (подпись, инициалы, фамилия)</t>
        </is>
      </c>
      <c r="C47" s="108" t="n"/>
      <c r="D47" s="107" t="n"/>
      <c r="E47" s="107" t="n"/>
    </row>
    <row r="49">
      <c r="B49" s="107" t="n"/>
      <c r="C49" s="107" t="n"/>
      <c r="D49" s="107" t="n"/>
      <c r="E49" s="107" t="n"/>
    </row>
    <row r="50">
      <c r="B50" s="107" t="n"/>
      <c r="C50" s="107" t="n"/>
      <c r="D50" s="107" t="n"/>
      <c r="E50" s="10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L76"/>
  <sheetViews>
    <sheetView view="pageBreakPreview" topLeftCell="A34" workbookViewId="0">
      <selection activeCell="B72" sqref="B72"/>
    </sheetView>
  </sheetViews>
  <sheetFormatPr baseColWidth="8" defaultColWidth="9.140625" defaultRowHeight="15" outlineLevelRow="1"/>
  <cols>
    <col width="5.7109375" customWidth="1" style="108" min="1" max="1"/>
    <col width="22.5703125" customWidth="1" style="108" min="2" max="2"/>
    <col width="39.140625" customWidth="1" style="108" min="3" max="3"/>
    <col width="10.7109375" customWidth="1" style="108" min="4" max="4"/>
    <col width="12.7109375" customWidth="1" style="108" min="5" max="5"/>
    <col width="14.5703125" customWidth="1" style="108" min="6" max="6"/>
    <col width="13.42578125" customWidth="1" style="108" min="7" max="7"/>
    <col width="12.7109375" customWidth="1" style="108" min="8" max="8"/>
    <col width="14.5703125" customWidth="1" style="108" min="9" max="9"/>
    <col width="15.140625" customWidth="1" style="108" min="10" max="10"/>
    <col width="2.85546875" customWidth="1" style="108" min="11" max="11"/>
    <col width="10.7109375" customWidth="1" style="108" min="12" max="12"/>
    <col width="10.85546875" customWidth="1" style="108" min="13" max="13"/>
    <col width="9.140625" customWidth="1" style="108" min="14" max="14"/>
  </cols>
  <sheetData>
    <row r="2" ht="15.75" customHeight="1" s="111">
      <c r="I2" s="113" t="n"/>
      <c r="J2" s="47" t="inlineStr">
        <is>
          <t>Приложение №5</t>
        </is>
      </c>
    </row>
    <row r="4" ht="12.75" customFormat="1" customHeight="1" s="107">
      <c r="A4" s="138" t="inlineStr">
        <is>
          <t>Расчет стоимости СМР и оборудования</t>
        </is>
      </c>
      <c r="I4" s="138" t="n"/>
      <c r="J4" s="138" t="n"/>
    </row>
    <row r="5" ht="12.75" customFormat="1" customHeight="1" s="107">
      <c r="A5" s="138" t="n"/>
      <c r="B5" s="138" t="n"/>
      <c r="C5" s="138" t="n"/>
      <c r="D5" s="138" t="n"/>
      <c r="E5" s="138" t="n"/>
      <c r="F5" s="138" t="n"/>
      <c r="G5" s="138" t="n"/>
      <c r="H5" s="138" t="n"/>
      <c r="I5" s="138" t="n"/>
      <c r="J5" s="138" t="n"/>
    </row>
    <row r="6" ht="41.25" customFormat="1" customHeight="1" s="107">
      <c r="A6" s="80" t="inlineStr">
        <is>
          <t>Наименование разрабатываемого показателя УНЦ</t>
        </is>
      </c>
      <c r="B6" s="81" t="n"/>
      <c r="C6" s="81" t="n"/>
      <c r="D6" s="152" t="inlineStr">
        <is>
          <t>Внутреннее отопление зданий</t>
        </is>
      </c>
    </row>
    <row r="7" ht="12.75" customFormat="1" customHeight="1" s="107">
      <c r="A7" s="152" t="inlineStr">
        <is>
          <t>Единица измерения  —  м2</t>
        </is>
      </c>
      <c r="I7" s="139" t="n"/>
      <c r="J7" s="139" t="n"/>
    </row>
    <row r="8" ht="12.75" customFormat="1" customHeight="1" s="107"/>
    <row r="9" ht="27" customHeight="1" s="111">
      <c r="A9" s="142" t="inlineStr">
        <is>
          <t>№ пп.</t>
        </is>
      </c>
      <c r="B9" s="142" t="inlineStr">
        <is>
          <t>Код ресурса</t>
        </is>
      </c>
      <c r="C9" s="142" t="inlineStr">
        <is>
          <t>Наименование</t>
        </is>
      </c>
      <c r="D9" s="142" t="inlineStr">
        <is>
          <t>Ед. изм.</t>
        </is>
      </c>
      <c r="E9" s="142" t="inlineStr">
        <is>
          <t>Кол-во единиц по проектным данным</t>
        </is>
      </c>
      <c r="F9" s="142" t="inlineStr">
        <is>
          <t>Сметная стоимость в ценах на 01.01.2000 (руб.)</t>
        </is>
      </c>
      <c r="G9" s="173" t="n"/>
      <c r="H9" s="142" t="inlineStr">
        <is>
          <t>Удельный вес, %</t>
        </is>
      </c>
      <c r="I9" s="142" t="inlineStr">
        <is>
          <t>Сметная стоимость в ценах на 01.01.2023 (руб.)</t>
        </is>
      </c>
      <c r="J9" s="173" t="n"/>
    </row>
    <row r="10" ht="28.5" customHeight="1" s="111">
      <c r="A10" s="175" t="n"/>
      <c r="B10" s="175" t="n"/>
      <c r="C10" s="175" t="n"/>
      <c r="D10" s="175" t="n"/>
      <c r="E10" s="175" t="n"/>
      <c r="F10" s="142" t="inlineStr">
        <is>
          <t>на ед. изм.</t>
        </is>
      </c>
      <c r="G10" s="142" t="inlineStr">
        <is>
          <t>общая</t>
        </is>
      </c>
      <c r="H10" s="175" t="n"/>
      <c r="I10" s="142" t="inlineStr">
        <is>
          <t>на ед. изм.</t>
        </is>
      </c>
      <c r="J10" s="142" t="inlineStr">
        <is>
          <t>общая</t>
        </is>
      </c>
    </row>
    <row r="11">
      <c r="A11" s="142" t="n">
        <v>1</v>
      </c>
      <c r="B11" s="142" t="n">
        <v>2</v>
      </c>
      <c r="C11" s="142" t="n">
        <v>3</v>
      </c>
      <c r="D11" s="142" t="n">
        <v>4</v>
      </c>
      <c r="E11" s="142" t="n">
        <v>5</v>
      </c>
      <c r="F11" s="142" t="n">
        <v>6</v>
      </c>
      <c r="G11" s="142" t="n">
        <v>7</v>
      </c>
      <c r="H11" s="142" t="n">
        <v>8</v>
      </c>
      <c r="I11" s="142" t="n">
        <v>9</v>
      </c>
      <c r="J11" s="142" t="n">
        <v>10</v>
      </c>
    </row>
    <row r="12">
      <c r="A12" s="142" t="n"/>
      <c r="B12" s="153" t="inlineStr">
        <is>
          <t>Затраты труда рабочих-строителей</t>
        </is>
      </c>
      <c r="C12" s="172" t="n"/>
      <c r="D12" s="172" t="n"/>
      <c r="E12" s="172" t="n"/>
      <c r="F12" s="172" t="n"/>
      <c r="G12" s="172" t="n"/>
      <c r="H12" s="173" t="n"/>
      <c r="I12" s="30" t="n"/>
      <c r="J12" s="30" t="n"/>
      <c r="L12" s="180" t="n"/>
    </row>
    <row r="13" ht="25.5" customHeight="1" s="111">
      <c r="A13" s="142" t="n">
        <v>1</v>
      </c>
      <c r="B13" s="34" t="inlineStr">
        <is>
          <t>1-3-8</t>
        </is>
      </c>
      <c r="C13" s="141" t="inlineStr">
        <is>
          <t>Затраты труда рабочих-строителей среднего разряда (3,8)</t>
        </is>
      </c>
      <c r="D13" s="142" t="inlineStr">
        <is>
          <t>чел.-ч.</t>
        </is>
      </c>
      <c r="E13" s="181">
        <f>G13/F13</f>
        <v/>
      </c>
      <c r="F13" s="14" t="n">
        <v>9.4</v>
      </c>
      <c r="G13" s="14" t="n">
        <v>1531.09</v>
      </c>
      <c r="H13" s="154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08">
      <c r="A14" s="142" t="n"/>
      <c r="B14" s="142" t="n"/>
      <c r="C14" s="153" t="inlineStr">
        <is>
          <t>Итого по разделу "Затраты труда рабочих-строителей"</t>
        </is>
      </c>
      <c r="D14" s="142" t="inlineStr">
        <is>
          <t>чел.-ч.</t>
        </is>
      </c>
      <c r="E14" s="181">
        <f>SUM(E13:E13)</f>
        <v/>
      </c>
      <c r="F14" s="14" t="n"/>
      <c r="G14" s="14">
        <f>SUM(G13:G13)</f>
        <v/>
      </c>
      <c r="H14" s="154" t="n">
        <v>1</v>
      </c>
      <c r="I14" s="14" t="n"/>
      <c r="J14" s="14">
        <f>SUM(J13:J13)</f>
        <v/>
      </c>
      <c r="L14" s="52" t="n"/>
    </row>
    <row r="15" ht="14.25" customFormat="1" customHeight="1" s="108">
      <c r="A15" s="142" t="n"/>
      <c r="B15" s="141" t="inlineStr">
        <is>
          <t>Затраты труда машинистов</t>
        </is>
      </c>
      <c r="C15" s="172" t="n"/>
      <c r="D15" s="172" t="n"/>
      <c r="E15" s="172" t="n"/>
      <c r="F15" s="172" t="n"/>
      <c r="G15" s="172" t="n"/>
      <c r="H15" s="173" t="n"/>
      <c r="I15" s="30" t="n"/>
      <c r="J15" s="30" t="n"/>
      <c r="L15" s="180" t="n"/>
    </row>
    <row r="16" ht="14.25" customFormat="1" customHeight="1" s="108">
      <c r="A16" s="142" t="n">
        <v>2</v>
      </c>
      <c r="B16" s="142" t="n">
        <v>2</v>
      </c>
      <c r="C16" s="141" t="inlineStr">
        <is>
          <t>Затраты труда машинистов</t>
        </is>
      </c>
      <c r="D16" s="142" t="inlineStr">
        <is>
          <t>чел.-ч.</t>
        </is>
      </c>
      <c r="E16" s="181" t="n">
        <v>2.184</v>
      </c>
      <c r="F16" s="14">
        <f>G16/E16</f>
        <v/>
      </c>
      <c r="G16" s="14" t="n">
        <v>27.42</v>
      </c>
      <c r="H16" s="154" t="n">
        <v>1</v>
      </c>
      <c r="I16" s="14">
        <f>ROUND(F16*Прил.10!D10,2)</f>
        <v/>
      </c>
      <c r="J16" s="14">
        <f>ROUND(I16*E16,2)</f>
        <v/>
      </c>
      <c r="L16" s="44" t="n"/>
    </row>
    <row r="17" ht="14.25" customFormat="1" customHeight="1" s="108">
      <c r="A17" s="142" t="n"/>
      <c r="B17" s="153" t="inlineStr">
        <is>
          <t>Машины и механизмы</t>
        </is>
      </c>
      <c r="C17" s="172" t="n"/>
      <c r="D17" s="172" t="n"/>
      <c r="E17" s="172" t="n"/>
      <c r="F17" s="172" t="n"/>
      <c r="G17" s="172" t="n"/>
      <c r="H17" s="173" t="n"/>
      <c r="I17" s="154" t="n"/>
      <c r="J17" s="154" t="n"/>
    </row>
    <row r="18" ht="14.25" customFormat="1" customHeight="1" s="108">
      <c r="A18" s="142" t="n"/>
      <c r="B18" s="141" t="inlineStr">
        <is>
          <t>Основные машины и механизмы</t>
        </is>
      </c>
      <c r="C18" s="172" t="n"/>
      <c r="D18" s="172" t="n"/>
      <c r="E18" s="172" t="n"/>
      <c r="F18" s="172" t="n"/>
      <c r="G18" s="172" t="n"/>
      <c r="H18" s="173" t="n"/>
      <c r="I18" s="30" t="n"/>
      <c r="J18" s="30" t="n"/>
    </row>
    <row r="19" ht="25.5" customFormat="1" customHeight="1" s="108">
      <c r="A19" s="142" t="n">
        <v>3</v>
      </c>
      <c r="B19" s="34" t="inlineStr">
        <is>
          <t>91.05.05-015</t>
        </is>
      </c>
      <c r="C19" s="141" t="inlineStr">
        <is>
          <t>Краны на автомобильном ходу, грузоподъемность 16 т</t>
        </is>
      </c>
      <c r="D19" s="142" t="inlineStr">
        <is>
          <t>маш.час</t>
        </is>
      </c>
      <c r="E19" s="181" t="n">
        <v>1.0934</v>
      </c>
      <c r="F19" s="161" t="n">
        <v>115.4</v>
      </c>
      <c r="G19" s="14">
        <f>ROUND(E19*F19,2)</f>
        <v/>
      </c>
      <c r="H19" s="154">
        <f>G19/$G$24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08">
      <c r="A20" s="142" t="n">
        <v>4</v>
      </c>
      <c r="B20" s="34" t="inlineStr">
        <is>
          <t>91.17.04-233</t>
        </is>
      </c>
      <c r="C20" s="141" t="inlineStr">
        <is>
          <t>Установки для сварки ручной дуговой (постоянного тока)</t>
        </is>
      </c>
      <c r="D20" s="142" t="inlineStr">
        <is>
          <t>маш.час</t>
        </is>
      </c>
      <c r="E20" s="181" t="n">
        <v>14.172</v>
      </c>
      <c r="F20" s="161" t="n">
        <v>8.1</v>
      </c>
      <c r="G20" s="14">
        <f>ROUND(E20*F20,2)</f>
        <v/>
      </c>
      <c r="H20" s="154">
        <f>G20/$G$24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08">
      <c r="A21" s="142" t="n">
        <v>5</v>
      </c>
      <c r="B21" s="34" t="inlineStr">
        <is>
          <t>91.14.02-001</t>
        </is>
      </c>
      <c r="C21" s="141" t="inlineStr">
        <is>
          <t>Автомобили бортовые, грузоподъемность до 5 т</t>
        </is>
      </c>
      <c r="D21" s="142" t="inlineStr">
        <is>
          <t>маш.час</t>
        </is>
      </c>
      <c r="E21" s="181" t="n">
        <v>1.0906</v>
      </c>
      <c r="F21" s="161" t="n">
        <v>65.70999999999999</v>
      </c>
      <c r="G21" s="14">
        <f>ROUND(E21*F21,2)</f>
        <v/>
      </c>
      <c r="H21" s="154">
        <f>G21/$G$24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8">
      <c r="B22" s="142" t="n"/>
      <c r="C22" s="141" t="inlineStr">
        <is>
          <t>Итого основные машины и механизмы</t>
        </is>
      </c>
      <c r="D22" s="142" t="n"/>
      <c r="E22" s="182" t="n"/>
      <c r="F22" s="14" t="n"/>
      <c r="G22" s="14">
        <f>SUM(G19:G21)</f>
        <v/>
      </c>
      <c r="H22" s="154">
        <f>G22/G24</f>
        <v/>
      </c>
      <c r="I22" s="14" t="n"/>
      <c r="J22" s="14">
        <f>SUM(J19:J21)</f>
        <v/>
      </c>
      <c r="L22" s="183" t="n"/>
    </row>
    <row r="23" ht="14.25" customFormat="1" customHeight="1" s="108">
      <c r="A23" s="142" t="n"/>
      <c r="B23" s="142" t="n"/>
      <c r="C23" s="141" t="inlineStr">
        <is>
          <t>Итого прочие машины и механизмы</t>
        </is>
      </c>
      <c r="D23" s="142" t="n"/>
      <c r="E23" s="143" t="n"/>
      <c r="F23" s="14" t="n"/>
      <c r="G23" s="14" t="n">
        <v>0</v>
      </c>
      <c r="H23" s="154">
        <f>G23/G24</f>
        <v/>
      </c>
      <c r="I23" s="14" t="n"/>
      <c r="J23" s="14" t="n">
        <v>0</v>
      </c>
      <c r="K23" s="183" t="n"/>
      <c r="L23" s="180" t="n"/>
    </row>
    <row r="24" ht="25.5" customFormat="1" customHeight="1" s="108">
      <c r="A24" s="142" t="n"/>
      <c r="B24" s="155" t="n"/>
      <c r="C24" s="146" t="inlineStr">
        <is>
          <t>Итого по разделу «Машины и механизмы»</t>
        </is>
      </c>
      <c r="D24" s="155" t="n"/>
      <c r="E24" s="39" t="n"/>
      <c r="F24" s="40" t="n"/>
      <c r="G24" s="40">
        <f>G22+G23</f>
        <v/>
      </c>
      <c r="H24" s="41" t="n">
        <v>1</v>
      </c>
      <c r="I24" s="40" t="n"/>
      <c r="J24" s="40">
        <f>J22+J23</f>
        <v/>
      </c>
    </row>
    <row r="25">
      <c r="A25" s="54" t="n"/>
      <c r="B25" s="146" t="inlineStr">
        <is>
          <t xml:space="preserve">Оборудование </t>
        </is>
      </c>
      <c r="C25" s="184" t="n"/>
      <c r="D25" s="184" t="n"/>
      <c r="E25" s="184" t="n"/>
      <c r="F25" s="184" t="n"/>
      <c r="G25" s="184" t="n"/>
      <c r="H25" s="184" t="n"/>
      <c r="I25" s="184" t="n"/>
      <c r="J25" s="185" t="n"/>
    </row>
    <row r="26" ht="15" customHeight="1" s="111">
      <c r="A26" s="142" t="n"/>
      <c r="B26" s="141" t="inlineStr">
        <is>
          <t>Основное оборудование</t>
        </is>
      </c>
      <c r="C26" s="172" t="n"/>
      <c r="D26" s="172" t="n"/>
      <c r="E26" s="172" t="n"/>
      <c r="F26" s="172" t="n"/>
      <c r="G26" s="172" t="n"/>
      <c r="H26" s="172" t="n"/>
      <c r="I26" s="172" t="n"/>
      <c r="J26" s="173" t="n"/>
    </row>
    <row r="27" ht="38.25" customHeight="1" s="111">
      <c r="A27" s="142" t="n">
        <v>6</v>
      </c>
      <c r="B27" s="34" t="inlineStr">
        <is>
          <t>БЦ</t>
        </is>
      </c>
      <c r="C27" s="141" t="inlineStr">
        <is>
          <t xml:space="preserve">Низковольтный распределительный шкаф переменного тока 380/220 В (450х426х145) 1DQ5  </t>
        </is>
      </c>
      <c r="D27" s="142" t="inlineStr">
        <is>
          <t>шт</t>
        </is>
      </c>
      <c r="E27" s="181" t="n">
        <v>1</v>
      </c>
      <c r="F27" s="144">
        <f>ROUND(I27/Прил.10!$D$13,2)</f>
        <v/>
      </c>
      <c r="G27" s="14">
        <f>ROUND(E27*F27,2)</f>
        <v/>
      </c>
      <c r="H27" s="154">
        <f>G27/$G$34</f>
        <v/>
      </c>
      <c r="I27" s="14">
        <f>22557.59*6.26</f>
        <v/>
      </c>
      <c r="J27" s="14">
        <f>ROUND(I27*E27,2)</f>
        <v/>
      </c>
    </row>
    <row r="28" ht="38.25" customHeight="1" s="111">
      <c r="A28" s="142" t="n">
        <v>7</v>
      </c>
      <c r="B28" s="34" t="inlineStr">
        <is>
          <t>БЦ</t>
        </is>
      </c>
      <c r="C28" s="141" t="inlineStr">
        <is>
          <t xml:space="preserve">Низковольтный распределительный шкаф переменного тока 380/220 В (450х426х145) 1DQ6   </t>
        </is>
      </c>
      <c r="D28" s="142" t="inlineStr">
        <is>
          <t>шт</t>
        </is>
      </c>
      <c r="E28" s="181" t="n">
        <v>1</v>
      </c>
      <c r="F28" s="144">
        <f>ROUND(I28/Прил.10!$D$13,2)</f>
        <v/>
      </c>
      <c r="G28" s="14">
        <f>ROUND(E28*F28,2)</f>
        <v/>
      </c>
      <c r="H28" s="154">
        <f>G28/$G$34</f>
        <v/>
      </c>
      <c r="I28" s="14">
        <f>22557.59*6.26</f>
        <v/>
      </c>
      <c r="J28" s="14">
        <f>ROUND(I28*E28,2)</f>
        <v/>
      </c>
    </row>
    <row r="29" ht="38.25" customHeight="1" s="111">
      <c r="A29" s="142" t="n">
        <v>8</v>
      </c>
      <c r="B29" s="34" t="inlineStr">
        <is>
          <t>63.3.01.01-1022</t>
        </is>
      </c>
      <c r="C29" s="141" t="inlineStr">
        <is>
          <t>Электрообогреватель конвекторного типа, тип исполнения-настенный, мощность 1 кВт</t>
        </is>
      </c>
      <c r="D29" s="142" t="inlineStr">
        <is>
          <t>шт</t>
        </is>
      </c>
      <c r="E29" s="181" t="n">
        <v>27</v>
      </c>
      <c r="F29" s="144" t="n">
        <v>805.34</v>
      </c>
      <c r="G29" s="14">
        <f>ROUND(E29*F29,2)</f>
        <v/>
      </c>
      <c r="H29" s="154">
        <f>G29/$G$34</f>
        <v/>
      </c>
      <c r="I29" s="144">
        <f>ROUND(F29*Прил.10!$D$13,2)</f>
        <v/>
      </c>
      <c r="J29" s="14">
        <f>ROUND(I29*E29,2)</f>
        <v/>
      </c>
    </row>
    <row r="30">
      <c r="A30" s="55" t="n"/>
      <c r="B30" s="142" t="n"/>
      <c r="C30" s="141" t="inlineStr">
        <is>
          <t>Итого основное оборудование</t>
        </is>
      </c>
      <c r="D30" s="142" t="n"/>
      <c r="E30" s="181" t="n"/>
      <c r="F30" s="144" t="n"/>
      <c r="G30" s="14">
        <f>SUM(G27:G29)</f>
        <v/>
      </c>
      <c r="H30" s="154">
        <f>G30/$G$34</f>
        <v/>
      </c>
      <c r="I30" s="14" t="n"/>
      <c r="J30" s="14">
        <f>SUM(J27:J29)</f>
        <v/>
      </c>
      <c r="K30" s="183" t="n"/>
    </row>
    <row r="31" outlineLevel="1" ht="25.5" customHeight="1" s="111">
      <c r="A31" s="142" t="n">
        <v>9</v>
      </c>
      <c r="B31" s="50" t="inlineStr">
        <is>
          <t>63.3.01.02-0005</t>
        </is>
      </c>
      <c r="C31" s="141" t="inlineStr">
        <is>
          <t>Обогреватели электрические Noirot: Spot E-3 1500 Вт</t>
        </is>
      </c>
      <c r="D31" s="142" t="inlineStr">
        <is>
          <t>шт</t>
        </is>
      </c>
      <c r="E31" s="181" t="n">
        <v>3</v>
      </c>
      <c r="F31" s="144" t="n">
        <v>946.77</v>
      </c>
      <c r="G31" s="14">
        <f>ROUND(E31*F31,2)</f>
        <v/>
      </c>
      <c r="H31" s="154">
        <f>G31/$G$34</f>
        <v/>
      </c>
      <c r="I31" s="144">
        <f>ROUND(F31*Прил.10!$D$13,2)</f>
        <v/>
      </c>
      <c r="J31" s="14">
        <f>ROUND(I31*E31,2)</f>
        <v/>
      </c>
      <c r="K31" s="183" t="n"/>
    </row>
    <row r="32" outlineLevel="1" ht="38.25" customHeight="1" s="111">
      <c r="A32" s="142" t="n">
        <v>10</v>
      </c>
      <c r="B32" s="50" t="inlineStr">
        <is>
          <t>63.3.01.02-1016</t>
        </is>
      </c>
      <c r="C32" s="141" t="inlineStr">
        <is>
          <t>Электрообогреватели излучающего типа, тип исполнения настенный, мощность 2 кВт</t>
        </is>
      </c>
      <c r="D32" s="142" t="inlineStr">
        <is>
          <t>шт</t>
        </is>
      </c>
      <c r="E32" s="181" t="n">
        <v>1</v>
      </c>
      <c r="F32" s="144" t="n">
        <v>1073.02</v>
      </c>
      <c r="G32" s="14">
        <f>ROUND(E32*F32,2)</f>
        <v/>
      </c>
      <c r="H32" s="154">
        <f>G32/$G$34</f>
        <v/>
      </c>
      <c r="I32" s="144">
        <f>ROUND(F32*Прил.10!$D$13,2)</f>
        <v/>
      </c>
      <c r="J32" s="14">
        <f>ROUND(I32*E32,2)</f>
        <v/>
      </c>
      <c r="K32" s="183" t="n"/>
    </row>
    <row r="33">
      <c r="A33" s="55" t="n"/>
      <c r="B33" s="142" t="n"/>
      <c r="C33" s="141" t="inlineStr">
        <is>
          <t>Итого прочее оборудование</t>
        </is>
      </c>
      <c r="D33" s="142" t="n"/>
      <c r="E33" s="143" t="n"/>
      <c r="F33" s="144" t="n"/>
      <c r="G33" s="14">
        <f>SUM(G31:G32)</f>
        <v/>
      </c>
      <c r="H33" s="154">
        <f>G33/$G$34</f>
        <v/>
      </c>
      <c r="I33" s="14" t="n"/>
      <c r="J33" s="14">
        <f>SUM(J31:J32)</f>
        <v/>
      </c>
      <c r="K33" s="183" t="n"/>
      <c r="L33" s="186" t="n"/>
    </row>
    <row r="34">
      <c r="A34" s="142" t="n"/>
      <c r="B34" s="142" t="n"/>
      <c r="C34" s="153" t="inlineStr">
        <is>
          <t>Итого по разделу «Оборудование»</t>
        </is>
      </c>
      <c r="D34" s="142" t="n"/>
      <c r="E34" s="143" t="n"/>
      <c r="F34" s="144" t="n"/>
      <c r="G34" s="14">
        <f>G30+G33</f>
        <v/>
      </c>
      <c r="H34" s="154">
        <f>(G30+G33)/G34</f>
        <v/>
      </c>
      <c r="I34" s="14" t="n"/>
      <c r="J34" s="14">
        <f>J33+J30</f>
        <v/>
      </c>
      <c r="K34" s="183" t="n"/>
    </row>
    <row r="35" ht="25.5" customHeight="1" s="111">
      <c r="A35" s="142" t="n"/>
      <c r="B35" s="142" t="n"/>
      <c r="C35" s="141" t="inlineStr">
        <is>
          <t>в том числе технологическое оборудование</t>
        </is>
      </c>
      <c r="D35" s="142" t="n"/>
      <c r="E35" s="143" t="n"/>
      <c r="F35" s="144" t="n"/>
      <c r="G35" s="14">
        <f>'Прил.6 Расчет ОБ'!G19</f>
        <v/>
      </c>
      <c r="H35" s="154">
        <f>G35/$G$34</f>
        <v/>
      </c>
      <c r="I35" s="14" t="n"/>
      <c r="J35" s="14">
        <f>ROUND(G35*Прил.10!$D$13,2)</f>
        <v/>
      </c>
      <c r="K35" s="183" t="n"/>
    </row>
    <row r="36" ht="14.25" customFormat="1" customHeight="1" s="108">
      <c r="A36" s="156" t="n"/>
      <c r="B36" s="187" t="inlineStr">
        <is>
          <t>Материалы</t>
        </is>
      </c>
      <c r="J36" s="188" t="n"/>
      <c r="K36" s="183" t="n"/>
    </row>
    <row r="37" ht="14.25" customFormat="1" customHeight="1" s="108">
      <c r="A37" s="142" t="n"/>
      <c r="B37" s="141" t="inlineStr">
        <is>
          <t>Основные материалы</t>
        </is>
      </c>
      <c r="C37" s="172" t="n"/>
      <c r="D37" s="172" t="n"/>
      <c r="E37" s="172" t="n"/>
      <c r="F37" s="172" t="n"/>
      <c r="G37" s="172" t="n"/>
      <c r="H37" s="173" t="n"/>
      <c r="I37" s="154" t="n"/>
      <c r="J37" s="154" t="n"/>
    </row>
    <row r="38" ht="25.5" customFormat="1" customHeight="1" s="108">
      <c r="A38" s="142" t="n">
        <v>11</v>
      </c>
      <c r="B38" s="34" t="inlineStr">
        <is>
          <t>21.1.06.09-0154</t>
        </is>
      </c>
      <c r="C38" s="141" t="inlineStr">
        <is>
          <t>Кабель силовой с медными жилами ВВГнг(A)-LS 3х6-660</t>
        </is>
      </c>
      <c r="D38" s="142" t="inlineStr">
        <is>
          <t>1000 м</t>
        </is>
      </c>
      <c r="E38" s="181" t="n">
        <v>0.56359702</v>
      </c>
      <c r="F38" s="161" t="n">
        <v>15727.78</v>
      </c>
      <c r="G38" s="14">
        <f>ROUND(E38*F38,2)</f>
        <v/>
      </c>
      <c r="H38" s="154">
        <f>G38/$G$63</f>
        <v/>
      </c>
      <c r="I38" s="14">
        <f>ROUND(F38*Прил.10!$D$12,2)</f>
        <v/>
      </c>
      <c r="J38" s="14">
        <f>ROUND(I38*E38,2)</f>
        <v/>
      </c>
    </row>
    <row r="39" hidden="1" outlineLevel="1" ht="25.5" customFormat="1" customHeight="1" s="108">
      <c r="A39" s="142" t="n"/>
      <c r="B39" s="34" t="inlineStr">
        <is>
          <t>21.1.06.09-0154</t>
        </is>
      </c>
      <c r="C39" s="141" t="inlineStr">
        <is>
          <t>Кабель силовой с медными жилами ВВГнг(A)-LS 3х6-660</t>
        </is>
      </c>
      <c r="D39" s="142" t="inlineStr">
        <is>
          <t>1000 м</t>
        </is>
      </c>
      <c r="E39" s="181" t="n">
        <v>0.35</v>
      </c>
      <c r="F39" s="161" t="n">
        <v>15727.78</v>
      </c>
      <c r="G39" s="14">
        <f>ROUND(E39*F39,2)</f>
        <v/>
      </c>
      <c r="H39" s="154">
        <f>G39/$G$63</f>
        <v/>
      </c>
      <c r="I39" s="14" t="n"/>
      <c r="J39" s="14" t="n"/>
    </row>
    <row r="40" hidden="1" outlineLevel="1" ht="25.5" customFormat="1" customHeight="1" s="108">
      <c r="A40" s="142" t="n"/>
      <c r="B40" s="34" t="inlineStr">
        <is>
          <t>21.1.06.09-0147</t>
        </is>
      </c>
      <c r="C40" s="141" t="inlineStr">
        <is>
          <t>Кабель силовой с медными жилами ВВГнг-LS 2х4-660</t>
        </is>
      </c>
      <c r="D40" s="142" t="inlineStr">
        <is>
          <t>1000 м</t>
        </is>
      </c>
      <c r="E40" s="181" t="n">
        <v>0.0204</v>
      </c>
      <c r="F40" s="161" t="n">
        <v>8470.24</v>
      </c>
      <c r="G40" s="14">
        <f>ROUND(E40*F40,2)</f>
        <v/>
      </c>
      <c r="H40" s="154">
        <f>G40/$G$63</f>
        <v/>
      </c>
      <c r="I40" s="14" t="n"/>
      <c r="J40" s="14" t="n"/>
    </row>
    <row r="41" hidden="1" outlineLevel="1" ht="25.5" customFormat="1" customHeight="1" s="108">
      <c r="A41" s="142" t="n"/>
      <c r="B41" s="34" t="inlineStr">
        <is>
          <t>21.1.06.09-0162</t>
        </is>
      </c>
      <c r="C41" s="141" t="inlineStr">
        <is>
          <t>Кабель силовой с медными жилами ВВГнг(A)-LS 4х4-660</t>
        </is>
      </c>
      <c r="D41" s="142" t="inlineStr">
        <is>
          <t>1000 м</t>
        </is>
      </c>
      <c r="E41" s="181" t="n">
        <v>0.22</v>
      </c>
      <c r="F41" s="161" t="n">
        <v>14484.63</v>
      </c>
      <c r="G41" s="14">
        <f>ROUND(E41*F41,2)</f>
        <v/>
      </c>
      <c r="H41" s="154">
        <f>G41/$G$63</f>
        <v/>
      </c>
      <c r="I41" s="14" t="n"/>
      <c r="J41" s="14" t="n"/>
    </row>
    <row r="42" collapsed="1" ht="38.25" customFormat="1" customHeight="1" s="108">
      <c r="A42" s="142" t="n">
        <v>12</v>
      </c>
      <c r="B42" s="34" t="inlineStr">
        <is>
          <t>24.3.01.02-0014</t>
        </is>
      </c>
      <c r="C42" s="141" t="inlineStr">
        <is>
          <t>Трубы гибкие гофрированные легкие из самозатухающего ПВХ (IP55) серии FL, диаметром: 32 мм</t>
        </is>
      </c>
      <c r="D42" s="142" t="inlineStr">
        <is>
          <t>10 м</t>
        </is>
      </c>
      <c r="E42" s="181" t="n">
        <v>30</v>
      </c>
      <c r="F42" s="161" t="n">
        <v>53.03</v>
      </c>
      <c r="G42" s="14">
        <f>ROUND(E42*F42,2)</f>
        <v/>
      </c>
      <c r="H42" s="154">
        <f>G42/$G$63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8">
      <c r="A43" s="142" t="n">
        <v>13</v>
      </c>
      <c r="B43" s="34" t="inlineStr">
        <is>
          <t>20.2.05.04-0015</t>
        </is>
      </c>
      <c r="C43" s="141" t="inlineStr">
        <is>
          <t>Кабель-канал (короб) "Legrand": 50х130 мм</t>
        </is>
      </c>
      <c r="D43" s="142" t="inlineStr">
        <is>
          <t>100 м</t>
        </is>
      </c>
      <c r="E43" s="181" t="n">
        <v>0.2</v>
      </c>
      <c r="F43" s="161" t="n">
        <v>7153.01</v>
      </c>
      <c r="G43" s="14">
        <f>ROUND(E43*F43,2)</f>
        <v/>
      </c>
      <c r="H43" s="154">
        <f>G43/$G$63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8">
      <c r="B44" s="142" t="n"/>
      <c r="C44" s="141" t="inlineStr">
        <is>
          <t>Итого основные материалы</t>
        </is>
      </c>
      <c r="D44" s="142" t="n"/>
      <c r="E44" s="181" t="n"/>
      <c r="F44" s="144" t="n"/>
      <c r="G44" s="14">
        <f>G38+G42+G43</f>
        <v/>
      </c>
      <c r="H44" s="154">
        <f>G44/$G$63</f>
        <v/>
      </c>
      <c r="I44" s="14" t="n"/>
      <c r="J44" s="14">
        <f>SUM(J38:J43)</f>
        <v/>
      </c>
      <c r="K44" s="183" t="n"/>
    </row>
    <row r="45" hidden="1" outlineLevel="1" ht="25.5" customFormat="1" customHeight="1" s="108">
      <c r="A45" s="142" t="n">
        <v>14</v>
      </c>
      <c r="B45" s="50" t="inlineStr">
        <is>
          <t>07.2.07.04-0007</t>
        </is>
      </c>
      <c r="C45" s="141" t="inlineStr">
        <is>
          <t>Конструкции стальные индивидуальные решетчатые сварные, масса до 0,1 т</t>
        </is>
      </c>
      <c r="D45" s="142" t="inlineStr">
        <is>
          <t>т</t>
        </is>
      </c>
      <c r="E45" s="181" t="n">
        <v>0.03</v>
      </c>
      <c r="F45" s="161" t="n">
        <v>11500</v>
      </c>
      <c r="G45" s="14">
        <f>ROUND(F45*E45,2)</f>
        <v/>
      </c>
      <c r="H45" s="154">
        <f>G45/$G$63</f>
        <v/>
      </c>
      <c r="I45" s="14">
        <f>ROUND(F45*Прил.10!$D$12,2)</f>
        <v/>
      </c>
      <c r="J45" s="14">
        <f>ROUND(I45*E45,2)</f>
        <v/>
      </c>
    </row>
    <row r="46" hidden="1" outlineLevel="1" ht="25.5" customFormat="1" customHeight="1" s="108">
      <c r="A46" s="142" t="n">
        <v>15</v>
      </c>
      <c r="B46" s="34" t="inlineStr">
        <is>
          <t>20.2.05.02-0012</t>
        </is>
      </c>
      <c r="C46" s="141" t="inlineStr">
        <is>
          <t>Держатель пластмассовый с защелкой для труб диаметром 32 мм</t>
        </is>
      </c>
      <c r="D46" s="142" t="inlineStr">
        <is>
          <t>100 шт</t>
        </is>
      </c>
      <c r="E46" s="181" t="n">
        <v>4.8</v>
      </c>
      <c r="F46" s="161" t="n">
        <v>62</v>
      </c>
      <c r="G46" s="14">
        <f>ROUND(F46*E46,2)</f>
        <v/>
      </c>
      <c r="H46" s="154">
        <f>G46/$G$63</f>
        <v/>
      </c>
      <c r="I46" s="14">
        <f>ROUND(F46*Прил.10!$D$12,2)</f>
        <v/>
      </c>
      <c r="J46" s="14">
        <f>ROUND(I46*E46,2)</f>
        <v/>
      </c>
    </row>
    <row r="47" hidden="1" outlineLevel="1" ht="14.25" customFormat="1" customHeight="1" s="108">
      <c r="A47" s="142" t="n">
        <v>16</v>
      </c>
      <c r="B47" s="34" t="inlineStr">
        <is>
          <t>20.4.03.06-0003</t>
        </is>
      </c>
      <c r="C47" s="141" t="inlineStr">
        <is>
          <t>Розетка скрытой проводки</t>
        </is>
      </c>
      <c r="D47" s="142" t="inlineStr">
        <is>
          <t>100 шт</t>
        </is>
      </c>
      <c r="E47" s="181" t="n">
        <v>0.28</v>
      </c>
      <c r="F47" s="161" t="n">
        <v>863</v>
      </c>
      <c r="G47" s="14">
        <f>ROUND(F47*E47,2)</f>
        <v/>
      </c>
      <c r="H47" s="154">
        <f>G47/$G$63</f>
        <v/>
      </c>
      <c r="I47" s="14">
        <f>ROUND(F47*Прил.10!$D$12,2)</f>
        <v/>
      </c>
      <c r="J47" s="14">
        <f>ROUND(I47*E47,2)</f>
        <v/>
      </c>
    </row>
    <row r="48" hidden="1" outlineLevel="1" ht="89.25" customFormat="1" customHeight="1" s="108">
      <c r="A48" s="142" t="n">
        <v>17</v>
      </c>
      <c r="B48" s="34" t="inlineStr">
        <is>
          <t>14.5.01.10-0029</t>
        </is>
      </c>
      <c r="C48" s="141" t="inlineStr">
        <is>
          <t>Пена монтажная полиуретановая противопожарная однокомпонентная модифицированная для заполнения, уплотнения, утепления, изоляции и соединения швов и стыков в местах с повышенными требованиями пожарной безопасности (0,88 л)</t>
        </is>
      </c>
      <c r="D48" s="142" t="inlineStr">
        <is>
          <t>шт</t>
        </is>
      </c>
      <c r="E48" s="181" t="n">
        <v>2</v>
      </c>
      <c r="F48" s="161" t="n">
        <v>110.11</v>
      </c>
      <c r="G48" s="14">
        <f>ROUND(F48*E48,2)</f>
        <v/>
      </c>
      <c r="H48" s="154">
        <f>G48/$G$63</f>
        <v/>
      </c>
      <c r="I48" s="14">
        <f>ROUND(F48*Прил.10!$D$12,2)</f>
        <v/>
      </c>
      <c r="J48" s="14">
        <f>ROUND(I48*E48,2)</f>
        <v/>
      </c>
    </row>
    <row r="49" hidden="1" outlineLevel="1" ht="25.5" customFormat="1" customHeight="1" s="108">
      <c r="A49" s="142" t="n">
        <v>18</v>
      </c>
      <c r="B49" s="34" t="inlineStr">
        <is>
          <t>01.7.11.07-0034</t>
        </is>
      </c>
      <c r="C49" s="141" t="inlineStr">
        <is>
          <t>Электроды сварочные Э42А, диаметр 4 мм</t>
        </is>
      </c>
      <c r="D49" s="142" t="inlineStr">
        <is>
          <t>кг</t>
        </is>
      </c>
      <c r="E49" s="181" t="n">
        <v>11.605</v>
      </c>
      <c r="F49" s="161" t="n">
        <v>10.57</v>
      </c>
      <c r="G49" s="14">
        <f>ROUND(F49*E49,2)</f>
        <v/>
      </c>
      <c r="H49" s="154">
        <f>G49/$G$63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108">
      <c r="A50" s="142" t="n">
        <v>19</v>
      </c>
      <c r="B50" s="34" t="inlineStr">
        <is>
          <t>01.7.15.07-0014</t>
        </is>
      </c>
      <c r="C50" s="141" t="inlineStr">
        <is>
          <t>Дюбели распорные полипропиленовые</t>
        </is>
      </c>
      <c r="D50" s="142" t="inlineStr">
        <is>
          <t>100 шт</t>
        </is>
      </c>
      <c r="E50" s="181" t="n">
        <v>0.837</v>
      </c>
      <c r="F50" s="161" t="n">
        <v>86</v>
      </c>
      <c r="G50" s="14">
        <f>ROUND(F50*E50,2)</f>
        <v/>
      </c>
      <c r="H50" s="154">
        <f>G50/$G$63</f>
        <v/>
      </c>
      <c r="I50" s="14">
        <f>ROUND(F50*Прил.10!$D$12,2)</f>
        <v/>
      </c>
      <c r="J50" s="14">
        <f>ROUND(I50*E50,2)</f>
        <v/>
      </c>
    </row>
    <row r="51" hidden="1" outlineLevel="1" ht="14.25" customFormat="1" customHeight="1" s="108">
      <c r="A51" s="142" t="n">
        <v>20</v>
      </c>
      <c r="B51" s="34" t="inlineStr">
        <is>
          <t>14.4.02.09-0001</t>
        </is>
      </c>
      <c r="C51" s="141" t="inlineStr">
        <is>
          <t>Краска</t>
        </is>
      </c>
      <c r="D51" s="142" t="inlineStr">
        <is>
          <t>кг</t>
        </is>
      </c>
      <c r="E51" s="181" t="n">
        <v>2.44</v>
      </c>
      <c r="F51" s="161" t="n">
        <v>28.6</v>
      </c>
      <c r="G51" s="14">
        <f>ROUND(F51*E51,2)</f>
        <v/>
      </c>
      <c r="H51" s="154">
        <f>G51/$G$63</f>
        <v/>
      </c>
      <c r="I51" s="14">
        <f>ROUND(F51*Прил.10!$D$12,2)</f>
        <v/>
      </c>
      <c r="J51" s="14">
        <f>ROUND(I51*E51,2)</f>
        <v/>
      </c>
    </row>
    <row r="52" hidden="1" outlineLevel="1" ht="25.5" customFormat="1" customHeight="1" s="108">
      <c r="A52" s="142" t="n">
        <v>21</v>
      </c>
      <c r="B52" s="34" t="inlineStr">
        <is>
          <t>20.5.02.11-0001</t>
        </is>
      </c>
      <c r="C52" s="141" t="inlineStr">
        <is>
          <t>Коробка для установки розеток и выключателей скрытой проводки</t>
        </is>
      </c>
      <c r="D52" s="142" t="inlineStr">
        <is>
          <t>1000 шт</t>
        </is>
      </c>
      <c r="E52" s="181" t="n">
        <v>0.028</v>
      </c>
      <c r="F52" s="161" t="n">
        <v>1979.63</v>
      </c>
      <c r="G52" s="14">
        <f>ROUND(F52*E52,2)</f>
        <v/>
      </c>
      <c r="H52" s="154">
        <f>G52/$G$63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8">
      <c r="A53" s="142" t="n">
        <v>22</v>
      </c>
      <c r="B53" s="34" t="inlineStr">
        <is>
          <t>01.7.15.07-0152</t>
        </is>
      </c>
      <c r="C53" s="141" t="inlineStr">
        <is>
          <t>Дюбели с шурупом, размер 6х35 мм</t>
        </is>
      </c>
      <c r="D53" s="142" t="inlineStr">
        <is>
          <t>100 шт</t>
        </is>
      </c>
      <c r="E53" s="181" t="n">
        <v>5.25</v>
      </c>
      <c r="F53" s="161" t="n">
        <v>8</v>
      </c>
      <c r="G53" s="14">
        <f>ROUND(F53*E53,2)</f>
        <v/>
      </c>
      <c r="H53" s="154">
        <f>G53/$G$63</f>
        <v/>
      </c>
      <c r="I53" s="14">
        <f>ROUND(F53*Прил.10!$D$12,2)</f>
        <v/>
      </c>
      <c r="J53" s="14">
        <f>ROUND(I53*E53,2)</f>
        <v/>
      </c>
    </row>
    <row r="54" hidden="1" outlineLevel="1" ht="38.25" customFormat="1" customHeight="1" s="108">
      <c r="A54" s="142" t="n">
        <v>23</v>
      </c>
      <c r="B54" s="34" t="inlineStr">
        <is>
          <t>01.7.06.05-0041</t>
        </is>
      </c>
      <c r="C54" s="141" t="inlineStr">
        <is>
          <t>Лента изоляционная прорезиненная односторонняя, ширина 20 мм, толщина 0,25-0,35 мм</t>
        </is>
      </c>
      <c r="D54" s="142" t="inlineStr">
        <is>
          <t>кг</t>
        </is>
      </c>
      <c r="E54" s="181" t="n">
        <v>1.0696</v>
      </c>
      <c r="F54" s="161" t="n">
        <v>30.4</v>
      </c>
      <c r="G54" s="14">
        <f>ROUND(F54*E54,2)</f>
        <v/>
      </c>
      <c r="H54" s="154">
        <f>G54/$G$63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8">
      <c r="A55" s="142" t="n">
        <v>24</v>
      </c>
      <c r="B55" s="34" t="inlineStr">
        <is>
          <t>999-9950</t>
        </is>
      </c>
      <c r="C55" s="141" t="inlineStr">
        <is>
          <t>Вспомогательные ненормируемые ресурсы (2% от Оплаты труда рабочих)</t>
        </is>
      </c>
      <c r="D55" s="142" t="inlineStr">
        <is>
          <t>руб</t>
        </is>
      </c>
      <c r="E55" s="181" t="n">
        <v>30.599</v>
      </c>
      <c r="F55" s="161" t="n">
        <v>1</v>
      </c>
      <c r="G55" s="14">
        <f>ROUND(F55*E55,2)</f>
        <v/>
      </c>
      <c r="H55" s="154">
        <f>G55/$G$63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8">
      <c r="A56" s="142" t="n">
        <v>25</v>
      </c>
      <c r="B56" s="34" t="inlineStr">
        <is>
          <t>01.7.06.07-0002</t>
        </is>
      </c>
      <c r="C56" s="141" t="inlineStr">
        <is>
          <t>Лента монтажная, тип ЛМ-5</t>
        </is>
      </c>
      <c r="D56" s="142" t="inlineStr">
        <is>
          <t>10 м</t>
        </is>
      </c>
      <c r="E56" s="181" t="n">
        <v>3.2725</v>
      </c>
      <c r="F56" s="161" t="n">
        <v>6.9</v>
      </c>
      <c r="G56" s="14">
        <f>ROUND(F56*E56,2)</f>
        <v/>
      </c>
      <c r="H56" s="154">
        <f>G56/$G$63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8">
      <c r="A57" s="142" t="n">
        <v>26</v>
      </c>
      <c r="B57" s="34" t="inlineStr">
        <is>
          <t>20.2.02.01-0019</t>
        </is>
      </c>
      <c r="C57" s="141" t="inlineStr">
        <is>
          <t>Втулки изолирующие</t>
        </is>
      </c>
      <c r="D57" s="142" t="inlineStr">
        <is>
          <t>1000 шт</t>
        </is>
      </c>
      <c r="E57" s="181" t="n">
        <v>0.02856</v>
      </c>
      <c r="F57" s="161" t="n">
        <v>270</v>
      </c>
      <c r="G57" s="14">
        <f>ROUND(F57*E57,2)</f>
        <v/>
      </c>
      <c r="H57" s="154">
        <f>G57/$G$63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8">
      <c r="A58" s="142" t="n">
        <v>27</v>
      </c>
      <c r="B58" s="34" t="inlineStr">
        <is>
          <t>01.7.15.03-0042</t>
        </is>
      </c>
      <c r="C58" s="141" t="inlineStr">
        <is>
          <t>Болты с гайками и шайбами строительные</t>
        </is>
      </c>
      <c r="D58" s="142" t="inlineStr">
        <is>
          <t>кг</t>
        </is>
      </c>
      <c r="E58" s="181" t="n">
        <v>0.76</v>
      </c>
      <c r="F58" s="161" t="n">
        <v>9.039999999999999</v>
      </c>
      <c r="G58" s="14">
        <f>ROUND(F58*E58,2)</f>
        <v/>
      </c>
      <c r="H58" s="154">
        <f>G58/$G$63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8">
      <c r="A59" s="142" t="n">
        <v>28</v>
      </c>
      <c r="B59" s="34" t="inlineStr">
        <is>
          <t>01.1.01.09-0024</t>
        </is>
      </c>
      <c r="C59" s="141" t="inlineStr">
        <is>
          <t>Шнур асбестовый общего назначения ШАОН, диаметр 3-5 мм</t>
        </is>
      </c>
      <c r="D59" s="142" t="inlineStr">
        <is>
          <t>т</t>
        </is>
      </c>
      <c r="E59" s="181" t="n">
        <v>0.00012</v>
      </c>
      <c r="F59" s="161" t="n">
        <v>26950</v>
      </c>
      <c r="G59" s="14">
        <f>ROUND(F59*E59,2)</f>
        <v/>
      </c>
      <c r="H59" s="154">
        <f>G59/$G$63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8">
      <c r="A60" s="142" t="n">
        <v>29</v>
      </c>
      <c r="B60" s="34" t="inlineStr">
        <is>
          <t>01.7.07.29-0111</t>
        </is>
      </c>
      <c r="C60" s="141" t="inlineStr">
        <is>
          <t>Пакля пропитанная</t>
        </is>
      </c>
      <c r="D60" s="142" t="inlineStr">
        <is>
          <t>кг</t>
        </is>
      </c>
      <c r="E60" s="181" t="n">
        <v>0.3</v>
      </c>
      <c r="F60" s="161" t="n">
        <v>9.039999999999999</v>
      </c>
      <c r="G60" s="14">
        <f>ROUND(F60*E60,2)</f>
        <v/>
      </c>
      <c r="H60" s="154">
        <f>G60/$G$63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08">
      <c r="A61" s="142" t="n">
        <v>30</v>
      </c>
      <c r="B61" s="34" t="inlineStr">
        <is>
          <t>03.1.01.01-0002</t>
        </is>
      </c>
      <c r="C61" s="141" t="inlineStr">
        <is>
          <t>Гипс строительный Г-3</t>
        </is>
      </c>
      <c r="D61" s="142" t="inlineStr">
        <is>
          <t>т</t>
        </is>
      </c>
      <c r="E61" s="181" t="n">
        <v>0.000882</v>
      </c>
      <c r="F61" s="161" t="n">
        <v>729.98</v>
      </c>
      <c r="G61" s="14">
        <f>ROUND(F61*E61,2)</f>
        <v/>
      </c>
      <c r="H61" s="154">
        <f>G61/$G$63</f>
        <v/>
      </c>
      <c r="I61" s="14">
        <f>ROUND(F61*Прил.10!$D$12,2)</f>
        <v/>
      </c>
      <c r="J61" s="14">
        <f>ROUND(I61*E61,2)</f>
        <v/>
      </c>
    </row>
    <row r="62" collapsed="1" ht="13.9" customFormat="1" customHeight="1" s="108">
      <c r="A62" s="142" t="n"/>
      <c r="B62" s="142" t="n"/>
      <c r="C62" s="141" t="inlineStr">
        <is>
          <t>Итого прочие материалы</t>
        </is>
      </c>
      <c r="D62" s="142" t="n"/>
      <c r="E62" s="143" t="n"/>
      <c r="F62" s="144" t="n"/>
      <c r="G62" s="14">
        <f>SUM(G45:G61)</f>
        <v/>
      </c>
      <c r="H62" s="154">
        <f>G62/G63</f>
        <v/>
      </c>
      <c r="I62" s="14" t="n"/>
      <c r="J62" s="14">
        <f>SUM(J45:J61)</f>
        <v/>
      </c>
      <c r="L62" s="186" t="n"/>
    </row>
    <row r="63" ht="14.25" customFormat="1" customHeight="1" s="108">
      <c r="A63" s="142" t="n"/>
      <c r="B63" s="142" t="n"/>
      <c r="C63" s="153" t="inlineStr">
        <is>
          <t>Итого по разделу «Материалы»</t>
        </is>
      </c>
      <c r="D63" s="142" t="n"/>
      <c r="E63" s="143" t="n"/>
      <c r="F63" s="144" t="n"/>
      <c r="G63" s="14">
        <f>G44+G62</f>
        <v/>
      </c>
      <c r="H63" s="154" t="n">
        <v>1</v>
      </c>
      <c r="I63" s="144" t="n"/>
      <c r="J63" s="14">
        <f>J44+J62</f>
        <v/>
      </c>
      <c r="K63" s="183" t="n"/>
    </row>
    <row r="64" ht="14.25" customFormat="1" customHeight="1" s="108">
      <c r="A64" s="142" t="n"/>
      <c r="B64" s="142" t="n"/>
      <c r="C64" s="141" t="inlineStr">
        <is>
          <t>ИТОГО ПО РМ</t>
        </is>
      </c>
      <c r="D64" s="142" t="n"/>
      <c r="E64" s="143" t="n"/>
      <c r="F64" s="144" t="n"/>
      <c r="G64" s="14">
        <f>G14+G24+G63</f>
        <v/>
      </c>
      <c r="H64" s="154" t="n"/>
      <c r="I64" s="144" t="n"/>
      <c r="J64" s="14">
        <f>J14+J24+J63</f>
        <v/>
      </c>
    </row>
    <row r="65" ht="14.25" customFormat="1" customHeight="1" s="108">
      <c r="A65" s="142" t="n"/>
      <c r="B65" s="142" t="n"/>
      <c r="C65" s="141" t="inlineStr">
        <is>
          <t>Накладные расходы</t>
        </is>
      </c>
      <c r="D65" s="142" t="inlineStr">
        <is>
          <t>%</t>
        </is>
      </c>
      <c r="E65" s="42">
        <f>ROUND(G65/(G14+G16),2)</f>
        <v/>
      </c>
      <c r="F65" s="144" t="n"/>
      <c r="G65" s="14" t="n">
        <v>1511.95</v>
      </c>
      <c r="H65" s="154" t="n"/>
      <c r="I65" s="144" t="n"/>
      <c r="J65" s="14">
        <f>ROUND(E65*(J14+J16),2)</f>
        <v/>
      </c>
      <c r="K65" s="43" t="n"/>
    </row>
    <row r="66" ht="14.25" customFormat="1" customHeight="1" s="108">
      <c r="A66" s="142" t="n"/>
      <c r="B66" s="142" t="n"/>
      <c r="C66" s="141" t="inlineStr">
        <is>
          <t>Сметная прибыль</t>
        </is>
      </c>
      <c r="D66" s="142" t="inlineStr">
        <is>
          <t>%</t>
        </is>
      </c>
      <c r="E66" s="42">
        <f>ROUND(G66/(G14+G16),2)</f>
        <v/>
      </c>
      <c r="F66" s="144" t="n"/>
      <c r="G66" s="14" t="n">
        <v>794.95</v>
      </c>
      <c r="H66" s="154" t="n"/>
      <c r="I66" s="144" t="n"/>
      <c r="J66" s="14">
        <f>ROUND(E66*(J14+J16),2)</f>
        <v/>
      </c>
      <c r="K66" s="43" t="n"/>
    </row>
    <row r="67" ht="14.25" customFormat="1" customHeight="1" s="108">
      <c r="A67" s="142" t="n"/>
      <c r="B67" s="142" t="n"/>
      <c r="C67" s="141" t="inlineStr">
        <is>
          <t>Итого СМР (с НР и СП)</t>
        </is>
      </c>
      <c r="D67" s="142" t="n"/>
      <c r="E67" s="143" t="n"/>
      <c r="F67" s="144" t="n"/>
      <c r="G67" s="14">
        <f>G14+G24+G63+G65+G66</f>
        <v/>
      </c>
      <c r="H67" s="154" t="n"/>
      <c r="I67" s="144" t="n"/>
      <c r="J67" s="14">
        <f>J14+J24+J63+J65+J66</f>
        <v/>
      </c>
      <c r="L67" s="44" t="n"/>
    </row>
    <row r="68" ht="14.25" customFormat="1" customHeight="1" s="108">
      <c r="A68" s="142" t="n"/>
      <c r="B68" s="142" t="n"/>
      <c r="C68" s="141" t="inlineStr">
        <is>
          <t>ВСЕГО СМР + ОБОРУДОВАНИЕ</t>
        </is>
      </c>
      <c r="D68" s="142" t="n"/>
      <c r="E68" s="143" t="n"/>
      <c r="F68" s="144" t="n"/>
      <c r="G68" s="14">
        <f>G67+G34</f>
        <v/>
      </c>
      <c r="H68" s="154" t="n"/>
      <c r="I68" s="144" t="n"/>
      <c r="J68" s="14">
        <f>J67+J34</f>
        <v/>
      </c>
      <c r="L68" s="43" t="n"/>
    </row>
    <row r="69" ht="14.25" customFormat="1" customHeight="1" s="108">
      <c r="A69" s="142" t="n"/>
      <c r="B69" s="142" t="n"/>
      <c r="C69" s="141" t="inlineStr">
        <is>
          <t>ИТОГО ПОКАЗАТЕЛЬ НА ЕД. ИЗМ.</t>
        </is>
      </c>
      <c r="D69" s="142" t="inlineStr">
        <is>
          <t>ед.</t>
        </is>
      </c>
      <c r="E69" s="45" t="n">
        <v>576.9299999999999</v>
      </c>
      <c r="F69" s="144" t="n"/>
      <c r="G69" s="14">
        <f>G68/E69</f>
        <v/>
      </c>
      <c r="H69" s="154" t="n"/>
      <c r="I69" s="144" t="n"/>
      <c r="J69" s="14">
        <f>J68/E69</f>
        <v/>
      </c>
      <c r="L69" s="180" t="n"/>
    </row>
    <row r="71" ht="14.25" customFormat="1" customHeight="1" s="108">
      <c r="A71" s="109" t="n"/>
    </row>
    <row r="72" ht="14.25" customFormat="1" customHeight="1" s="108">
      <c r="A72" s="107" t="inlineStr">
        <is>
          <t>Составил ______________________        Е.А. Князева</t>
        </is>
      </c>
    </row>
    <row r="73" ht="14.25" customFormat="1" customHeight="1" s="108">
      <c r="A73" s="110" t="inlineStr">
        <is>
          <t xml:space="preserve">                         (подпись, инициалы, фамилия)</t>
        </is>
      </c>
    </row>
    <row r="74" ht="14.25" customFormat="1" customHeight="1" s="108">
      <c r="A74" s="107" t="n"/>
    </row>
    <row r="75" ht="14.25" customFormat="1" customHeight="1" s="108">
      <c r="A75" s="107" t="inlineStr">
        <is>
          <t>Проверил ______________________        А.В. Костянецкая</t>
        </is>
      </c>
    </row>
    <row r="76" ht="14.25" customFormat="1" customHeight="1" s="108">
      <c r="A76" s="11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9:B10"/>
    <mergeCell ref="D9:D10"/>
    <mergeCell ref="B18:H18"/>
    <mergeCell ref="B36:J36"/>
    <mergeCell ref="B12:H12"/>
    <mergeCell ref="D6:J6"/>
    <mergeCell ref="B26:J26"/>
    <mergeCell ref="F9:G9"/>
    <mergeCell ref="A4:H4"/>
    <mergeCell ref="B25:J25"/>
    <mergeCell ref="B17:H17"/>
    <mergeCell ref="A9:A10"/>
    <mergeCell ref="B37:H37"/>
    <mergeCell ref="I9:J9"/>
  </mergeCells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5" sqref="B15"/>
    </sheetView>
  </sheetViews>
  <sheetFormatPr baseColWidth="8" defaultColWidth="9.140625" defaultRowHeight="15"/>
  <cols>
    <col width="12.7109375" customWidth="1" style="111" min="1" max="1"/>
    <col width="16.42578125" customWidth="1" style="111" min="2" max="2"/>
    <col width="37.140625" customWidth="1" style="111" min="3" max="3"/>
    <col width="49" customWidth="1" style="111" min="4" max="4"/>
    <col width="9.140625" customWidth="1" style="111" min="5" max="5"/>
  </cols>
  <sheetData>
    <row r="1" ht="15.6" customHeight="1" s="111">
      <c r="A1" s="113" t="n"/>
      <c r="B1" s="113" t="n"/>
      <c r="C1" s="113" t="n"/>
      <c r="D1" s="113" t="inlineStr">
        <is>
          <t>Приложение №7</t>
        </is>
      </c>
    </row>
    <row r="2" ht="15.6" customHeight="1" s="111">
      <c r="A2" s="113" t="n"/>
      <c r="B2" s="113" t="n"/>
      <c r="C2" s="113" t="n"/>
      <c r="D2" s="113" t="n"/>
    </row>
    <row r="3" ht="15.6" customHeight="1" s="111">
      <c r="A3" s="113" t="n"/>
      <c r="B3" s="102" t="inlineStr">
        <is>
          <t>Расчет показателя УНЦ</t>
        </is>
      </c>
      <c r="C3" s="113" t="n"/>
      <c r="D3" s="113" t="n"/>
    </row>
    <row r="4" ht="15.6" customHeight="1" s="111">
      <c r="A4" s="113" t="n"/>
      <c r="B4" s="113" t="n"/>
      <c r="C4" s="113" t="n"/>
      <c r="D4" s="113" t="n"/>
    </row>
    <row r="5" ht="15.6" customHeight="1" s="111">
      <c r="A5" s="157" t="inlineStr">
        <is>
          <t xml:space="preserve">Наименование разрабатываемого показателя УНЦ - </t>
        </is>
      </c>
      <c r="D5" s="157">
        <f>'Прил.5 Расчет СМР и ОБ'!D6:J6</f>
        <v/>
      </c>
    </row>
    <row r="6" ht="15.6" customHeight="1" s="111">
      <c r="A6" s="113" t="inlineStr">
        <is>
          <t>Единица измерения  — 1 м2</t>
        </is>
      </c>
      <c r="B6" s="113" t="n"/>
      <c r="C6" s="113" t="n"/>
      <c r="D6" s="113" t="n"/>
    </row>
    <row r="7" ht="15.6" customHeight="1" s="111">
      <c r="A7" s="113" t="n"/>
      <c r="B7" s="113" t="n"/>
      <c r="C7" s="113" t="n"/>
      <c r="D7" s="113" t="n"/>
    </row>
    <row r="8">
      <c r="A8" s="131" t="inlineStr">
        <is>
          <t>Код показателя</t>
        </is>
      </c>
      <c r="B8" s="131" t="inlineStr">
        <is>
          <t>Наименование показателя</t>
        </is>
      </c>
      <c r="C8" s="131" t="inlineStr">
        <is>
          <t>Наименование РМ, входящих в состав показателя</t>
        </is>
      </c>
      <c r="D8" s="131" t="inlineStr">
        <is>
          <t>Норматив цены на 01.01.2023, тыс.руб.</t>
        </is>
      </c>
    </row>
    <row r="9">
      <c r="A9" s="175" t="n"/>
      <c r="B9" s="175" t="n"/>
      <c r="C9" s="175" t="n"/>
      <c r="D9" s="175" t="n"/>
    </row>
    <row r="10" ht="15.6" customHeight="1" s="111">
      <c r="A10" s="131" t="n">
        <v>1</v>
      </c>
      <c r="B10" s="131" t="n">
        <v>2</v>
      </c>
      <c r="C10" s="131" t="n">
        <v>3</v>
      </c>
      <c r="D10" s="131" t="n">
        <v>4</v>
      </c>
    </row>
    <row r="11" ht="46.9" customHeight="1" s="111">
      <c r="A11" s="131" t="inlineStr">
        <is>
          <t>И16-02</t>
        </is>
      </c>
      <c r="B11" s="131" t="inlineStr">
        <is>
          <t>УНЦ инжененых систем зданий</t>
        </is>
      </c>
      <c r="C11" s="105">
        <f>D5</f>
        <v/>
      </c>
      <c r="D11" s="119">
        <f>'Прил.4 РМ'!C41/1000</f>
        <v/>
      </c>
    </row>
    <row r="13">
      <c r="A13" s="107" t="inlineStr">
        <is>
          <t>Составил ______________________     Е.А. Князева</t>
        </is>
      </c>
      <c r="B13" s="108" t="n"/>
      <c r="C13" s="108" t="n"/>
      <c r="D13" s="109" t="n"/>
    </row>
    <row r="14">
      <c r="A14" s="110" t="inlineStr">
        <is>
          <t xml:space="preserve">                         (подпись, инициалы, фамилия)</t>
        </is>
      </c>
      <c r="B14" s="108" t="n"/>
      <c r="C14" s="108" t="n"/>
      <c r="D14" s="109" t="n"/>
    </row>
    <row r="15">
      <c r="A15" s="107" t="n"/>
      <c r="B15" s="108" t="n"/>
      <c r="C15" s="108" t="n"/>
      <c r="D15" s="109" t="n"/>
    </row>
    <row r="16">
      <c r="A16" s="107" t="inlineStr">
        <is>
          <t>Проверил ______________________        А.В. Костянецкая</t>
        </is>
      </c>
      <c r="B16" s="108" t="n"/>
      <c r="C16" s="108" t="n"/>
      <c r="D16" s="109" t="n"/>
    </row>
    <row r="17">
      <c r="A17" s="110" t="inlineStr">
        <is>
          <t xml:space="preserve">                        (подпись, инициалы, фамилия)</t>
        </is>
      </c>
      <c r="B17" s="108" t="n"/>
      <c r="C17" s="108" t="n"/>
      <c r="D17" s="1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6"/>
  <sheetViews>
    <sheetView view="pageBreakPreview" workbookViewId="0">
      <selection activeCell="C21" sqref="C21"/>
    </sheetView>
  </sheetViews>
  <sheetFormatPr baseColWidth="8" defaultRowHeight="15"/>
  <cols>
    <col width="5.7109375" customWidth="1" style="111" min="1" max="1"/>
    <col width="14.85546875" customWidth="1" style="111" min="2" max="2"/>
    <col width="39.140625" customWidth="1" style="111" min="3" max="3"/>
    <col width="8.28515625" customWidth="1" style="111" min="4" max="4"/>
    <col width="13.5703125" customWidth="1" style="111" min="5" max="5"/>
    <col width="12.42578125" customWidth="1" style="111" min="6" max="6"/>
    <col width="14.140625" customWidth="1" style="111" min="7" max="7"/>
  </cols>
  <sheetData>
    <row r="1">
      <c r="A1" s="162" t="inlineStr">
        <is>
          <t>Приложение №6</t>
        </is>
      </c>
    </row>
    <row r="2">
      <c r="A2" s="162" t="n"/>
      <c r="B2" s="162" t="n"/>
      <c r="C2" s="162" t="n"/>
      <c r="D2" s="162" t="n"/>
      <c r="E2" s="162" t="n"/>
      <c r="F2" s="162" t="n"/>
      <c r="G2" s="162" t="n"/>
    </row>
    <row r="3">
      <c r="A3" s="162" t="n"/>
      <c r="B3" s="162" t="n"/>
      <c r="C3" s="162" t="n"/>
      <c r="D3" s="162" t="n"/>
      <c r="E3" s="162" t="n"/>
      <c r="F3" s="162" t="n"/>
      <c r="G3" s="162" t="n"/>
    </row>
    <row r="4">
      <c r="A4" s="162" t="n"/>
      <c r="B4" s="162" t="n"/>
      <c r="C4" s="162" t="n"/>
      <c r="D4" s="162" t="n"/>
      <c r="E4" s="162" t="n"/>
      <c r="F4" s="162" t="n"/>
      <c r="G4" s="162" t="n"/>
    </row>
    <row r="5">
      <c r="A5" s="138" t="inlineStr">
        <is>
          <t>Расчет стоимости оборудования</t>
        </is>
      </c>
    </row>
    <row r="6" ht="64.5" customHeight="1" s="111">
      <c r="A6" s="164">
        <f>'Прил.1 Сравнит табл'!B7</f>
        <v/>
      </c>
    </row>
    <row r="7">
      <c r="A7" s="107" t="n"/>
      <c r="B7" s="107" t="n"/>
      <c r="C7" s="107" t="n"/>
      <c r="D7" s="107" t="n"/>
      <c r="E7" s="107" t="n"/>
      <c r="F7" s="107" t="n"/>
      <c r="G7" s="107" t="n"/>
    </row>
    <row r="8" ht="30.2" customHeight="1" s="111">
      <c r="A8" s="163" t="inlineStr">
        <is>
          <t>№ пп.</t>
        </is>
      </c>
      <c r="B8" s="163" t="inlineStr">
        <is>
          <t>Код ресурса</t>
        </is>
      </c>
      <c r="C8" s="163" t="inlineStr">
        <is>
          <t>Наименование</t>
        </is>
      </c>
      <c r="D8" s="163" t="inlineStr">
        <is>
          <t>Ед. изм.</t>
        </is>
      </c>
      <c r="E8" s="142" t="inlineStr">
        <is>
          <t>Кол-во единиц по проектным данным</t>
        </is>
      </c>
      <c r="F8" s="163" t="inlineStr">
        <is>
          <t>Сметная стоимость в ценах на 01.01.2000 (руб.)</t>
        </is>
      </c>
      <c r="G8" s="173" t="n"/>
    </row>
    <row r="9">
      <c r="A9" s="175" t="n"/>
      <c r="B9" s="175" t="n"/>
      <c r="C9" s="175" t="n"/>
      <c r="D9" s="175" t="n"/>
      <c r="E9" s="175" t="n"/>
      <c r="F9" s="142" t="inlineStr">
        <is>
          <t>на ед. изм.</t>
        </is>
      </c>
      <c r="G9" s="142" t="inlineStr">
        <is>
          <t>общая</t>
        </is>
      </c>
    </row>
    <row r="10">
      <c r="A10" s="142" t="n">
        <v>1</v>
      </c>
      <c r="B10" s="142" t="n">
        <v>2</v>
      </c>
      <c r="C10" s="142" t="n">
        <v>3</v>
      </c>
      <c r="D10" s="142" t="n">
        <v>4</v>
      </c>
      <c r="E10" s="142" t="n">
        <v>5</v>
      </c>
      <c r="F10" s="142" t="n">
        <v>6</v>
      </c>
      <c r="G10" s="142" t="n">
        <v>7</v>
      </c>
    </row>
    <row r="11" ht="15" customHeight="1" s="111">
      <c r="A11" s="7" t="n"/>
      <c r="B11" s="141" t="inlineStr">
        <is>
          <t>ИНЖЕНЕРНОЕ ОБОРУДОВАНИЕ</t>
        </is>
      </c>
      <c r="C11" s="172" t="n"/>
      <c r="D11" s="172" t="n"/>
      <c r="E11" s="172" t="n"/>
      <c r="F11" s="172" t="n"/>
      <c r="G11" s="173" t="n"/>
    </row>
    <row r="12" ht="38.25" customHeight="1" s="111">
      <c r="A12" s="142" t="n">
        <v>1</v>
      </c>
      <c r="B12" s="45" t="inlineStr">
        <is>
          <t>63.3.01.01-1022</t>
        </is>
      </c>
      <c r="C12" s="89" t="inlineStr">
        <is>
          <t>Электрообогреватель конвекторного типа, тип исполнения-настенный, мощность 1 кВт</t>
        </is>
      </c>
      <c r="D12" s="45" t="inlineStr">
        <is>
          <t>шт</t>
        </is>
      </c>
      <c r="E12" s="45" t="n">
        <v>27</v>
      </c>
      <c r="F12" s="14" t="n">
        <v>805.34</v>
      </c>
      <c r="G12" s="14">
        <f>ROUND(E12*F12,2)</f>
        <v/>
      </c>
    </row>
    <row r="13" ht="25.5" customHeight="1" s="111">
      <c r="A13" s="142" t="n">
        <v>2</v>
      </c>
      <c r="B13" s="45" t="inlineStr">
        <is>
          <t>63.3.01.02-0005</t>
        </is>
      </c>
      <c r="C13" s="89" t="inlineStr">
        <is>
          <t>Обогреватели электрические Noirot: Spot E-3 1500 Вт</t>
        </is>
      </c>
      <c r="D13" s="45" t="inlineStr">
        <is>
          <t>шт</t>
        </is>
      </c>
      <c r="E13" s="45" t="n">
        <v>3</v>
      </c>
      <c r="F13" s="14" t="n">
        <v>946.77</v>
      </c>
      <c r="G13" s="14">
        <f>ROUND(E13*F13,2)</f>
        <v/>
      </c>
    </row>
    <row r="14" ht="38.25" customHeight="1" s="111">
      <c r="A14" s="142" t="n">
        <v>3</v>
      </c>
      <c r="B14" s="45" t="inlineStr">
        <is>
          <t>63.3.01.02-1016</t>
        </is>
      </c>
      <c r="C14" s="89" t="inlineStr">
        <is>
          <t>Электрообогреватели излучающего типа, тип исполнения настенный, мощность 2 кВт</t>
        </is>
      </c>
      <c r="D14" s="45" t="inlineStr">
        <is>
          <t>шт</t>
        </is>
      </c>
      <c r="E14" s="45" t="n">
        <v>1</v>
      </c>
      <c r="F14" s="14" t="n">
        <v>1073.02</v>
      </c>
      <c r="G14" s="14">
        <f>ROUND(E14*F14,2)</f>
        <v/>
      </c>
    </row>
    <row r="15">
      <c r="A15" s="142" t="n"/>
      <c r="B15" s="153" t="n"/>
      <c r="C15" s="141" t="inlineStr">
        <is>
          <t>ИТОГО ИНЖЕНЕРНОЕ ОБОРУДОВАНИЕ</t>
        </is>
      </c>
      <c r="D15" s="153" t="n"/>
      <c r="E15" s="8" t="n"/>
      <c r="F15" s="144" t="n"/>
      <c r="G15" s="14">
        <f>SUM(G12:G14)</f>
        <v/>
      </c>
    </row>
    <row r="16">
      <c r="A16" s="142" t="n"/>
      <c r="B16" s="141" t="inlineStr">
        <is>
          <t>ТЕХНОЛОГИЧЕСКОЕ ОБОРУДОВАНИЕ</t>
        </is>
      </c>
      <c r="C16" s="172" t="n"/>
      <c r="D16" s="172" t="n"/>
      <c r="E16" s="172" t="n"/>
      <c r="F16" s="172" t="n"/>
      <c r="G16" s="173" t="n"/>
    </row>
    <row r="17" ht="38.25" customHeight="1" s="111">
      <c r="A17" s="142" t="n">
        <v>4</v>
      </c>
      <c r="B17" s="45">
        <f>'Прил.5 Расчет СМР и ОБ'!B27</f>
        <v/>
      </c>
      <c r="C17" s="89">
        <f>'Прил.5 Расчет СМР и ОБ'!C27</f>
        <v/>
      </c>
      <c r="D17" s="45">
        <f>'Прил.5 Расчет СМР и ОБ'!D27</f>
        <v/>
      </c>
      <c r="E17" s="45">
        <f>'Прил.5 Расчет СМР и ОБ'!E27</f>
        <v/>
      </c>
      <c r="F17" s="14">
        <f>'Прил.5 Расчет СМР и ОБ'!F27</f>
        <v/>
      </c>
      <c r="G17" s="14">
        <f>ROUND(E17*F17,2)</f>
        <v/>
      </c>
    </row>
    <row r="18" ht="38.25" customHeight="1" s="111">
      <c r="A18" s="142" t="n">
        <v>5</v>
      </c>
      <c r="B18" s="45">
        <f>'Прил.5 Расчет СМР и ОБ'!B28</f>
        <v/>
      </c>
      <c r="C18" s="89">
        <f>'Прил.5 Расчет СМР и ОБ'!C28</f>
        <v/>
      </c>
      <c r="D18" s="45">
        <f>'Прил.5 Расчет СМР и ОБ'!D28</f>
        <v/>
      </c>
      <c r="E18" s="45">
        <f>'Прил.5 Расчет СМР и ОБ'!E28</f>
        <v/>
      </c>
      <c r="F18" s="14">
        <f>'Прил.5 Расчет СМР и ОБ'!F28</f>
        <v/>
      </c>
      <c r="G18" s="14">
        <f>ROUND(E18*F18,2)</f>
        <v/>
      </c>
    </row>
    <row r="19" ht="25.5" customHeight="1" s="111">
      <c r="A19" s="142" t="n"/>
      <c r="B19" s="12" t="n"/>
      <c r="C19" s="12" t="inlineStr">
        <is>
          <t>ИТОГО ТЕХНОЛОГИЧЕСКОЕ ОБОРУДОВАНИЕ</t>
        </is>
      </c>
      <c r="D19" s="12" t="n"/>
      <c r="E19" s="13" t="n"/>
      <c r="F19" s="144" t="n"/>
      <c r="G19" s="14">
        <f>SUM(G17:G18)</f>
        <v/>
      </c>
    </row>
    <row r="20" ht="19.5" customHeight="1" s="111">
      <c r="A20" s="142" t="n"/>
      <c r="B20" s="141" t="n"/>
      <c r="C20" s="141" t="inlineStr">
        <is>
          <t>Всего по разделу «Оборудование»</t>
        </is>
      </c>
      <c r="D20" s="141" t="n"/>
      <c r="E20" s="161" t="n"/>
      <c r="F20" s="144" t="n"/>
      <c r="G20" s="14">
        <f>G15+G19</f>
        <v/>
      </c>
    </row>
    <row r="21">
      <c r="A21" s="109" t="n"/>
      <c r="B21" s="11" t="n"/>
      <c r="C21" s="109" t="n"/>
      <c r="D21" s="109" t="n"/>
      <c r="E21" s="109" t="n"/>
      <c r="F21" s="109" t="n"/>
      <c r="G21" s="109" t="n"/>
    </row>
    <row r="22">
      <c r="A22" s="107" t="inlineStr">
        <is>
          <t>Составил ______________________        Е.А. Князева</t>
        </is>
      </c>
      <c r="B22" s="108" t="n"/>
      <c r="C22" s="108" t="n"/>
      <c r="D22" s="109" t="n"/>
      <c r="E22" s="109" t="n"/>
      <c r="F22" s="109" t="n"/>
      <c r="G22" s="109" t="n"/>
    </row>
    <row r="23">
      <c r="A23" s="110" t="inlineStr">
        <is>
          <t xml:space="preserve">                         (подпись, инициалы, фамилия)</t>
        </is>
      </c>
      <c r="B23" s="108" t="n"/>
      <c r="C23" s="108" t="n"/>
      <c r="D23" s="109" t="n"/>
      <c r="E23" s="109" t="n"/>
      <c r="F23" s="109" t="n"/>
      <c r="G23" s="109" t="n"/>
    </row>
    <row r="24">
      <c r="A24" s="107" t="n"/>
      <c r="B24" s="108" t="n"/>
      <c r="C24" s="108" t="n"/>
      <c r="D24" s="109" t="n"/>
      <c r="E24" s="109" t="n"/>
      <c r="F24" s="109" t="n"/>
      <c r="G24" s="109" t="n"/>
    </row>
    <row r="25">
      <c r="A25" s="107" t="inlineStr">
        <is>
          <t>Проверил ______________________        А.В. Костянецкая</t>
        </is>
      </c>
      <c r="B25" s="108" t="n"/>
      <c r="C25" s="108" t="n"/>
      <c r="D25" s="109" t="n"/>
      <c r="E25" s="109" t="n"/>
      <c r="F25" s="109" t="n"/>
      <c r="G25" s="109" t="n"/>
    </row>
    <row r="26">
      <c r="A26" s="110" t="inlineStr">
        <is>
          <t xml:space="preserve">                        (подпись, инициалы, фамилия)</t>
        </is>
      </c>
      <c r="B26" s="108" t="n"/>
      <c r="C26" s="108" t="n"/>
      <c r="D26" s="109" t="n"/>
      <c r="E26" s="109" t="n"/>
      <c r="F26" s="109" t="n"/>
      <c r="G26" s="109" t="n"/>
    </row>
  </sheetData>
  <mergeCells count="11">
    <mergeCell ref="B16:G16"/>
    <mergeCell ref="A8:A9"/>
    <mergeCell ref="A1:G1"/>
    <mergeCell ref="E8:E9"/>
    <mergeCell ref="C8:C9"/>
    <mergeCell ref="B11:G11"/>
    <mergeCell ref="A6:G6"/>
    <mergeCell ref="D8:D9"/>
    <mergeCell ref="B8:B9"/>
    <mergeCell ref="A5:G5"/>
    <mergeCell ref="F8:G8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100" workbookViewId="0">
      <selection activeCell="B20" sqref="B20"/>
    </sheetView>
  </sheetViews>
  <sheetFormatPr baseColWidth="8" defaultRowHeight="15"/>
  <cols>
    <col width="40.7109375" customWidth="1" style="111" min="2" max="2"/>
    <col width="37" customWidth="1" style="111" min="3" max="3"/>
    <col width="32" customWidth="1" style="111" min="4" max="4"/>
  </cols>
  <sheetData>
    <row r="4" ht="15.75" customHeight="1" s="111">
      <c r="B4" s="129" t="inlineStr">
        <is>
          <t>Приложение № 10</t>
        </is>
      </c>
    </row>
    <row r="5" ht="18.75" customHeight="1" s="111">
      <c r="B5" s="20" t="n"/>
    </row>
    <row r="6" ht="15.75" customHeight="1" s="111">
      <c r="B6" s="130" t="inlineStr">
        <is>
          <t>Используемые индексы изменений сметной стоимости и нормы сопутствующих затрат</t>
        </is>
      </c>
    </row>
    <row r="7">
      <c r="B7" s="165" t="n"/>
    </row>
    <row r="8" ht="47.25" customHeight="1" s="111">
      <c r="B8" s="131" t="inlineStr">
        <is>
          <t>Наименование индекса / норм сопутствующих затрат</t>
        </is>
      </c>
      <c r="C8" s="131" t="inlineStr">
        <is>
          <t>Дата применения и обоснование индекса / норм сопутствующих затрат</t>
        </is>
      </c>
      <c r="D8" s="131" t="inlineStr">
        <is>
          <t>Размер индекса / норма сопутствующих затрат</t>
        </is>
      </c>
    </row>
    <row r="9" ht="15.75" customHeight="1" s="111">
      <c r="B9" s="131" t="n">
        <v>1</v>
      </c>
      <c r="C9" s="131" t="n">
        <v>2</v>
      </c>
      <c r="D9" s="131" t="n">
        <v>3</v>
      </c>
    </row>
    <row r="10" ht="31.5" customHeight="1" s="111">
      <c r="B10" s="131" t="inlineStr">
        <is>
          <t xml:space="preserve">Индекс изменения сметной стоимости на 1 квартал 2023 года. ОЗП </t>
        </is>
      </c>
      <c r="C10" s="131" t="inlineStr">
        <is>
          <t>Письмо Минстроя России от 30.03.2023г. №17106-ИФ/09  прил.1</t>
        </is>
      </c>
      <c r="D10" s="131" t="n">
        <v>44.29</v>
      </c>
    </row>
    <row r="11" ht="31.5" customHeight="1" s="111">
      <c r="B11" s="131" t="inlineStr">
        <is>
          <t>Индекс изменения сметной стоимости на 1 квартал 2023 года. ЭМ</t>
        </is>
      </c>
      <c r="C11" s="131" t="inlineStr">
        <is>
          <t>Письмо Минстроя России от 30.03.2023г. №17106-ИФ/09  прил.1</t>
        </is>
      </c>
      <c r="D11" s="131" t="n">
        <v>13.47</v>
      </c>
    </row>
    <row r="12" ht="31.5" customHeight="1" s="111">
      <c r="B12" s="131" t="inlineStr">
        <is>
          <t>Индекс изменения сметной стоимости на 1 квартал 2023 года. МАТ</t>
        </is>
      </c>
      <c r="C12" s="131" t="inlineStr">
        <is>
          <t>Письмо Минстроя России от 30.03.2023г. №17106-ИФ/09  прил.1</t>
        </is>
      </c>
      <c r="D12" s="131" t="n">
        <v>8.039999999999999</v>
      </c>
    </row>
    <row r="13" ht="31.5" customHeight="1" s="111">
      <c r="B13" s="131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31" t="n">
        <v>6.26</v>
      </c>
    </row>
    <row r="14" ht="78.75" customHeight="1" s="111">
      <c r="B14" s="131" t="inlineStr">
        <is>
          <t>Временные здания и сооружения</t>
        </is>
      </c>
      <c r="C14" s="13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0.039</v>
      </c>
    </row>
    <row r="15" ht="78.75" customHeight="1" s="111">
      <c r="B15" s="131" t="inlineStr">
        <is>
          <t>Дополнительные затраты при производстве строительно-монтажных работ в зимнее время</t>
        </is>
      </c>
      <c r="C15" s="13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15.75" customHeight="1" s="111">
      <c r="B16" s="131" t="inlineStr">
        <is>
          <t xml:space="preserve">Пусконаладочные работы </t>
        </is>
      </c>
      <c r="C16" s="131" t="n"/>
      <c r="D16" s="131" t="n"/>
    </row>
    <row r="17" ht="31.5" customHeight="1" s="111">
      <c r="B17" s="131" t="inlineStr">
        <is>
          <t>Строительный контроль</t>
        </is>
      </c>
      <c r="C17" s="131" t="inlineStr">
        <is>
          <t>Постановление Правительства РФ от 21.06.10 г. № 468</t>
        </is>
      </c>
      <c r="D17" s="24" t="n">
        <v>0.0214</v>
      </c>
    </row>
    <row r="18" ht="31.7" customHeight="1" s="111">
      <c r="B18" s="131" t="inlineStr">
        <is>
          <t>Авторский надзор - 0,2%</t>
        </is>
      </c>
      <c r="C18" s="131" t="inlineStr">
        <is>
          <t>Приказ от 4.08.2020 № 421/пр п.173</t>
        </is>
      </c>
      <c r="D18" s="24" t="n">
        <v>0.002</v>
      </c>
    </row>
    <row r="19" ht="24" customHeight="1" s="111">
      <c r="B19" s="131" t="inlineStr">
        <is>
          <t>Непредвиденные расходы</t>
        </is>
      </c>
      <c r="C19" s="131" t="inlineStr">
        <is>
          <t>Приказ от 4.08.2020 № 421/пр п.179</t>
        </is>
      </c>
      <c r="D19" s="24" t="n">
        <v>0.03</v>
      </c>
    </row>
    <row r="20" ht="18.75" customHeight="1" s="111">
      <c r="B20" s="21" t="n"/>
    </row>
    <row r="21" ht="18.75" customHeight="1" s="111">
      <c r="B21" s="21" t="n"/>
    </row>
    <row r="22" ht="18.75" customHeight="1" s="111">
      <c r="B22" s="21" t="n"/>
    </row>
    <row r="23" ht="18.75" customHeight="1" s="111">
      <c r="B23" s="21" t="n"/>
    </row>
    <row r="26">
      <c r="B26" s="107" t="inlineStr">
        <is>
          <t>Составил ______________________        Е.А. Князева</t>
        </is>
      </c>
      <c r="C26" s="108" t="n"/>
    </row>
    <row r="27">
      <c r="B27" s="110" t="inlineStr">
        <is>
          <t xml:space="preserve">                         (подпись, инициалы, фамилия)</t>
        </is>
      </c>
      <c r="C27" s="108" t="n"/>
    </row>
    <row r="28">
      <c r="B28" s="107" t="n"/>
      <c r="C28" s="108" t="n"/>
    </row>
    <row r="29">
      <c r="B29" s="107" t="inlineStr">
        <is>
          <t>Проверил ______________________        А.В. Костянецкая</t>
        </is>
      </c>
      <c r="C29" s="108" t="n"/>
    </row>
    <row r="30">
      <c r="B30" s="110" t="inlineStr">
        <is>
          <t xml:space="preserve">                        (подпись, инициалы, фамилия)</t>
        </is>
      </c>
      <c r="C30" s="1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tabSelected="1" view="pageBreakPreview" topLeftCell="A7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111" min="2" max="2"/>
    <col width="13" customWidth="1" style="111" min="3" max="3"/>
    <col width="22.85546875" customWidth="1" style="111" min="4" max="4"/>
    <col width="21.5703125" customWidth="1" style="111" min="5" max="5"/>
    <col width="43.85546875" customWidth="1" style="111" min="6" max="6"/>
  </cols>
  <sheetData>
    <row r="1" s="111"/>
    <row r="2" ht="18" customHeight="1" s="111">
      <c r="A2" s="130" t="inlineStr">
        <is>
          <t>Расчет размера средств на оплату труда рабочих-строителей в текущем уровне цен (ФОТр.тек.)</t>
        </is>
      </c>
    </row>
    <row r="3" s="111"/>
    <row r="4" ht="18" customHeight="1" s="11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6" customHeight="1" s="11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6" customHeight="1" s="11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09.15" customHeight="1" s="111">
      <c r="A7" s="115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1" t="inlineStr">
        <is>
          <t>С1ср</t>
        </is>
      </c>
      <c r="D7" s="131" t="inlineStr">
        <is>
          <t>-</t>
        </is>
      </c>
      <c r="E7" s="118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15" customHeight="1" s="111">
      <c r="A8" s="115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131" t="inlineStr">
        <is>
          <t>tср</t>
        </is>
      </c>
      <c r="D8" s="131" t="inlineStr">
        <is>
          <t>1973ч/12мес.</t>
        </is>
      </c>
      <c r="E8" s="119">
        <f>1973/12</f>
        <v/>
      </c>
      <c r="F8" s="120" t="inlineStr">
        <is>
          <t>Производственный календарь 2023 год
(40-часов.неделя)</t>
        </is>
      </c>
      <c r="G8" s="122" t="n"/>
    </row>
    <row r="9" ht="15.6" customHeight="1" s="111">
      <c r="A9" s="115" t="inlineStr">
        <is>
          <t>1.3</t>
        </is>
      </c>
      <c r="B9" s="120" t="inlineStr">
        <is>
          <t>Коэффициент увеличения</t>
        </is>
      </c>
      <c r="C9" s="131" t="inlineStr">
        <is>
          <t>Кув</t>
        </is>
      </c>
      <c r="D9" s="131" t="inlineStr">
        <is>
          <t>-</t>
        </is>
      </c>
      <c r="E9" s="119" t="n">
        <v>1</v>
      </c>
      <c r="F9" s="120" t="n"/>
      <c r="G9" s="122" t="n"/>
    </row>
    <row r="10" ht="15.6" customHeight="1" s="111">
      <c r="A10" s="115" t="inlineStr">
        <is>
          <t>1.4</t>
        </is>
      </c>
      <c r="B10" s="120" t="inlineStr">
        <is>
          <t>Средний разряд работ</t>
        </is>
      </c>
      <c r="C10" s="131" t="n"/>
      <c r="D10" s="131" t="n"/>
      <c r="E10" s="189" t="n">
        <v>3.8</v>
      </c>
      <c r="F10" s="120" t="inlineStr">
        <is>
          <t>РТМ</t>
        </is>
      </c>
      <c r="G10" s="122" t="n"/>
    </row>
    <row r="11" ht="78" customHeight="1" s="111">
      <c r="A11" s="115" t="inlineStr">
        <is>
          <t>1.5</t>
        </is>
      </c>
      <c r="B11" s="120" t="inlineStr">
        <is>
          <t>Тарифный коэффициент среднего разряда работ</t>
        </is>
      </c>
      <c r="C11" s="131" t="inlineStr">
        <is>
          <t>КТ</t>
        </is>
      </c>
      <c r="D11" s="131" t="inlineStr">
        <is>
          <t>-</t>
        </is>
      </c>
      <c r="E11" s="190" t="n">
        <v>1.308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" customHeight="1" s="111">
      <c r="A12" s="115" t="inlineStr">
        <is>
          <t>1.6</t>
        </is>
      </c>
      <c r="B12" s="125" t="inlineStr">
        <is>
          <t>Коэффициент инфляции, определяемый поквартально</t>
        </is>
      </c>
      <c r="C12" s="131" t="inlineStr">
        <is>
          <t>Кинф</t>
        </is>
      </c>
      <c r="D12" s="131" t="inlineStr">
        <is>
          <t>-</t>
        </is>
      </c>
      <c r="E12" s="191" t="n">
        <v>1.139</v>
      </c>
      <c r="F12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n"/>
    </row>
    <row r="13" ht="62.45" customHeight="1" s="111">
      <c r="A13" s="166" t="inlineStr">
        <is>
          <t>1.7</t>
        </is>
      </c>
      <c r="B13" s="167" t="inlineStr">
        <is>
          <t>Размер средств на оплату труда рабочих-строителей в текущем уровне цен (ФОТр.тек.), руб/чел.-ч</t>
        </is>
      </c>
      <c r="C13" s="168" t="inlineStr">
        <is>
          <t>ФОТр.тек.</t>
        </is>
      </c>
      <c r="D13" s="168" t="inlineStr">
        <is>
          <t>(С1ср/tср*КТ*Т*Кув)*Кинф</t>
        </is>
      </c>
      <c r="E13" s="169">
        <f>((E7*E9/E8)*E11)*E12</f>
        <v/>
      </c>
      <c r="F13" s="17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2025-01-24T12:01:59Z</dcterms:modified>
  <cp:lastModifiedBy>Nikolay Ivanov</cp:lastModifiedBy>
  <cp:lastPrinted>2023-11-30T14:18:39Z</cp:lastPrinted>
</cp:coreProperties>
</file>