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'Прил.3'!$A$1:$H$202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ОБ'!$A$1:$J$210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0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wrapText="1"/>
    </xf>
    <xf numFmtId="168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1" applyAlignment="1" pivotButton="0" quotePrefix="1" xfId="0">
      <alignment horizontal="center" vertical="center"/>
    </xf>
    <xf numFmtId="4" fontId="13" fillId="0" borderId="1" applyAlignment="1" pivotButton="0" quotePrefix="0" xfId="0">
      <alignment horizontal="right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0" fontId="13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10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6"/>
  <sheetViews>
    <sheetView view="pageBreakPreview" zoomScale="60" zoomScaleNormal="55" workbookViewId="0">
      <selection activeCell="C26" sqref="C26"/>
    </sheetView>
  </sheetViews>
  <sheetFormatPr baseColWidth="8" defaultColWidth="9.140625" defaultRowHeight="15.75"/>
  <cols>
    <col width="9.140625" customWidth="1" style="117" min="1" max="2"/>
    <col width="36.85546875" customWidth="1" style="117" min="3" max="3"/>
    <col width="78.85546875" customWidth="1" style="117" min="4" max="4"/>
    <col hidden="1" width="26.42578125" customWidth="1" style="117" min="5" max="6"/>
    <col width="14.28515625" customWidth="1" style="115" min="7" max="7"/>
    <col width="12.140625" customWidth="1" style="115" min="8" max="8"/>
    <col width="12.28515625" customWidth="1" style="115" min="9" max="9"/>
    <col width="15" customWidth="1" style="115" min="10" max="10"/>
  </cols>
  <sheetData>
    <row r="1">
      <c r="G1" s="117" t="n"/>
      <c r="H1" s="117" t="n"/>
      <c r="I1" s="117" t="n"/>
      <c r="J1" s="117" t="n"/>
      <c r="K1" s="117" t="n"/>
    </row>
    <row r="2">
      <c r="G2" s="117" t="n"/>
      <c r="H2" s="117" t="n"/>
      <c r="I2" s="117" t="n"/>
      <c r="J2" s="117" t="n"/>
      <c r="K2" s="117" t="n"/>
    </row>
    <row r="3">
      <c r="B3" s="134" t="inlineStr">
        <is>
          <t>Приложение № 1</t>
        </is>
      </c>
      <c r="G3" s="117" t="n"/>
      <c r="H3" s="117" t="n"/>
      <c r="I3" s="117" t="n"/>
      <c r="J3" s="117" t="n"/>
      <c r="K3" s="117" t="n"/>
    </row>
    <row r="4">
      <c r="B4" s="135" t="inlineStr">
        <is>
          <t>Сравнительная таблица отбора объекта-представителя</t>
        </is>
      </c>
      <c r="G4" s="117" t="n"/>
      <c r="H4" s="117" t="n"/>
      <c r="I4" s="117" t="n"/>
      <c r="J4" s="117" t="n"/>
      <c r="K4" s="117" t="n"/>
    </row>
    <row r="5">
      <c r="B5" s="59" t="n"/>
      <c r="C5" s="59" t="n"/>
      <c r="D5" s="59" t="n"/>
      <c r="E5" s="59" t="n"/>
      <c r="F5" s="59" t="n"/>
      <c r="G5" s="117" t="n"/>
      <c r="H5" s="117" t="n"/>
      <c r="I5" s="117" t="n"/>
      <c r="J5" s="117" t="n"/>
      <c r="K5" s="117" t="n"/>
    </row>
    <row r="6">
      <c r="B6" s="59" t="n"/>
      <c r="C6" s="59" t="n"/>
      <c r="D6" s="59" t="n"/>
      <c r="E6" s="59" t="n"/>
      <c r="F6" s="59" t="n"/>
      <c r="G6" s="117" t="n"/>
      <c r="H6" s="117" t="n"/>
      <c r="I6" s="117" t="n"/>
      <c r="J6" s="117" t="n"/>
      <c r="K6" s="117" t="n"/>
    </row>
    <row r="7" ht="31.7" customHeight="1" s="115">
      <c r="B7" s="133">
        <f>_xlfn.CONCAT(TEXT('Прил.5 Расчет СМР и ОБ'!A6,0)," - ",TEXT('Прил.5 Расчет СМР и ОБ'!D6,0))</f>
        <v/>
      </c>
      <c r="G7" s="60" t="n"/>
      <c r="H7" s="117" t="n"/>
      <c r="I7" s="117" t="n"/>
      <c r="J7" s="117" t="n"/>
      <c r="K7" s="117" t="n"/>
    </row>
    <row r="8" ht="15.75" customHeight="1" s="115">
      <c r="B8" s="58" t="inlineStr">
        <is>
          <t xml:space="preserve">Сопоставимый уровень цен: </t>
        </is>
      </c>
      <c r="C8" s="58" t="n"/>
      <c r="D8" s="58">
        <f>D22</f>
        <v/>
      </c>
      <c r="E8" s="58" t="n"/>
      <c r="F8" s="58" t="n"/>
      <c r="G8" s="117" t="n"/>
      <c r="H8" s="117" t="n"/>
      <c r="I8" s="117" t="n"/>
      <c r="J8" s="117" t="n"/>
      <c r="K8" s="117" t="n"/>
    </row>
    <row r="9" ht="15.75" customHeight="1" s="115">
      <c r="B9" s="133" t="inlineStr">
        <is>
          <t>Единица измерения  — м2</t>
        </is>
      </c>
      <c r="G9" s="60" t="n"/>
      <c r="H9" s="117" t="n"/>
      <c r="I9" s="117" t="n"/>
      <c r="J9" s="117" t="n"/>
      <c r="K9" s="117" t="n"/>
    </row>
    <row r="10">
      <c r="B10" s="133" t="n"/>
      <c r="G10" s="117" t="n"/>
      <c r="H10" s="117" t="n"/>
      <c r="I10" s="117" t="n"/>
      <c r="J10" s="117" t="n"/>
      <c r="K10" s="117" t="n"/>
    </row>
    <row r="11">
      <c r="B11" s="138" t="inlineStr">
        <is>
          <t>№ п/п</t>
        </is>
      </c>
      <c r="C11" s="138" t="inlineStr">
        <is>
          <t>Параметр</t>
        </is>
      </c>
      <c r="D11" s="138" t="inlineStr">
        <is>
          <t>Объект-представитель 1</t>
        </is>
      </c>
      <c r="E11" s="138" t="inlineStr">
        <is>
          <t>Объект-представитель 2</t>
        </is>
      </c>
      <c r="F11" s="138" t="inlineStr">
        <is>
          <t>Объект-представитель 3</t>
        </is>
      </c>
      <c r="G11" s="60" t="n"/>
      <c r="H11" s="117" t="n"/>
      <c r="I11" s="117" t="n"/>
      <c r="J11" s="117" t="n"/>
      <c r="K11" s="117" t="n"/>
    </row>
    <row r="12" ht="31.5" customHeight="1" s="115">
      <c r="B12" s="138" t="n">
        <v>1</v>
      </c>
      <c r="C12" s="129" t="inlineStr">
        <is>
          <t>Наименование объекта-представителя</t>
        </is>
      </c>
      <c r="D12" s="138" t="inlineStr">
        <is>
          <t xml:space="preserve">Строительство ПС 220 кВ Налдинская с заходами ВЛ 220 кВ </t>
        </is>
      </c>
      <c r="E12" s="138" t="n"/>
      <c r="F12" s="138" t="n"/>
      <c r="G12" s="117" t="n"/>
      <c r="H12" s="117" t="n"/>
      <c r="I12" s="117" t="n"/>
      <c r="J12" s="117" t="n"/>
      <c r="K12" s="117" t="n"/>
    </row>
    <row r="13" ht="31.5" customHeight="1" s="115">
      <c r="B13" s="138" t="n">
        <v>2</v>
      </c>
      <c r="C13" s="129" t="inlineStr">
        <is>
          <t>Наименование субъекта Российской Федерации</t>
        </is>
      </c>
      <c r="D13" s="138" t="inlineStr">
        <is>
          <t>Республика Саха (Якутия)</t>
        </is>
      </c>
      <c r="E13" s="138" t="n"/>
      <c r="F13" s="138" t="n"/>
      <c r="G13" s="117" t="n"/>
      <c r="H13" s="117" t="n"/>
      <c r="I13" s="117" t="n"/>
      <c r="J13" s="117" t="n"/>
      <c r="K13" s="117" t="n"/>
    </row>
    <row r="14">
      <c r="B14" s="138" t="n">
        <v>3</v>
      </c>
      <c r="C14" s="129" t="inlineStr">
        <is>
          <t>Климатический район и подрайон</t>
        </is>
      </c>
      <c r="D14" s="138" t="inlineStr">
        <is>
          <t>IД</t>
        </is>
      </c>
      <c r="E14" s="138" t="n"/>
      <c r="F14" s="138" t="n"/>
      <c r="G14" s="117" t="n"/>
      <c r="H14" s="117" t="n"/>
      <c r="I14" s="117" t="n"/>
      <c r="J14" s="117" t="n"/>
      <c r="K14" s="117" t="n"/>
    </row>
    <row r="15">
      <c r="B15" s="138" t="n">
        <v>4</v>
      </c>
      <c r="C15" s="129" t="inlineStr">
        <is>
          <t>Мощность объекта</t>
        </is>
      </c>
      <c r="D15" s="138" t="n">
        <v>577.25</v>
      </c>
      <c r="E15" s="138" t="n"/>
      <c r="F15" s="138" t="n"/>
      <c r="G15" s="117" t="n"/>
      <c r="H15" s="117" t="n"/>
      <c r="I15" s="117" t="n"/>
      <c r="J15" s="117" t="n"/>
      <c r="K15" s="117" t="n"/>
    </row>
    <row r="16" ht="119.25" customHeight="1" s="115">
      <c r="B16" s="13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8" t="inlineStr">
        <is>
          <t>ШСАУ, приточные установки, преобразователи частоты, приточно-вытяжная установки, клапана противопожарные взрывозащищенные, вентиляторы индустриальные радиальные</t>
        </is>
      </c>
      <c r="E16" s="138" t="n"/>
      <c r="F16" s="138" t="n"/>
      <c r="G16" s="117" t="n"/>
      <c r="H16" s="117" t="n"/>
      <c r="I16" s="117" t="n"/>
      <c r="J16" s="117" t="n"/>
      <c r="K16" s="117" t="n"/>
    </row>
    <row r="17" ht="82.5" customHeight="1" s="115">
      <c r="B17" s="13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2">
        <f>SUM(D18:D21)</f>
        <v/>
      </c>
      <c r="E17" s="62" t="n"/>
      <c r="F17" s="62" t="n"/>
      <c r="G17" s="63" t="n"/>
      <c r="H17" s="117" t="n"/>
      <c r="I17" s="117" t="n"/>
      <c r="J17" s="117" t="n"/>
      <c r="K17" s="117" t="n"/>
    </row>
    <row r="18">
      <c r="B18" s="64" t="inlineStr">
        <is>
          <t>6.1</t>
        </is>
      </c>
      <c r="C18" s="129" t="inlineStr">
        <is>
          <t>строительно-монтажные работы</t>
        </is>
      </c>
      <c r="D18" s="62">
        <f>'Прил.2 Расч стоим'!F14+'Прил.2 Расч стоим'!G14</f>
        <v/>
      </c>
      <c r="E18" s="62" t="n"/>
      <c r="F18" s="62" t="n"/>
      <c r="G18" s="117" t="n"/>
      <c r="H18" s="117" t="n"/>
      <c r="I18" s="117" t="n"/>
      <c r="J18" s="117" t="n"/>
      <c r="K18" s="117" t="n"/>
    </row>
    <row r="19">
      <c r="B19" s="64" t="inlineStr">
        <is>
          <t>6.2</t>
        </is>
      </c>
      <c r="C19" s="129" t="inlineStr">
        <is>
          <t>оборудование и инвентарь</t>
        </is>
      </c>
      <c r="D19" s="62">
        <f>'Прил.2 Расч стоим'!H14</f>
        <v/>
      </c>
      <c r="E19" s="62" t="n"/>
      <c r="F19" s="62" t="n"/>
      <c r="G19" s="117" t="n"/>
      <c r="H19" s="117" t="n"/>
      <c r="I19" s="117" t="n"/>
      <c r="J19" s="117" t="n"/>
      <c r="K19" s="117" t="n"/>
    </row>
    <row r="20">
      <c r="B20" s="64" t="inlineStr">
        <is>
          <t>6.3</t>
        </is>
      </c>
      <c r="C20" s="129" t="inlineStr">
        <is>
          <t>пусконаладочные работы</t>
        </is>
      </c>
      <c r="D20" s="62">
        <f>104918.2*D19/991165.92</f>
        <v/>
      </c>
      <c r="E20" s="175" t="n"/>
      <c r="F20" s="62" t="n"/>
      <c r="G20" s="117" t="n"/>
      <c r="H20" s="117" t="n"/>
      <c r="I20" s="117" t="n"/>
      <c r="J20" s="117" t="n"/>
      <c r="K20" s="117" t="n"/>
    </row>
    <row r="21" ht="31.5" customHeight="1" s="115">
      <c r="B21" s="64" t="inlineStr">
        <is>
          <t>6.4</t>
        </is>
      </c>
      <c r="C21" s="65" t="inlineStr">
        <is>
          <t>прочие и лимитированные затраты</t>
        </is>
      </c>
      <c r="D21" s="175">
        <f>D18*3.9%+(D18+D18*3.9%)*7%</f>
        <v/>
      </c>
      <c r="E21" s="175" t="n"/>
      <c r="F21" s="175" t="n"/>
      <c r="G21" s="117" t="n"/>
      <c r="H21" s="117" t="n"/>
      <c r="I21" s="117" t="n"/>
      <c r="J21" s="117" t="n"/>
      <c r="K21" s="117" t="n"/>
    </row>
    <row r="22">
      <c r="B22" s="138" t="n">
        <v>7</v>
      </c>
      <c r="C22" s="65" t="inlineStr">
        <is>
          <t>Сопоставимый уровень цен</t>
        </is>
      </c>
      <c r="D22" s="138" t="inlineStr">
        <is>
          <t>3 квартал 2021г</t>
        </is>
      </c>
      <c r="E22" s="138" t="n"/>
      <c r="F22" s="138" t="n"/>
      <c r="G22" s="63" t="n"/>
      <c r="H22" s="117" t="n"/>
      <c r="I22" s="117" t="n"/>
      <c r="J22" s="117" t="n"/>
      <c r="K22" s="117" t="n"/>
    </row>
    <row r="23" ht="119.25" customHeight="1" s="115">
      <c r="B23" s="138" t="n">
        <v>8</v>
      </c>
      <c r="C23" s="6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7">
        <f>D17</f>
        <v/>
      </c>
      <c r="E23" s="62" t="n"/>
      <c r="F23" s="62" t="n"/>
      <c r="G23" s="117" t="n"/>
      <c r="H23" s="117" t="n"/>
      <c r="I23" s="117" t="n"/>
      <c r="J23" s="117" t="n"/>
      <c r="K23" s="117" t="n"/>
    </row>
    <row r="24" ht="47.25" customHeight="1" s="115">
      <c r="B24" s="13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67">
        <f>D23/D15</f>
        <v/>
      </c>
      <c r="E24" s="67" t="n"/>
      <c r="F24" s="67" t="n"/>
      <c r="G24" s="63" t="n"/>
      <c r="H24" s="117" t="n"/>
      <c r="I24" s="117" t="n"/>
      <c r="J24" s="117" t="n"/>
      <c r="K24" s="117" t="n"/>
    </row>
    <row r="25">
      <c r="B25" s="138" t="n">
        <v>10</v>
      </c>
      <c r="C25" s="129" t="inlineStr">
        <is>
          <t>Примечание</t>
        </is>
      </c>
      <c r="D25" s="129" t="n"/>
      <c r="E25" s="78" t="n"/>
      <c r="F25" s="129" t="n"/>
      <c r="G25" s="117" t="n"/>
      <c r="H25" s="117" t="n"/>
      <c r="I25" s="117" t="n"/>
      <c r="J25" s="117" t="n"/>
      <c r="K25" s="117" t="n"/>
    </row>
    <row r="26">
      <c r="B26" s="167" t="n"/>
      <c r="C26" s="69" t="n"/>
      <c r="D26" s="69" t="n"/>
      <c r="E26" s="69" t="n"/>
      <c r="F26" s="69" t="n"/>
      <c r="G26" s="117" t="n"/>
      <c r="H26" s="117" t="n"/>
      <c r="I26" s="117" t="n"/>
      <c r="J26" s="117" t="n"/>
      <c r="K26" s="117" t="n"/>
    </row>
    <row r="27">
      <c r="B27" s="58" t="n"/>
      <c r="G27" s="117" t="n"/>
      <c r="H27" s="117" t="n"/>
      <c r="I27" s="117" t="n"/>
      <c r="J27" s="117" t="n"/>
      <c r="K27" s="117" t="n"/>
    </row>
    <row r="28">
      <c r="B28" s="117" t="inlineStr">
        <is>
          <t>Составил ______________________        Е.А. Князева</t>
        </is>
      </c>
      <c r="G28" s="117" t="n"/>
      <c r="H28" s="117" t="n"/>
      <c r="I28" s="117" t="n"/>
      <c r="J28" s="117" t="n"/>
      <c r="K28" s="117" t="n"/>
    </row>
    <row r="29" ht="22.5" customHeight="1" s="115">
      <c r="B29" s="79" t="inlineStr">
        <is>
          <t xml:space="preserve">                         (подпись, инициалы, фамилия)</t>
        </is>
      </c>
      <c r="G29" s="117" t="n"/>
      <c r="H29" s="117" t="n"/>
      <c r="I29" s="117" t="n"/>
      <c r="J29" s="117" t="n"/>
      <c r="K29" s="117" t="n"/>
    </row>
    <row r="30">
      <c r="G30" s="117" t="n"/>
      <c r="H30" s="117" t="n"/>
      <c r="I30" s="117" t="n"/>
      <c r="J30" s="117" t="n"/>
      <c r="K30" s="117" t="n"/>
    </row>
    <row r="31">
      <c r="B31" s="117" t="inlineStr">
        <is>
          <t>Проверил ______________________        А.В. Костянецкая</t>
        </is>
      </c>
      <c r="G31" s="117" t="n"/>
      <c r="H31" s="117" t="n"/>
      <c r="I31" s="117" t="n"/>
      <c r="J31" s="117" t="n"/>
      <c r="K31" s="117" t="n"/>
    </row>
    <row r="32" ht="22.5" customHeight="1" s="115">
      <c r="B32" s="79" t="inlineStr">
        <is>
          <t xml:space="preserve">                        (подпись, инициалы, фамилия)</t>
        </is>
      </c>
      <c r="G32" s="117" t="n"/>
      <c r="H32" s="117" t="n"/>
      <c r="I32" s="117" t="n"/>
      <c r="J32" s="117" t="n"/>
      <c r="K32" s="117" t="n"/>
    </row>
    <row r="33">
      <c r="G33" s="117" t="n"/>
      <c r="H33" s="117" t="n"/>
      <c r="I33" s="117" t="n"/>
      <c r="J33" s="117" t="n"/>
      <c r="K33" s="117" t="n"/>
    </row>
    <row r="34">
      <c r="G34" s="117" t="n"/>
      <c r="H34" s="117" t="n"/>
      <c r="I34" s="117" t="n"/>
      <c r="J34" s="117" t="n"/>
      <c r="K34" s="117" t="n"/>
    </row>
    <row r="35">
      <c r="G35" s="117" t="n"/>
      <c r="H35" s="117" t="n"/>
      <c r="I35" s="117" t="n"/>
      <c r="J35" s="117" t="n"/>
      <c r="K35" s="117" t="n"/>
    </row>
    <row r="36">
      <c r="G36" s="90" t="n"/>
      <c r="H36" s="117" t="n"/>
      <c r="I36" s="117" t="n"/>
      <c r="J36" s="117" t="n"/>
      <c r="K36" s="117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ColWidth="9.140625" defaultRowHeight="15"/>
  <cols>
    <col width="5.5703125" customWidth="1" style="115" min="1" max="1"/>
    <col width="35.28515625" customWidth="1" style="115" min="3" max="3"/>
    <col width="13.85546875" customWidth="1" style="115" min="4" max="4"/>
    <col width="24.85546875" customWidth="1" style="115" min="5" max="5"/>
    <col width="12.7109375" customWidth="1" style="115" min="6" max="6"/>
    <col width="14.85546875" customWidth="1" style="115" min="7" max="7"/>
    <col width="16.7109375" customWidth="1" style="115" min="8" max="8"/>
    <col width="13" customWidth="1" style="115" min="9" max="10"/>
  </cols>
  <sheetData>
    <row r="1" ht="15.75" customHeight="1" s="115">
      <c r="A1" s="117" t="n"/>
      <c r="B1" s="117" t="n"/>
      <c r="C1" s="117" t="n"/>
      <c r="D1" s="117" t="n"/>
      <c r="E1" s="117" t="n"/>
      <c r="F1" s="117" t="n"/>
      <c r="G1" s="117" t="n"/>
      <c r="H1" s="117" t="n"/>
      <c r="I1" s="117" t="n"/>
      <c r="J1" s="117" t="n"/>
    </row>
    <row r="2" ht="15.75" customHeight="1" s="115">
      <c r="A2" s="117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</row>
    <row r="3" ht="15.75" customHeight="1" s="115">
      <c r="A3" s="117" t="n"/>
      <c r="B3" s="134" t="inlineStr">
        <is>
          <t>Приложение № 2</t>
        </is>
      </c>
    </row>
    <row r="4" ht="15.75" customHeight="1" s="115">
      <c r="A4" s="117" t="n"/>
      <c r="B4" s="135" t="inlineStr">
        <is>
          <t>Расчет стоимости основных видов работ для выбора объекта-представителя</t>
        </is>
      </c>
    </row>
    <row r="5" ht="15.75" customHeight="1" s="115">
      <c r="A5" s="117" t="n"/>
      <c r="B5" s="59" t="n"/>
      <c r="C5" s="59" t="n"/>
      <c r="D5" s="59" t="n"/>
      <c r="E5" s="59" t="n"/>
      <c r="F5" s="59" t="n"/>
      <c r="G5" s="59" t="n"/>
      <c r="H5" s="59" t="n"/>
      <c r="I5" s="59" t="n"/>
      <c r="J5" s="59" t="n"/>
    </row>
    <row r="6" ht="15.75" customHeight="1" s="115">
      <c r="A6" s="117" t="n"/>
      <c r="B6" s="136">
        <f>'Прил.1 Сравнит табл'!B7</f>
        <v/>
      </c>
    </row>
    <row r="7" ht="15.75" customHeight="1" s="115">
      <c r="A7" s="117" t="n"/>
      <c r="B7" s="133">
        <f>'Прил.1 Сравнит табл'!B9</f>
        <v/>
      </c>
    </row>
    <row r="8" ht="15.75" customHeight="1" s="115">
      <c r="A8" s="117" t="n"/>
      <c r="B8" s="133" t="n"/>
      <c r="C8" s="117" t="n"/>
      <c r="D8" s="117" t="n"/>
      <c r="E8" s="117" t="n"/>
      <c r="F8" s="117" t="n"/>
      <c r="G8" s="117" t="n"/>
      <c r="H8" s="117" t="n"/>
      <c r="I8" s="117" t="n"/>
      <c r="J8" s="117" t="n"/>
    </row>
    <row r="9" ht="15.75" customHeight="1" s="115">
      <c r="A9" s="117" t="n"/>
      <c r="B9" s="138" t="inlineStr">
        <is>
          <t>№ п/п</t>
        </is>
      </c>
      <c r="C9" s="1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8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 s="115">
      <c r="A10" s="117" t="n"/>
      <c r="B10" s="178" t="n"/>
      <c r="C10" s="178" t="n"/>
      <c r="D10" s="138" t="inlineStr">
        <is>
          <t>Номер сметы</t>
        </is>
      </c>
      <c r="E10" s="138" t="inlineStr">
        <is>
          <t>Наименование сметы</t>
        </is>
      </c>
      <c r="F10" s="138" t="inlineStr">
        <is>
          <t>Сметная стоимость в уровне цен 3 квартал 2021г, тыс. руб.</t>
        </is>
      </c>
      <c r="G10" s="176" t="n"/>
      <c r="H10" s="176" t="n"/>
      <c r="I10" s="176" t="n"/>
      <c r="J10" s="177" t="n"/>
    </row>
    <row r="11" ht="63.75" customHeight="1" s="115">
      <c r="A11" s="117" t="n"/>
      <c r="B11" s="179" t="n"/>
      <c r="C11" s="179" t="n"/>
      <c r="D11" s="179" t="n"/>
      <c r="E11" s="179" t="n"/>
      <c r="F11" s="138" t="inlineStr">
        <is>
          <t>Строительные работы</t>
        </is>
      </c>
      <c r="G11" s="138" t="inlineStr">
        <is>
          <t>Монтажные работы</t>
        </is>
      </c>
      <c r="H11" s="138" t="inlineStr">
        <is>
          <t>Оборудование</t>
        </is>
      </c>
      <c r="I11" s="138" t="inlineStr">
        <is>
          <t>Прочее</t>
        </is>
      </c>
      <c r="J11" s="138" t="inlineStr">
        <is>
          <t>Всего</t>
        </is>
      </c>
    </row>
    <row r="12" ht="47.25" customHeight="1" s="115">
      <c r="A12" s="117" t="n"/>
      <c r="B12" s="78" t="n">
        <v>1</v>
      </c>
      <c r="C12" s="129" t="inlineStr">
        <is>
          <t>Монтаж вент. систем</t>
        </is>
      </c>
      <c r="D12" s="96" t="inlineStr">
        <is>
          <t>02-07-08</t>
        </is>
      </c>
      <c r="E12" s="129" t="inlineStr">
        <is>
          <t>ПС 220 кВ Налдинская. Здание ОПУ. Вентиляция</t>
        </is>
      </c>
      <c r="F12" s="180" t="n">
        <v>3492.207</v>
      </c>
      <c r="G12" s="180" t="n">
        <v>134.979</v>
      </c>
      <c r="H12" s="180" t="n">
        <v>3071.694</v>
      </c>
      <c r="I12" s="180" t="n"/>
      <c r="J12" s="181">
        <f>SUM(F12:I12)</f>
        <v/>
      </c>
    </row>
    <row r="13" ht="47.25" customHeight="1" s="115">
      <c r="A13" s="117" t="n"/>
      <c r="B13" s="78" t="n">
        <v>2</v>
      </c>
      <c r="C13" s="129" t="inlineStr">
        <is>
          <t xml:space="preserve">Монтаж кабелей </t>
        </is>
      </c>
      <c r="D13" s="96" t="inlineStr">
        <is>
          <t>02-07-10</t>
        </is>
      </c>
      <c r="E13" s="129" t="inlineStr">
        <is>
          <t>ОПУ. Электротехнические решения</t>
        </is>
      </c>
      <c r="F13" s="180" t="n"/>
      <c r="G13" s="180" t="n">
        <v>1520.984</v>
      </c>
      <c r="H13" s="180" t="n"/>
      <c r="I13" s="180" t="n"/>
      <c r="J13" s="181">
        <f>SUM(F13:I13)</f>
        <v/>
      </c>
    </row>
    <row r="14" ht="15" customHeight="1" s="115">
      <c r="A14" s="117" t="n"/>
      <c r="B14" s="137" t="inlineStr">
        <is>
          <t>Всего по объекту:</t>
        </is>
      </c>
      <c r="C14" s="176" t="n"/>
      <c r="D14" s="176" t="n"/>
      <c r="E14" s="177" t="n"/>
      <c r="F14" s="182">
        <f>SUM(F12:F13)</f>
        <v/>
      </c>
      <c r="G14" s="182">
        <f>SUM(G12:G13)</f>
        <v/>
      </c>
      <c r="H14" s="182">
        <f>SUM(H12:H13)</f>
        <v/>
      </c>
      <c r="I14" s="182">
        <f>SUM(I12:I13)</f>
        <v/>
      </c>
      <c r="J14" s="182">
        <f>SUM(F14:I14)</f>
        <v/>
      </c>
    </row>
    <row r="15" ht="15.75" customHeight="1" s="115">
      <c r="A15" s="117" t="n"/>
      <c r="B15" s="137" t="inlineStr">
        <is>
          <t>Всего по объекту в сопоставимом уровне цен 3 квартал 2021г:</t>
        </is>
      </c>
      <c r="C15" s="176" t="n"/>
      <c r="D15" s="176" t="n"/>
      <c r="E15" s="177" t="n"/>
      <c r="F15" s="182">
        <f>F14</f>
        <v/>
      </c>
      <c r="G15" s="182">
        <f>G14</f>
        <v/>
      </c>
      <c r="H15" s="182">
        <f>H14</f>
        <v/>
      </c>
      <c r="I15" s="182">
        <f>I14</f>
        <v/>
      </c>
      <c r="J15" s="182">
        <f>SUM(F15:I15)</f>
        <v/>
      </c>
    </row>
    <row r="16" ht="15.75" customHeight="1" s="115">
      <c r="A16" s="117" t="n"/>
      <c r="B16" s="133" t="n"/>
      <c r="C16" s="117" t="n"/>
      <c r="D16" s="117" t="n"/>
      <c r="E16" s="117" t="n"/>
      <c r="F16" s="117" t="n"/>
      <c r="G16" s="117" t="n"/>
      <c r="H16" s="117" t="n"/>
      <c r="I16" s="117" t="n"/>
      <c r="J16" s="117" t="n"/>
    </row>
    <row r="17" ht="15.75" customHeight="1" s="115">
      <c r="A17" s="117" t="n"/>
      <c r="B17" s="117" t="n"/>
      <c r="C17" s="117" t="n"/>
      <c r="D17" s="117" t="n"/>
      <c r="E17" s="117" t="n"/>
      <c r="F17" s="117" t="n"/>
      <c r="G17" s="117" t="n"/>
      <c r="H17" s="117" t="n"/>
      <c r="I17" s="117" t="n"/>
      <c r="J17" s="117" t="n"/>
    </row>
    <row r="18" ht="15.75" customHeight="1" s="115">
      <c r="A18" s="117" t="n"/>
      <c r="B18" s="117" t="n"/>
      <c r="C18" s="117" t="n"/>
      <c r="D18" s="117" t="n"/>
      <c r="E18" s="117" t="n"/>
      <c r="F18" s="117" t="n"/>
      <c r="G18" s="117" t="n"/>
      <c r="H18" s="117" t="n"/>
      <c r="I18" s="117" t="n"/>
      <c r="J18" s="117" t="n"/>
    </row>
    <row r="19" ht="15.75" customHeight="1" s="115">
      <c r="A19" s="117" t="n"/>
      <c r="B19" s="117" t="inlineStr">
        <is>
          <t>Составил ______________________        Е.А. Князева</t>
        </is>
      </c>
      <c r="C19" s="117" t="n"/>
      <c r="D19" s="117" t="n"/>
      <c r="E19" s="117" t="n"/>
      <c r="F19" s="117" t="n"/>
      <c r="G19" s="117" t="n"/>
      <c r="H19" s="117" t="n"/>
      <c r="I19" s="117" t="n"/>
      <c r="J19" s="117" t="n"/>
    </row>
    <row r="20" ht="22.5" customHeight="1" s="115">
      <c r="A20" s="117" t="n"/>
      <c r="B20" s="79" t="inlineStr">
        <is>
          <t xml:space="preserve">                         (подпись, инициалы, фамилия)</t>
        </is>
      </c>
      <c r="C20" s="117" t="n"/>
      <c r="D20" s="117" t="n"/>
      <c r="E20" s="117" t="n"/>
      <c r="F20" s="117" t="n"/>
      <c r="G20" s="117" t="n"/>
      <c r="H20" s="117" t="n"/>
      <c r="I20" s="117" t="n"/>
      <c r="J20" s="117" t="n"/>
    </row>
    <row r="21" ht="15.75" customHeight="1" s="115">
      <c r="A21" s="117" t="n"/>
      <c r="B21" s="117" t="n"/>
      <c r="C21" s="117" t="n"/>
      <c r="D21" s="117" t="n"/>
      <c r="E21" s="117" t="n"/>
      <c r="F21" s="117" t="n"/>
      <c r="G21" s="117" t="n"/>
      <c r="H21" s="117" t="n"/>
      <c r="I21" s="117" t="n"/>
      <c r="J21" s="117" t="n"/>
    </row>
    <row r="22" ht="15.75" customHeight="1" s="115">
      <c r="A22" s="117" t="n"/>
      <c r="B22" s="117" t="inlineStr">
        <is>
          <t>Проверил ______________________        А.В. Костянецкая</t>
        </is>
      </c>
      <c r="C22" s="117" t="n"/>
      <c r="D22" s="117" t="n"/>
      <c r="E22" s="117" t="n"/>
      <c r="F22" s="117" t="n"/>
      <c r="G22" s="117" t="n"/>
      <c r="H22" s="117" t="n"/>
      <c r="I22" s="117" t="n"/>
      <c r="J22" s="117" t="n"/>
    </row>
    <row r="23" ht="22.5" customHeight="1" s="115">
      <c r="A23" s="117" t="n"/>
      <c r="B23" s="79" t="inlineStr">
        <is>
          <t xml:space="preserve">                        (подпись, инициалы, фамилия)</t>
        </is>
      </c>
      <c r="C23" s="117" t="n"/>
      <c r="D23" s="117" t="n"/>
      <c r="E23" s="117" t="n"/>
      <c r="F23" s="117" t="n"/>
      <c r="G23" s="117" t="n"/>
      <c r="H23" s="117" t="n"/>
      <c r="I23" s="117" t="n"/>
      <c r="J23" s="117" t="n"/>
    </row>
  </sheetData>
  <mergeCells count="12">
    <mergeCell ref="B7:J7"/>
    <mergeCell ref="B3:J3"/>
    <mergeCell ref="D10:D11"/>
    <mergeCell ref="D9:J9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184" zoomScale="70" workbookViewId="0">
      <selection activeCell="C196" sqref="C196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16.140625" customWidth="1" style="117" min="7" max="7"/>
    <col width="16.7109375" customWidth="1" style="117" min="8" max="8"/>
    <col width="9.140625" customWidth="1" style="117" min="9" max="9"/>
    <col width="19.42578125" customWidth="1" style="117" min="10" max="10"/>
    <col width="13" customWidth="1" style="115" min="11" max="11"/>
  </cols>
  <sheetData>
    <row r="1">
      <c r="K1" s="117" t="n"/>
    </row>
    <row r="2">
      <c r="A2" s="134" t="inlineStr">
        <is>
          <t xml:space="preserve">Приложение № 3 </t>
        </is>
      </c>
      <c r="K2" s="117" t="n"/>
    </row>
    <row r="3">
      <c r="A3" s="135" t="inlineStr">
        <is>
          <t>Объектная ресурсная ведомость</t>
        </is>
      </c>
      <c r="K3" s="117" t="n"/>
    </row>
    <row r="4" ht="18.75" customHeight="1" s="115">
      <c r="A4" s="133" t="n"/>
      <c r="K4" s="117" t="n"/>
    </row>
    <row r="5">
      <c r="A5" s="136">
        <f>'Прил.1 Сравнит табл'!B7</f>
        <v/>
      </c>
      <c r="K5" s="117" t="n"/>
    </row>
    <row r="6" s="115">
      <c r="A6" s="136" t="n"/>
      <c r="B6" s="136" t="n"/>
      <c r="C6" s="136" t="n"/>
      <c r="D6" s="136" t="n"/>
      <c r="E6" s="136" t="n"/>
      <c r="F6" s="136" t="n"/>
      <c r="G6" s="136" t="n"/>
      <c r="H6" s="136" t="n"/>
      <c r="I6" s="117" t="n"/>
      <c r="J6" s="117" t="n"/>
      <c r="K6" s="117" t="n"/>
    </row>
    <row r="7" s="115">
      <c r="A7" s="136" t="n"/>
      <c r="B7" s="136" t="n"/>
      <c r="C7" s="136" t="n"/>
      <c r="D7" s="136" t="n"/>
      <c r="E7" s="136" t="n"/>
      <c r="F7" s="136" t="n"/>
      <c r="G7" s="136" t="n"/>
      <c r="H7" s="136" t="n"/>
      <c r="I7" s="117" t="n"/>
      <c r="J7" s="117" t="n"/>
      <c r="K7" s="117" t="n"/>
    </row>
    <row r="8" s="115">
      <c r="A8" s="136" t="n"/>
      <c r="B8" s="136" t="n"/>
      <c r="C8" s="136" t="n"/>
      <c r="D8" s="136" t="n"/>
      <c r="E8" s="136" t="n"/>
      <c r="F8" s="136" t="n"/>
      <c r="G8" s="136" t="n"/>
      <c r="H8" s="136" t="n"/>
      <c r="I8" s="117" t="n"/>
      <c r="J8" s="117" t="n"/>
      <c r="K8" s="117" t="n"/>
    </row>
    <row r="9" ht="15.75" customHeight="1" s="115">
      <c r="A9" s="138" t="inlineStr">
        <is>
          <t>п/п</t>
        </is>
      </c>
      <c r="B9" s="138" t="inlineStr">
        <is>
          <t>№ЛСР</t>
        </is>
      </c>
      <c r="C9" s="138" t="inlineStr">
        <is>
          <t>Код ресурса</t>
        </is>
      </c>
      <c r="D9" s="138" t="inlineStr">
        <is>
          <t>Наименование ресурса</t>
        </is>
      </c>
      <c r="E9" s="138" t="inlineStr">
        <is>
          <t>Ед. изм.</t>
        </is>
      </c>
      <c r="F9" s="138" t="inlineStr">
        <is>
          <t>Кол-во единиц по данным объекта-представителя</t>
        </is>
      </c>
      <c r="G9" s="138" t="inlineStr">
        <is>
          <t>Сметная стоимость в ценах на 01.01.2000 (руб.)</t>
        </is>
      </c>
      <c r="H9" s="177" t="n"/>
      <c r="K9" s="117" t="n"/>
    </row>
    <row r="10">
      <c r="A10" s="179" t="n"/>
      <c r="B10" s="179" t="n"/>
      <c r="C10" s="179" t="n"/>
      <c r="D10" s="179" t="n"/>
      <c r="E10" s="179" t="n"/>
      <c r="F10" s="179" t="n"/>
      <c r="G10" s="138" t="inlineStr">
        <is>
          <t>на ед.изм.</t>
        </is>
      </c>
      <c r="H10" s="138" t="inlineStr">
        <is>
          <t>общая</t>
        </is>
      </c>
      <c r="K10" s="117" t="n"/>
    </row>
    <row r="11">
      <c r="A11" s="70" t="n">
        <v>1</v>
      </c>
      <c r="B11" s="70" t="n"/>
      <c r="C11" s="70" t="n">
        <v>2</v>
      </c>
      <c r="D11" s="70" t="inlineStr">
        <is>
          <t>З</t>
        </is>
      </c>
      <c r="E11" s="70" t="n">
        <v>4</v>
      </c>
      <c r="F11" s="70" t="n">
        <v>5</v>
      </c>
      <c r="G11" s="70" t="n">
        <v>6</v>
      </c>
      <c r="H11" s="70" t="n">
        <v>7</v>
      </c>
      <c r="K11" s="117" t="n"/>
    </row>
    <row r="12">
      <c r="A12" s="139" t="inlineStr">
        <is>
          <t>Затраты труда рабочих</t>
        </is>
      </c>
      <c r="B12" s="176" t="n"/>
      <c r="C12" s="176" t="n"/>
      <c r="D12" s="176" t="n"/>
      <c r="E12" s="177" t="n"/>
      <c r="F12" s="71" t="n">
        <v>1218.696194</v>
      </c>
      <c r="G12" s="71" t="n"/>
      <c r="H12" s="71">
        <f>SUM(H13:H28)</f>
        <v/>
      </c>
      <c r="I12" s="106" t="n"/>
      <c r="J12" s="106" t="n"/>
      <c r="K12" s="106" t="n"/>
    </row>
    <row r="13">
      <c r="A13" s="140" t="n">
        <v>1</v>
      </c>
      <c r="B13" s="93" t="n"/>
      <c r="C13" s="74" t="inlineStr">
        <is>
          <t>1-3-2</t>
        </is>
      </c>
      <c r="D13" s="141" t="inlineStr">
        <is>
          <t>Затраты труда рабочих (ср 3,2)</t>
        </is>
      </c>
      <c r="E13" s="140" t="inlineStr">
        <is>
          <t>чел.-ч</t>
        </is>
      </c>
      <c r="F13" s="140" t="n">
        <v>427.794146</v>
      </c>
      <c r="G13" s="76" t="n">
        <v>8.74</v>
      </c>
      <c r="H13" s="76">
        <f>ROUND(F13*G13,2)</f>
        <v/>
      </c>
      <c r="K13" s="117" t="n"/>
    </row>
    <row r="14" ht="15" customHeight="1" s="115">
      <c r="A14" s="140" t="n">
        <v>2</v>
      </c>
      <c r="B14" s="93" t="n"/>
      <c r="C14" s="74" t="inlineStr">
        <is>
          <t>1-3-8</t>
        </is>
      </c>
      <c r="D14" s="141" t="inlineStr">
        <is>
          <t>Затраты труда рабочих (ср 3,8)</t>
        </is>
      </c>
      <c r="E14" s="140" t="inlineStr">
        <is>
          <t>чел.-ч</t>
        </is>
      </c>
      <c r="F14" s="140" t="n">
        <v>232.473072</v>
      </c>
      <c r="G14" s="76" t="n">
        <v>9.4</v>
      </c>
      <c r="H14" s="76">
        <f>ROUND(F14*G14,2)</f>
        <v/>
      </c>
      <c r="K14" s="117" t="n"/>
    </row>
    <row r="15">
      <c r="A15" s="140" t="n">
        <v>3</v>
      </c>
      <c r="B15" s="93" t="n"/>
      <c r="C15" s="74" t="inlineStr">
        <is>
          <t>1-3-6</t>
        </is>
      </c>
      <c r="D15" s="141" t="inlineStr">
        <is>
          <t>Затраты труда рабочих (ср 3,6)</t>
        </is>
      </c>
      <c r="E15" s="140" t="inlineStr">
        <is>
          <t>чел.-ч</t>
        </is>
      </c>
      <c r="F15" s="140" t="n">
        <v>127.183</v>
      </c>
      <c r="G15" s="76" t="n">
        <v>9.18</v>
      </c>
      <c r="H15" s="76">
        <f>ROUND(F15*G15,2)</f>
        <v/>
      </c>
      <c r="K15" s="117" t="n"/>
    </row>
    <row r="16">
      <c r="A16" s="140" t="n">
        <v>4</v>
      </c>
      <c r="B16" s="93" t="n"/>
      <c r="C16" s="74" t="inlineStr">
        <is>
          <t>1-3-1</t>
        </is>
      </c>
      <c r="D16" s="141" t="inlineStr">
        <is>
          <t>Затраты труда рабочих (ср 3,1)</t>
        </is>
      </c>
      <c r="E16" s="140" t="inlineStr">
        <is>
          <t>чел.-ч</t>
        </is>
      </c>
      <c r="F16" s="140" t="n">
        <v>114.41508</v>
      </c>
      <c r="G16" s="76" t="n">
        <v>8.640000000000001</v>
      </c>
      <c r="H16" s="76">
        <f>ROUND(F16*G16,2)</f>
        <v/>
      </c>
      <c r="K16" s="117" t="n"/>
    </row>
    <row r="17">
      <c r="A17" s="140" t="n">
        <v>5</v>
      </c>
      <c r="B17" s="93" t="n"/>
      <c r="C17" s="74" t="inlineStr">
        <is>
          <t>1-3-7</t>
        </is>
      </c>
      <c r="D17" s="141" t="inlineStr">
        <is>
          <t>Затраты труда рабочих (ср 3,7)</t>
        </is>
      </c>
      <c r="E17" s="140" t="inlineStr">
        <is>
          <t>чел.-ч</t>
        </is>
      </c>
      <c r="F17" s="140" t="n">
        <v>55.62</v>
      </c>
      <c r="G17" s="76" t="n">
        <v>9.289999999999999</v>
      </c>
      <c r="H17" s="76">
        <f>ROUND(F17*G17,2)</f>
        <v/>
      </c>
      <c r="K17" s="117" t="n"/>
    </row>
    <row r="18">
      <c r="A18" s="140" t="n">
        <v>6</v>
      </c>
      <c r="B18" s="93" t="n"/>
      <c r="C18" s="74" t="inlineStr">
        <is>
          <t>1-3-0</t>
        </is>
      </c>
      <c r="D18" s="141" t="inlineStr">
        <is>
          <t>Затраты труда рабочих (ср 3)</t>
        </is>
      </c>
      <c r="E18" s="140" t="inlineStr">
        <is>
          <t>чел.-ч</t>
        </is>
      </c>
      <c r="F18" s="140" t="n">
        <v>48.3215</v>
      </c>
      <c r="G18" s="76" t="n">
        <v>8.529999999999999</v>
      </c>
      <c r="H18" s="76">
        <f>ROUND(F18*G18,2)</f>
        <v/>
      </c>
      <c r="K18" s="117" t="n"/>
    </row>
    <row r="19">
      <c r="A19" s="140" t="n">
        <v>7</v>
      </c>
      <c r="B19" s="93" t="n"/>
      <c r="C19" s="74" t="inlineStr">
        <is>
          <t>1-2-4</t>
        </is>
      </c>
      <c r="D19" s="141" t="inlineStr">
        <is>
          <t>Затраты труда рабочих (ср 2,4)</t>
        </is>
      </c>
      <c r="E19" s="140" t="inlineStr">
        <is>
          <t>чел.-ч</t>
        </is>
      </c>
      <c r="F19" s="140" t="n">
        <v>37.00824</v>
      </c>
      <c r="G19" s="76" t="n">
        <v>8.09</v>
      </c>
      <c r="H19" s="76">
        <f>ROUND(F19*G19,2)</f>
        <v/>
      </c>
      <c r="K19" s="117" t="n"/>
    </row>
    <row r="20">
      <c r="A20" s="140" t="n">
        <v>8</v>
      </c>
      <c r="B20" s="93" t="n"/>
      <c r="C20" s="74" t="inlineStr">
        <is>
          <t>1-4-1</t>
        </is>
      </c>
      <c r="D20" s="141" t="inlineStr">
        <is>
          <t>Затраты труда рабочих (ср 4,1)</t>
        </is>
      </c>
      <c r="E20" s="140" t="inlineStr">
        <is>
          <t>чел.-ч</t>
        </is>
      </c>
      <c r="F20" s="140" t="n">
        <v>32.347656</v>
      </c>
      <c r="G20" s="76" t="n">
        <v>9.76</v>
      </c>
      <c r="H20" s="76">
        <f>ROUND(F20*G20,2)</f>
        <v/>
      </c>
      <c r="K20" s="117" t="n"/>
    </row>
    <row r="21">
      <c r="A21" s="140" t="n">
        <v>9</v>
      </c>
      <c r="B21" s="93" t="n"/>
      <c r="C21" s="74" t="inlineStr">
        <is>
          <t>1-4-0</t>
        </is>
      </c>
      <c r="D21" s="141" t="inlineStr">
        <is>
          <t>Затраты труда рабочих (ср 4)</t>
        </is>
      </c>
      <c r="E21" s="140" t="inlineStr">
        <is>
          <t>чел.-ч</t>
        </is>
      </c>
      <c r="F21" s="140" t="n">
        <v>32.0815</v>
      </c>
      <c r="G21" s="76" t="n">
        <v>9.619999999999999</v>
      </c>
      <c r="H21" s="76">
        <f>ROUND(F21*G21,2)</f>
        <v/>
      </c>
      <c r="K21" s="117" t="n"/>
      <c r="L21" s="25" t="n"/>
    </row>
    <row r="22">
      <c r="A22" s="140" t="n">
        <v>10</v>
      </c>
      <c r="B22" s="93" t="n"/>
      <c r="C22" s="74" t="inlineStr">
        <is>
          <t>1-3-3</t>
        </is>
      </c>
      <c r="D22" s="141" t="inlineStr">
        <is>
          <t>Затраты труда рабочих (ср 3,3)</t>
        </is>
      </c>
      <c r="E22" s="140" t="inlineStr">
        <is>
          <t>чел.-ч</t>
        </is>
      </c>
      <c r="F22" s="140" t="n">
        <v>26.857</v>
      </c>
      <c r="G22" s="76" t="n">
        <v>8.859999999999999</v>
      </c>
      <c r="H22" s="76">
        <f>ROUND(F22*G22,2)</f>
        <v/>
      </c>
      <c r="K22" s="117" t="n"/>
    </row>
    <row r="23">
      <c r="A23" s="140" t="n">
        <v>11</v>
      </c>
      <c r="B23" s="93" t="n"/>
      <c r="C23" s="74" t="inlineStr">
        <is>
          <t>1-3-4</t>
        </is>
      </c>
      <c r="D23" s="141" t="inlineStr">
        <is>
          <t>Затраты труда рабочих (ср 3,4)</t>
        </is>
      </c>
      <c r="E23" s="140" t="inlineStr">
        <is>
          <t>чел.-ч</t>
        </is>
      </c>
      <c r="F23" s="140" t="n">
        <v>22.151</v>
      </c>
      <c r="G23" s="76" t="n">
        <v>8.970000000000001</v>
      </c>
      <c r="H23" s="76">
        <f>ROUND(F23*G23,2)</f>
        <v/>
      </c>
      <c r="K23" s="117" t="n"/>
    </row>
    <row r="24">
      <c r="A24" s="140" t="n">
        <v>12</v>
      </c>
      <c r="B24" s="93" t="n"/>
      <c r="C24" s="74" t="inlineStr">
        <is>
          <t>1-4-7</t>
        </is>
      </c>
      <c r="D24" s="141" t="inlineStr">
        <is>
          <t>Затраты труда рабочих (ср 4,7)</t>
        </is>
      </c>
      <c r="E24" s="140" t="inlineStr">
        <is>
          <t>чел.-ч</t>
        </is>
      </c>
      <c r="F24" s="140" t="n">
        <v>16.992</v>
      </c>
      <c r="G24" s="76" t="n">
        <v>10.65</v>
      </c>
      <c r="H24" s="76">
        <f>ROUND(F24*G24,2)</f>
        <v/>
      </c>
      <c r="K24" s="117" t="n"/>
    </row>
    <row r="25">
      <c r="A25" s="140" t="n">
        <v>13</v>
      </c>
      <c r="B25" s="93" t="n"/>
      <c r="C25" s="74" t="inlineStr">
        <is>
          <t>1-3-5</t>
        </is>
      </c>
      <c r="D25" s="141" t="inlineStr">
        <is>
          <t>Затраты труда рабочих (ср 3,5)</t>
        </is>
      </c>
      <c r="E25" s="140" t="inlineStr">
        <is>
          <t>чел.-ч</t>
        </is>
      </c>
      <c r="F25" s="140" t="n">
        <v>16.128</v>
      </c>
      <c r="G25" s="76" t="n">
        <v>9.07</v>
      </c>
      <c r="H25" s="76">
        <f>ROUND(F25*G25,2)</f>
        <v/>
      </c>
      <c r="K25" s="117" t="n"/>
    </row>
    <row r="26" ht="15" customHeight="1" s="115">
      <c r="A26" s="140" t="n">
        <v>14</v>
      </c>
      <c r="B26" s="93" t="n"/>
      <c r="C26" s="74" t="inlineStr">
        <is>
          <t>1-4-9</t>
        </is>
      </c>
      <c r="D26" s="141" t="inlineStr">
        <is>
          <t>Затраты труда рабочих (ср 4,9)</t>
        </is>
      </c>
      <c r="E26" s="140" t="inlineStr">
        <is>
          <t>чел.-ч</t>
        </is>
      </c>
      <c r="F26" s="140" t="n">
        <v>12.544</v>
      </c>
      <c r="G26" s="76" t="n">
        <v>10.94</v>
      </c>
      <c r="H26" s="76">
        <f>ROUND(F26*G26,2)</f>
        <v/>
      </c>
      <c r="K26" s="117" t="n"/>
    </row>
    <row r="27">
      <c r="A27" s="140" t="n">
        <v>15</v>
      </c>
      <c r="B27" s="93" t="n"/>
      <c r="C27" s="74" t="inlineStr">
        <is>
          <t>1-4-2</t>
        </is>
      </c>
      <c r="D27" s="141" t="inlineStr">
        <is>
          <t>Затраты труда рабочих (ср 4,2)</t>
        </is>
      </c>
      <c r="E27" s="140" t="inlineStr">
        <is>
          <t>чел.-ч</t>
        </is>
      </c>
      <c r="F27" s="140" t="n">
        <v>10.9</v>
      </c>
      <c r="G27" s="76" t="n">
        <v>9.92</v>
      </c>
      <c r="H27" s="76">
        <f>ROUND(F27*G27,2)</f>
        <v/>
      </c>
      <c r="K27" s="117" t="n"/>
      <c r="L27" s="25" t="n"/>
    </row>
    <row r="28" ht="15" customHeight="1" s="115">
      <c r="A28" s="140" t="n">
        <v>16</v>
      </c>
      <c r="B28" s="93" t="n"/>
      <c r="C28" s="74" t="inlineStr">
        <is>
          <t>1-4-4</t>
        </is>
      </c>
      <c r="D28" s="141" t="inlineStr">
        <is>
          <t>Затраты труда рабочих (ср 4,4)</t>
        </is>
      </c>
      <c r="E28" s="140" t="inlineStr">
        <is>
          <t>чел.-ч</t>
        </is>
      </c>
      <c r="F28" s="140" t="n">
        <v>5.88</v>
      </c>
      <c r="G28" s="76" t="n">
        <v>10.21</v>
      </c>
      <c r="H28" s="76">
        <f>ROUND(F28*G28,2)</f>
        <v/>
      </c>
      <c r="K28" s="117" t="n"/>
    </row>
    <row r="29">
      <c r="A29" s="139" t="inlineStr">
        <is>
          <t>Затраты труда машинистов</t>
        </is>
      </c>
      <c r="B29" s="176" t="n"/>
      <c r="C29" s="176" t="n"/>
      <c r="D29" s="176" t="n"/>
      <c r="E29" s="177" t="n"/>
      <c r="F29" s="139" t="n">
        <v>27.6704227</v>
      </c>
      <c r="G29" s="71" t="n"/>
      <c r="H29" s="71">
        <f>H30</f>
        <v/>
      </c>
      <c r="K29" s="117" t="n"/>
    </row>
    <row r="30">
      <c r="A30" s="140" t="n">
        <v>17</v>
      </c>
      <c r="B30" s="118" t="n"/>
      <c r="C30" s="86" t="n">
        <v>2</v>
      </c>
      <c r="D30" s="141" t="inlineStr">
        <is>
          <t>Затраты труда машинистов</t>
        </is>
      </c>
      <c r="E30" s="140" t="inlineStr">
        <is>
          <t>чел.-ч</t>
        </is>
      </c>
      <c r="F30" s="140" t="n">
        <v>27.6704227</v>
      </c>
      <c r="G30" s="76" t="n"/>
      <c r="H30" s="76" t="n">
        <v>343.61</v>
      </c>
      <c r="K30" s="117" t="n"/>
    </row>
    <row r="31">
      <c r="A31" s="139" t="inlineStr">
        <is>
          <t>Машины и механизмы</t>
        </is>
      </c>
      <c r="B31" s="176" t="n"/>
      <c r="C31" s="176" t="n"/>
      <c r="D31" s="176" t="n"/>
      <c r="E31" s="177" t="n"/>
      <c r="F31" s="139" t="n"/>
      <c r="G31" s="71" t="n"/>
      <c r="H31" s="71">
        <f>SUM(H32:H47)</f>
        <v/>
      </c>
      <c r="I31" s="106" t="n"/>
      <c r="J31" s="106" t="n"/>
      <c r="K31" s="106" t="n"/>
    </row>
    <row r="32" ht="31.5" customHeight="1" s="115">
      <c r="A32" s="140" t="n">
        <v>18</v>
      </c>
      <c r="B32" s="118" t="n"/>
      <c r="C32" s="141" t="inlineStr">
        <is>
          <t>91.05.05-015</t>
        </is>
      </c>
      <c r="D32" s="141" t="inlineStr">
        <is>
          <t>Краны на автомобильном ходу, грузоподъемность 16 т</t>
        </is>
      </c>
      <c r="E32" s="140" t="inlineStr">
        <is>
          <t>маш.час</t>
        </is>
      </c>
      <c r="F32" s="140" t="n">
        <v>11.8598206</v>
      </c>
      <c r="G32" s="76" t="n">
        <v>115.4</v>
      </c>
      <c r="H32" s="76">
        <f>ROUND(F32*G32,2)</f>
        <v/>
      </c>
      <c r="K32" s="117" t="n"/>
    </row>
    <row r="33" ht="31.5" customHeight="1" s="115">
      <c r="A33" s="140" t="n">
        <v>19</v>
      </c>
      <c r="B33" s="118" t="n"/>
      <c r="C33" s="141" t="inlineStr">
        <is>
          <t>91.14.02-001</t>
        </is>
      </c>
      <c r="D33" s="141" t="inlineStr">
        <is>
          <t>Автомобили бортовые, грузоподъемность до 5 т</t>
        </is>
      </c>
      <c r="E33" s="140" t="inlineStr">
        <is>
          <t>маш.час</t>
        </is>
      </c>
      <c r="F33" s="140" t="n">
        <v>15.6826023</v>
      </c>
      <c r="G33" s="76" t="n">
        <v>65.70999999999999</v>
      </c>
      <c r="H33" s="76">
        <f>ROUND(F33*G33,2)</f>
        <v/>
      </c>
      <c r="I33" s="106" t="n"/>
      <c r="J33" s="106" t="n"/>
      <c r="K33" s="106" t="n"/>
    </row>
    <row r="34" ht="31.5" customHeight="1" s="115">
      <c r="A34" s="140" t="n">
        <v>20</v>
      </c>
      <c r="B34" s="118" t="n"/>
      <c r="C34" s="141" t="inlineStr">
        <is>
          <t>91.17.04-233</t>
        </is>
      </c>
      <c r="D34" s="141" t="inlineStr">
        <is>
          <t>Установки для сварки ручной дуговой (постоянного тока)</t>
        </is>
      </c>
      <c r="E34" s="140" t="inlineStr">
        <is>
          <t>маш.час</t>
        </is>
      </c>
      <c r="F34" s="140" t="n">
        <v>37.6062814</v>
      </c>
      <c r="G34" s="76" t="n">
        <v>8.1</v>
      </c>
      <c r="H34" s="76">
        <f>ROUND(F34*G34,2)</f>
        <v/>
      </c>
      <c r="K34" s="117" t="n"/>
    </row>
    <row r="35" ht="31.5" customHeight="1" s="115">
      <c r="A35" s="140" t="n">
        <v>21</v>
      </c>
      <c r="B35" s="118" t="n"/>
      <c r="C35" s="141" t="inlineStr">
        <is>
          <t>91.06.03-047</t>
        </is>
      </c>
      <c r="D35" s="141" t="inlineStr">
        <is>
          <t>Лебедки ручные и рычажные тяговым усилием 31,39 кН (3,2 т)</t>
        </is>
      </c>
      <c r="E35" s="140" t="inlineStr">
        <is>
          <t>маш.час</t>
        </is>
      </c>
      <c r="F35" s="140" t="n">
        <v>94.2452285</v>
      </c>
      <c r="G35" s="76" t="n">
        <v>3.12</v>
      </c>
      <c r="H35" s="76">
        <f>ROUND(F35*G35,2)</f>
        <v/>
      </c>
      <c r="K35" s="117" t="n"/>
    </row>
    <row r="36" ht="31.5" customHeight="1" s="115">
      <c r="A36" s="140" t="n">
        <v>22</v>
      </c>
      <c r="B36" s="118" t="n"/>
      <c r="C36" s="141" t="inlineStr">
        <is>
          <t>91.21.22-441</t>
        </is>
      </c>
      <c r="D36" s="141" t="inlineStr">
        <is>
          <t>Установки для заготовки защитных покрытий тепловой изоляции</t>
        </is>
      </c>
      <c r="E36" s="140" t="inlineStr">
        <is>
          <t>маш.час</t>
        </is>
      </c>
      <c r="F36" s="140" t="n">
        <v>2.824866</v>
      </c>
      <c r="G36" s="76" t="n">
        <v>65.25</v>
      </c>
      <c r="H36" s="76">
        <f>ROUND(F36*G36,2)</f>
        <v/>
      </c>
      <c r="K36" s="117" t="n"/>
    </row>
    <row r="37" ht="47.25" customHeight="1" s="115">
      <c r="A37" s="140" t="n">
        <v>23</v>
      </c>
      <c r="B37" s="118" t="n"/>
      <c r="C37" s="141" t="inlineStr">
        <is>
          <t>91.18.01-011</t>
        </is>
      </c>
      <c r="D37" s="141" t="inlineStr">
        <is>
          <t>Компрессоры передвижные с электродвигателем давление 600 кПа (6 ат), производительность 0,5 м3/мин</t>
        </is>
      </c>
      <c r="E37" s="140" t="inlineStr">
        <is>
          <t>маш.час</t>
        </is>
      </c>
      <c r="F37" s="140" t="n">
        <v>29.937505</v>
      </c>
      <c r="G37" s="76" t="n">
        <v>3.7</v>
      </c>
      <c r="H37" s="76">
        <f>ROUND(F37*G37,2)</f>
        <v/>
      </c>
      <c r="K37" s="117" t="n"/>
    </row>
    <row r="38" ht="31.5" customHeight="1" s="115">
      <c r="A38" s="140" t="n">
        <v>24</v>
      </c>
      <c r="B38" s="118" t="n"/>
      <c r="C38" s="141" t="inlineStr">
        <is>
          <t>91.06.03-061</t>
        </is>
      </c>
      <c r="D38" s="141" t="inlineStr">
        <is>
          <t>Лебедки электрические тяговым усилием до 12,26 кН (1,25 т)</t>
        </is>
      </c>
      <c r="E38" s="140" t="inlineStr">
        <is>
          <t>маш.час</t>
        </is>
      </c>
      <c r="F38" s="140" t="n">
        <v>25.63</v>
      </c>
      <c r="G38" s="76" t="n">
        <v>3.28</v>
      </c>
      <c r="H38" s="76">
        <f>ROUND(F38*G38,2)</f>
        <v/>
      </c>
      <c r="K38" s="117" t="n"/>
    </row>
    <row r="39">
      <c r="A39" s="140" t="n">
        <v>25</v>
      </c>
      <c r="B39" s="118" t="n"/>
      <c r="C39" s="141" t="inlineStr">
        <is>
          <t>91.21.01-016</t>
        </is>
      </c>
      <c r="D39" s="141" t="inlineStr">
        <is>
          <t>Агрегаты шпатлево-окрасочные</t>
        </is>
      </c>
      <c r="E39" s="140" t="inlineStr">
        <is>
          <t>маш.час</t>
        </is>
      </c>
      <c r="F39" s="140" t="n">
        <v>29.937505</v>
      </c>
      <c r="G39" s="76" t="n">
        <v>2.7</v>
      </c>
      <c r="H39" s="76">
        <f>ROUND(F39*G39,2)</f>
        <v/>
      </c>
      <c r="K39" s="117" t="n"/>
    </row>
    <row r="40" ht="47.25" customHeight="1" s="115">
      <c r="A40" s="140" t="n">
        <v>26</v>
      </c>
      <c r="B40" s="118" t="n"/>
      <c r="C40" s="141" t="inlineStr">
        <is>
          <t>91.21.01-012</t>
        </is>
      </c>
      <c r="D40" s="141" t="inlineStr">
        <is>
          <t>Агрегаты окрасочные высокого давления для окраски поверхностей конструкций, мощность 1 кВт</t>
        </is>
      </c>
      <c r="E40" s="140" t="inlineStr">
        <is>
          <t>маш.час</t>
        </is>
      </c>
      <c r="F40" s="140" t="n">
        <v>11.328</v>
      </c>
      <c r="G40" s="76" t="n">
        <v>6.82</v>
      </c>
      <c r="H40" s="76">
        <f>ROUND(F40*G40,2)</f>
        <v/>
      </c>
      <c r="K40" s="117" t="n"/>
    </row>
    <row r="41" ht="31.5" customHeight="1" s="115">
      <c r="A41" s="140" t="n">
        <v>27</v>
      </c>
      <c r="B41" s="118" t="n"/>
      <c r="C41" s="141" t="inlineStr">
        <is>
          <t>91.06.01-003</t>
        </is>
      </c>
      <c r="D41" s="141" t="inlineStr">
        <is>
          <t>Домкраты гидравлические, грузоподъемность 63-100 т</t>
        </is>
      </c>
      <c r="E41" s="140" t="inlineStr">
        <is>
          <t>маш.час</t>
        </is>
      </c>
      <c r="F41" s="140" t="n">
        <v>27.498</v>
      </c>
      <c r="G41" s="76" t="n">
        <v>0.9</v>
      </c>
      <c r="H41" s="76">
        <f>ROUND(F41*G41,2)</f>
        <v/>
      </c>
      <c r="K41" s="117" t="n"/>
    </row>
    <row r="42" ht="31.5" customHeight="1" s="115">
      <c r="A42" s="140" t="n">
        <v>28</v>
      </c>
      <c r="B42" s="118" t="n"/>
      <c r="C42" s="141" t="inlineStr">
        <is>
          <t>91.06.03-062</t>
        </is>
      </c>
      <c r="D42" s="141" t="inlineStr">
        <is>
          <t>Лебедки электрические тяговым усилием до 31,39 кН (3,2 т)</t>
        </is>
      </c>
      <c r="E42" s="140" t="inlineStr">
        <is>
          <t>маш.час</t>
        </is>
      </c>
      <c r="F42" s="140" t="n">
        <v>1.868</v>
      </c>
      <c r="G42" s="76" t="n">
        <v>6.9</v>
      </c>
      <c r="H42" s="76">
        <f>ROUND(F42*G42,2)</f>
        <v/>
      </c>
      <c r="K42" s="117" t="n"/>
    </row>
    <row r="43" ht="31.5" customHeight="1" s="115">
      <c r="A43" s="140" t="n">
        <v>29</v>
      </c>
      <c r="B43" s="118" t="n"/>
      <c r="C43" s="141" t="inlineStr">
        <is>
          <t>91.06.03-055</t>
        </is>
      </c>
      <c r="D43" s="141" t="inlineStr">
        <is>
          <t>Лебедки электрические тяговым усилием 19,62 кН (2 т)</t>
        </is>
      </c>
      <c r="E43" s="140" t="inlineStr">
        <is>
          <t>маш.час</t>
        </is>
      </c>
      <c r="F43" s="140" t="n">
        <v>1.7999637</v>
      </c>
      <c r="G43" s="76" t="n">
        <v>6.66</v>
      </c>
      <c r="H43" s="76">
        <f>ROUND(F43*G43,2)</f>
        <v/>
      </c>
      <c r="K43" s="117" t="n"/>
    </row>
    <row r="44">
      <c r="A44" s="140" t="n">
        <v>30</v>
      </c>
      <c r="B44" s="118" t="n"/>
      <c r="C44" s="141" t="inlineStr">
        <is>
          <t>91.06.05-011</t>
        </is>
      </c>
      <c r="D44" s="141" t="inlineStr">
        <is>
          <t>Погрузчики, грузоподъемность 5 т</t>
        </is>
      </c>
      <c r="E44" s="140" t="inlineStr">
        <is>
          <t>маш.час</t>
        </is>
      </c>
      <c r="F44" s="140" t="n">
        <v>0.128</v>
      </c>
      <c r="G44" s="76" t="n">
        <v>89.98999999999999</v>
      </c>
      <c r="H44" s="76">
        <f>ROUND(F44*G44,2)</f>
        <v/>
      </c>
    </row>
    <row r="45" ht="31.5" customHeight="1" s="115">
      <c r="A45" s="140" t="n">
        <v>31</v>
      </c>
      <c r="B45" s="118" t="n"/>
      <c r="C45" s="141" t="inlineStr">
        <is>
          <t>91.06.03-060</t>
        </is>
      </c>
      <c r="D45" s="141" t="inlineStr">
        <is>
          <t>Лебедки электрические тяговым усилием до 5,79 кН (0,59 т)</t>
        </is>
      </c>
      <c r="E45" s="140" t="inlineStr">
        <is>
          <t>маш.час</t>
        </is>
      </c>
      <c r="F45" s="140" t="n">
        <v>3.52664</v>
      </c>
      <c r="G45" s="76" t="n">
        <v>1.7</v>
      </c>
      <c r="H45" s="76">
        <f>ROUND(F45*G45,2)</f>
        <v/>
      </c>
    </row>
    <row r="46" ht="31.5" customHeight="1" s="115">
      <c r="A46" s="140" t="n">
        <v>32</v>
      </c>
      <c r="B46" s="118" t="n"/>
      <c r="C46" s="141" t="inlineStr">
        <is>
          <t>91.21.22-443</t>
        </is>
      </c>
      <c r="D46" s="141" t="inlineStr">
        <is>
          <t>Установки для изготовления бандажей, диафрагм, пряжек</t>
        </is>
      </c>
      <c r="E46" s="140" t="inlineStr">
        <is>
          <t>маш.час</t>
        </is>
      </c>
      <c r="F46" s="140" t="n">
        <v>1.247994</v>
      </c>
      <c r="G46" s="76" t="n">
        <v>2.16</v>
      </c>
      <c r="H46" s="76">
        <f>ROUND(F46*G46,2)</f>
        <v/>
      </c>
    </row>
    <row r="47">
      <c r="A47" s="140" t="n">
        <v>33</v>
      </c>
      <c r="B47" s="118" t="n"/>
      <c r="C47" s="141" t="inlineStr">
        <is>
          <t>91.21.16-012</t>
        </is>
      </c>
      <c r="D47" s="141" t="inlineStr">
        <is>
          <t>Прессы гидравлические с электроприводом</t>
        </is>
      </c>
      <c r="E47" s="140" t="inlineStr">
        <is>
          <t>маш.час</t>
        </is>
      </c>
      <c r="F47" s="140" t="n">
        <v>0.18</v>
      </c>
      <c r="G47" s="76" t="n">
        <v>1.11</v>
      </c>
      <c r="H47" s="76">
        <f>ROUND(F47*G47,2)</f>
        <v/>
      </c>
    </row>
    <row r="48">
      <c r="A48" s="139" t="inlineStr">
        <is>
          <t>Оборудование</t>
        </is>
      </c>
      <c r="B48" s="176" t="n"/>
      <c r="C48" s="176" t="n"/>
      <c r="D48" s="176" t="n"/>
      <c r="E48" s="177" t="n"/>
      <c r="F48" s="139" t="n"/>
      <c r="G48" s="71" t="n"/>
      <c r="H48" s="71">
        <f>SUM(H49:H65)</f>
        <v/>
      </c>
      <c r="J48" s="88" t="n"/>
    </row>
    <row r="49">
      <c r="A49" s="140" t="n">
        <v>34</v>
      </c>
      <c r="B49" s="118" t="n"/>
      <c r="C49" s="141" t="inlineStr">
        <is>
          <t>Прайс из СД ОП</t>
        </is>
      </c>
      <c r="D49" s="141" t="inlineStr">
        <is>
          <t>Комплект автоматики</t>
        </is>
      </c>
      <c r="E49" s="140" t="inlineStr">
        <is>
          <t>шт</t>
        </is>
      </c>
      <c r="F49" s="140" t="n">
        <v>1</v>
      </c>
      <c r="G49" s="76" t="n">
        <v>160994</v>
      </c>
      <c r="H49" s="76">
        <f>ROUND(F49*G49,2)</f>
        <v/>
      </c>
    </row>
    <row r="50" ht="31.5" customHeight="1" s="115">
      <c r="A50" s="140" t="n">
        <v>35</v>
      </c>
      <c r="B50" s="118" t="n"/>
      <c r="C50" s="141" t="inlineStr">
        <is>
          <t>64.1.05.10-0044</t>
        </is>
      </c>
      <c r="D50" s="141" t="inlineStr">
        <is>
          <t>Вентиляторы радиальные: пылевые ВП3 N 0.72/1000, тип электродвигателя 4АМ112M2</t>
        </is>
      </c>
      <c r="E50" s="140" t="inlineStr">
        <is>
          <t>компл</t>
        </is>
      </c>
      <c r="F50" s="140" t="n">
        <v>2</v>
      </c>
      <c r="G50" s="76" t="n">
        <v>64754.77</v>
      </c>
      <c r="H50" s="76">
        <f>ROUND(F50*G50,2)</f>
        <v/>
      </c>
    </row>
    <row r="51" ht="31.5" customHeight="1" s="115">
      <c r="A51" s="140" t="n">
        <v>36</v>
      </c>
      <c r="B51" s="118" t="n"/>
      <c r="C51" s="141" t="inlineStr">
        <is>
          <t>64.4.03.01-0029</t>
        </is>
      </c>
      <c r="D51" s="141" t="inlineStr">
        <is>
          <t>Установки вентиляционно-приточные типа: АПК-8-6 В с ручным приводом</t>
        </is>
      </c>
      <c r="E51" s="140" t="inlineStr">
        <is>
          <t>шт</t>
        </is>
      </c>
      <c r="F51" s="140" t="n">
        <v>1</v>
      </c>
      <c r="G51" s="76" t="n">
        <v>104784.19</v>
      </c>
      <c r="H51" s="76">
        <f>ROUND(F51*G51,2)</f>
        <v/>
      </c>
    </row>
    <row r="52" ht="31.5" customHeight="1" s="115">
      <c r="A52" s="140" t="n">
        <v>37</v>
      </c>
      <c r="B52" s="118" t="n"/>
      <c r="C52" s="141" t="inlineStr">
        <is>
          <t>64.4.03.02-1008</t>
        </is>
      </c>
      <c r="D52" s="141" t="inlineStr">
        <is>
          <t>Установка приточно-вытяжная, производительность 4100 м3/ч</t>
        </is>
      </c>
      <c r="E52" s="140" t="inlineStr">
        <is>
          <t>шт</t>
        </is>
      </c>
      <c r="F52" s="140" t="n">
        <v>1</v>
      </c>
      <c r="G52" s="76" t="n">
        <v>47702.64</v>
      </c>
      <c r="H52" s="76">
        <f>ROUND(F52*G52,2)</f>
        <v/>
      </c>
    </row>
    <row r="53" ht="31.5" customHeight="1" s="115">
      <c r="A53" s="140" t="n">
        <v>38</v>
      </c>
      <c r="B53" s="118" t="n"/>
      <c r="C53" s="141" t="inlineStr">
        <is>
          <t>62.4.02.01-0049</t>
        </is>
      </c>
      <c r="D53" s="141" t="inlineStr">
        <is>
          <t>Источник бесперебойного питания: Delta N Series UPS</t>
        </is>
      </c>
      <c r="E53" s="140" t="inlineStr">
        <is>
          <t>шт</t>
        </is>
      </c>
      <c r="F53" s="140" t="n">
        <v>4</v>
      </c>
      <c r="G53" s="76" t="n">
        <v>5415.89</v>
      </c>
      <c r="H53" s="76">
        <f>ROUND(F53*G53,2)</f>
        <v/>
      </c>
    </row>
    <row r="54" ht="31.5" customHeight="1" s="115">
      <c r="A54" s="140" t="n">
        <v>39</v>
      </c>
      <c r="B54" s="118" t="n"/>
      <c r="C54" s="141" t="inlineStr">
        <is>
          <t>64.4.02.05-0001</t>
        </is>
      </c>
      <c r="D54" s="141" t="inlineStr">
        <is>
          <t>Автоматика AS-IS к приточной установке VS-75-L-Y/S</t>
        </is>
      </c>
      <c r="E54" s="140" t="inlineStr">
        <is>
          <t>компл</t>
        </is>
      </c>
      <c r="F54" s="140" t="n">
        <v>1</v>
      </c>
      <c r="G54" s="76" t="n">
        <v>19931.6</v>
      </c>
      <c r="H54" s="76">
        <f>ROUND(F54*G54,2)</f>
        <v/>
      </c>
    </row>
    <row r="55" ht="47.25" customHeight="1" s="115">
      <c r="A55" s="140" t="n">
        <v>40</v>
      </c>
      <c r="B55" s="118" t="n"/>
      <c r="C55" s="141" t="inlineStr">
        <is>
          <t>69.2.02.05-0156</t>
        </is>
      </c>
      <c r="D55" s="141" t="inlineStr">
        <is>
          <t>Клапаны противопожарные прямоугольные с электроприводом, предел огнестойкости EI 180 размером 1200х800 мм</t>
        </is>
      </c>
      <c r="E55" s="140" t="inlineStr">
        <is>
          <t>шт</t>
        </is>
      </c>
      <c r="F55" s="140" t="n">
        <v>2</v>
      </c>
      <c r="G55" s="76" t="n">
        <v>6128.11</v>
      </c>
      <c r="H55" s="76">
        <f>ROUND(F55*G55,2)</f>
        <v/>
      </c>
    </row>
    <row r="56" ht="47.25" customHeight="1" s="115">
      <c r="A56" s="140" t="n">
        <v>41</v>
      </c>
      <c r="B56" s="118" t="n"/>
      <c r="C56" s="141" t="inlineStr">
        <is>
          <t>69.2.02.05-0125</t>
        </is>
      </c>
      <c r="D56" s="141" t="inlineStr">
        <is>
          <t>Клапаны противопожарные квадратные с электроприводом, предел огнестойкости EI 90 размером 400х400 мм</t>
        </is>
      </c>
      <c r="E56" s="140" t="inlineStr">
        <is>
          <t>шт</t>
        </is>
      </c>
      <c r="F56" s="140" t="n">
        <v>3</v>
      </c>
      <c r="G56" s="76" t="n">
        <v>2960.25</v>
      </c>
      <c r="H56" s="76">
        <f>ROUND(F56*G56,2)</f>
        <v/>
      </c>
    </row>
    <row r="57" ht="47.25" customHeight="1" s="115">
      <c r="A57" s="140" t="n">
        <v>42</v>
      </c>
      <c r="B57" s="118" t="n"/>
      <c r="C57" s="141" t="inlineStr">
        <is>
          <t>Прайс из СД ОП</t>
        </is>
      </c>
      <c r="D57" s="141" t="inlineStr">
        <is>
          <t>Клапан противопожарный взрывозащищенный КПУ-1Н-О-ВК-900х400-2хф- МВ220-СН-0-0-0-0-0-0</t>
        </is>
      </c>
      <c r="E57" s="140" t="inlineStr">
        <is>
          <t>шт</t>
        </is>
      </c>
      <c r="F57" s="140" t="n">
        <v>1</v>
      </c>
      <c r="G57" s="76" t="n">
        <v>8520.73</v>
      </c>
      <c r="H57" s="76">
        <f>ROUND(F57*G57,2)</f>
        <v/>
      </c>
    </row>
    <row r="58" ht="31.5" customHeight="1" s="115">
      <c r="A58" s="140" t="n">
        <v>43</v>
      </c>
      <c r="B58" s="118" t="n"/>
      <c r="C58" s="141" t="inlineStr">
        <is>
          <t>19.3.01.05-0036</t>
        </is>
      </c>
      <c r="D58" s="141" t="inlineStr">
        <is>
          <t>Клапаны обратные взрывозащищенные, диаметр 1250 мм</t>
        </is>
      </c>
      <c r="E58" s="140" t="inlineStr">
        <is>
          <t>шт</t>
        </is>
      </c>
      <c r="F58" s="140" t="n">
        <v>2</v>
      </c>
      <c r="G58" s="76" t="n">
        <v>3219.89</v>
      </c>
      <c r="H58" s="76">
        <f>ROUND(F58*G58,2)</f>
        <v/>
      </c>
    </row>
    <row r="59" ht="47.25" customHeight="1" s="115">
      <c r="A59" s="140" t="n">
        <v>44</v>
      </c>
      <c r="B59" s="118" t="n"/>
      <c r="C59" s="141" t="inlineStr">
        <is>
          <t>69.2.02.05-0097</t>
        </is>
      </c>
      <c r="D59" s="141" t="inlineStr">
        <is>
          <t>Клапаны противопожарные квадратные с электроприводом, предел огнестойкости EI 60 размером 250х250 мм</t>
        </is>
      </c>
      <c r="E59" s="140" t="inlineStr">
        <is>
          <t>шт</t>
        </is>
      </c>
      <c r="F59" s="140" t="n">
        <v>2</v>
      </c>
      <c r="G59" s="76" t="n">
        <v>2696.27</v>
      </c>
      <c r="H59" s="76">
        <f>ROUND(F59*G59,2)</f>
        <v/>
      </c>
    </row>
    <row r="60" ht="31.5" customHeight="1" s="115">
      <c r="A60" s="140" t="n">
        <v>45</v>
      </c>
      <c r="B60" s="118" t="n"/>
      <c r="C60" s="141" t="inlineStr">
        <is>
          <t>Прайс из СД ОП</t>
        </is>
      </c>
      <c r="D60" s="141" t="inlineStr">
        <is>
          <t>Преобразователь частоты Danfoss VLT Micro FC-051 0,75 кВт с панелью управления</t>
        </is>
      </c>
      <c r="E60" s="140" t="inlineStr">
        <is>
          <t>шт</t>
        </is>
      </c>
      <c r="F60" s="140" t="n">
        <v>1</v>
      </c>
      <c r="G60" s="76" t="n">
        <v>3567.27</v>
      </c>
      <c r="H60" s="76">
        <f>ROUND(F60*G60,2)</f>
        <v/>
      </c>
    </row>
    <row r="61" ht="31.5" customHeight="1" s="115">
      <c r="A61" s="140" t="n">
        <v>46</v>
      </c>
      <c r="B61" s="118" t="n"/>
      <c r="C61" s="141" t="inlineStr">
        <is>
          <t>Прайс из СД ОП</t>
        </is>
      </c>
      <c r="D61" s="141" t="inlineStr">
        <is>
          <t>Преобразователь частоты Danfoss VLT Micro FC-051 0,37 кВт с панелью управления</t>
        </is>
      </c>
      <c r="E61" s="140" t="inlineStr">
        <is>
          <t>шт</t>
        </is>
      </c>
      <c r="F61" s="140" t="n">
        <v>1</v>
      </c>
      <c r="G61" s="76" t="n">
        <v>2576.38</v>
      </c>
      <c r="H61" s="76">
        <f>ROUND(F61*G61,2)</f>
        <v/>
      </c>
    </row>
    <row r="62" ht="47.25" customHeight="1" s="115">
      <c r="A62" s="140" t="n">
        <v>47</v>
      </c>
      <c r="B62" s="118" t="n"/>
      <c r="C62" s="141" t="inlineStr">
        <is>
          <t>64.1.02.01-0005</t>
        </is>
      </c>
      <c r="D62" s="141" t="inlineStr">
        <is>
          <t>Вентиляторы канальные "Systemair": для круглых воздуховодов K 160 M, производительность 488 м3/час</t>
        </is>
      </c>
      <c r="E62" s="140" t="inlineStr">
        <is>
          <t>шт</t>
        </is>
      </c>
      <c r="F62" s="140" t="n">
        <v>1</v>
      </c>
      <c r="G62" s="76" t="n">
        <v>1310.3</v>
      </c>
      <c r="H62" s="76">
        <f>ROUND(F62*G62,2)</f>
        <v/>
      </c>
    </row>
    <row r="63" ht="31.5" customHeight="1" s="115">
      <c r="A63" s="140" t="n">
        <v>48</v>
      </c>
      <c r="B63" s="118" t="n"/>
      <c r="C63" s="141" t="inlineStr">
        <is>
          <t>Прайс из СД ОП</t>
        </is>
      </c>
      <c r="D63" s="141" t="inlineStr">
        <is>
          <t>Клапан  воздушный универсальный Регуляр-Л-500х400-1*ручка-УХЛ2-0</t>
        </is>
      </c>
      <c r="E63" s="140" t="inlineStr">
        <is>
          <t>шт</t>
        </is>
      </c>
      <c r="F63" s="140" t="n">
        <v>1</v>
      </c>
      <c r="G63" s="76" t="n">
        <v>917.0599999999999</v>
      </c>
      <c r="H63" s="76">
        <f>ROUND(F63*G63,2)</f>
        <v/>
      </c>
    </row>
    <row r="64" ht="31.5" customHeight="1" s="115">
      <c r="A64" s="140" t="n">
        <v>49</v>
      </c>
      <c r="B64" s="118" t="n"/>
      <c r="C64" s="141" t="inlineStr">
        <is>
          <t>Прайс из СД ОП</t>
        </is>
      </c>
      <c r="D64" s="141" t="inlineStr">
        <is>
          <t>Комплект для преобразователя частоты NEMA1-M3</t>
        </is>
      </c>
      <c r="E64" s="140" t="inlineStr">
        <is>
          <t>шт</t>
        </is>
      </c>
      <c r="F64" s="140" t="n">
        <v>4</v>
      </c>
      <c r="G64" s="76" t="n">
        <v>142.58</v>
      </c>
      <c r="H64" s="76">
        <f>ROUND(F64*G64,2)</f>
        <v/>
      </c>
    </row>
    <row r="65" ht="31.5" customHeight="1" s="115">
      <c r="A65" s="140" t="n">
        <v>50</v>
      </c>
      <c r="B65" s="118" t="n"/>
      <c r="C65" s="141" t="inlineStr">
        <is>
          <t>Прайс из СД ОП</t>
        </is>
      </c>
      <c r="D65" s="141" t="inlineStr">
        <is>
          <t>Комплект для преобразователя частоты NEMA1-M1</t>
        </is>
      </c>
      <c r="E65" s="140" t="inlineStr">
        <is>
          <t>шт</t>
        </is>
      </c>
      <c r="F65" s="140" t="n">
        <v>2</v>
      </c>
      <c r="G65" s="76" t="n">
        <v>118.81</v>
      </c>
      <c r="H65" s="76">
        <f>ROUND(F65*G65,2)</f>
        <v/>
      </c>
    </row>
    <row r="66">
      <c r="A66" s="139" t="inlineStr">
        <is>
          <t>Материалы</t>
        </is>
      </c>
      <c r="B66" s="176" t="n"/>
      <c r="C66" s="176" t="n"/>
      <c r="D66" s="176" t="n"/>
      <c r="E66" s="177" t="n"/>
      <c r="F66" s="139" t="n"/>
      <c r="G66" s="71" t="n"/>
      <c r="H66" s="71">
        <f>SUM(H67:H193)</f>
        <v/>
      </c>
      <c r="J66" s="88" t="n"/>
    </row>
    <row r="67" ht="31.5" customHeight="1" s="115">
      <c r="A67" s="140" t="n">
        <v>51</v>
      </c>
      <c r="B67" s="95" t="n"/>
      <c r="C67" s="141" t="inlineStr">
        <is>
          <t>19.1.01.11-0012</t>
        </is>
      </c>
      <c r="D67" s="141" t="inlineStr">
        <is>
          <t>Крепления (тяги) для воздуховодов СТД 446 (разные виды креплений воздуховодов)</t>
        </is>
      </c>
      <c r="E67" s="140" t="inlineStr">
        <is>
          <t>т</t>
        </is>
      </c>
      <c r="F67" s="140" t="n">
        <v>4.4</v>
      </c>
      <c r="G67" s="76" t="n">
        <v>30398.56</v>
      </c>
      <c r="H67" s="76">
        <f>ROUND(F67*G67,2)</f>
        <v/>
      </c>
    </row>
    <row r="68">
      <c r="A68" s="140" t="n">
        <v>52</v>
      </c>
      <c r="B68" s="95" t="n"/>
      <c r="C68" s="141" t="inlineStr">
        <is>
          <t>20.2.07.07-0001</t>
        </is>
      </c>
      <c r="D68" s="141" t="inlineStr">
        <is>
          <t>Лоток 100х50 мм, длиной 3000 мм</t>
        </is>
      </c>
      <c r="E68" s="140" t="inlineStr">
        <is>
          <t>шт</t>
        </is>
      </c>
      <c r="F68" s="140" t="n">
        <v>246</v>
      </c>
      <c r="G68" s="76" t="n">
        <v>128.05</v>
      </c>
      <c r="H68" s="76">
        <f>ROUND(F68*G68,2)</f>
        <v/>
      </c>
    </row>
    <row r="69" ht="31.5" customHeight="1" s="115">
      <c r="A69" s="140" t="n">
        <v>53</v>
      </c>
      <c r="B69" s="95" t="n"/>
      <c r="C69" s="141" t="inlineStr">
        <is>
          <t>19.1.01.03-0080</t>
        </is>
      </c>
      <c r="D69" s="141" t="inlineStr">
        <is>
          <t>Воздуховоды из оцинкованной стали толщиной: 0,9 мм, периметром до 7200 мм</t>
        </is>
      </c>
      <c r="E69" s="140" t="inlineStr">
        <is>
          <t>м2</t>
        </is>
      </c>
      <c r="F69" s="140" t="n">
        <v>238.65</v>
      </c>
      <c r="G69" s="76" t="n">
        <v>113.78</v>
      </c>
      <c r="H69" s="76">
        <f>ROUND(F69*G69,2)</f>
        <v/>
      </c>
    </row>
    <row r="70" ht="31.5" customHeight="1" s="115">
      <c r="A70" s="140" t="n">
        <v>54</v>
      </c>
      <c r="B70" s="95" t="n"/>
      <c r="C70" s="141" t="inlineStr">
        <is>
          <t>21.1.06.10-0395</t>
        </is>
      </c>
      <c r="D70" s="141" t="inlineStr">
        <is>
          <t>Кабель силовой с медными жилами ВВГнг(A)-LS 4х10ок(N)-1000</t>
        </is>
      </c>
      <c r="E70" s="140" t="inlineStr">
        <is>
          <t>1000 м</t>
        </is>
      </c>
      <c r="F70" s="140" t="n">
        <v>0.4284</v>
      </c>
      <c r="G70" s="76" t="n">
        <v>51300.96</v>
      </c>
      <c r="H70" s="76">
        <f>ROUND(F70*G70,2)</f>
        <v/>
      </c>
    </row>
    <row r="71" ht="15" customHeight="1" s="115">
      <c r="A71" s="140" t="n">
        <v>55</v>
      </c>
      <c r="B71" s="95" t="n"/>
      <c r="C71" s="141" t="inlineStr">
        <is>
          <t>21.1.06.10-0318</t>
        </is>
      </c>
      <c r="D71" s="141" t="inlineStr">
        <is>
          <t>Кабель силовой с медными жилами ПвПнг(A)-HF 5х70-1000</t>
        </is>
      </c>
      <c r="E71" s="140" t="inlineStr">
        <is>
          <t>1000 м</t>
        </is>
      </c>
      <c r="F71" s="140" t="n">
        <v>0.0408</v>
      </c>
      <c r="G71" s="76" t="n">
        <v>516101.72</v>
      </c>
      <c r="H71" s="76">
        <f>ROUND(F71*G71,2)</f>
        <v/>
      </c>
    </row>
    <row r="72" ht="31.5" customHeight="1" s="115">
      <c r="A72" s="140" t="n">
        <v>56</v>
      </c>
      <c r="B72" s="95" t="n"/>
      <c r="C72" s="141" t="inlineStr">
        <is>
          <t>20.2.03.06-0061</t>
        </is>
      </c>
      <c r="D72" s="141" t="inlineStr">
        <is>
          <t>Крышка с заземлением на лоток основанием 50 мм, длина 3000 мм</t>
        </is>
      </c>
      <c r="E72" s="140" t="inlineStr">
        <is>
          <t>шт</t>
        </is>
      </c>
      <c r="F72" s="140" t="n">
        <v>246</v>
      </c>
      <c r="G72" s="76" t="n">
        <v>65.7</v>
      </c>
      <c r="H72" s="76">
        <f>ROUND(F72*G72,2)</f>
        <v/>
      </c>
    </row>
    <row r="73" ht="47.25" customHeight="1" s="115">
      <c r="A73" s="140" t="n">
        <v>57</v>
      </c>
      <c r="B73" s="95" t="n"/>
      <c r="C73" s="141" t="inlineStr">
        <is>
          <t>19.1.01.09-0032</t>
        </is>
      </c>
      <c r="D73" s="141" t="inlineStr">
        <is>
          <t>Изделия фасонные для воздуховодов из оцинкованной стали с шиной и уголками, толщина 1,0 мм, периметр 3000 мм</t>
        </is>
      </c>
      <c r="E73" s="140" t="inlineStr">
        <is>
          <t>м2</t>
        </is>
      </c>
      <c r="F73" s="140" t="n">
        <v>49.48</v>
      </c>
      <c r="G73" s="76" t="n">
        <v>224.81</v>
      </c>
      <c r="H73" s="76">
        <f>ROUND(F73*G73,2)</f>
        <v/>
      </c>
    </row>
    <row r="74" ht="15" customHeight="1" s="115">
      <c r="A74" s="140" t="n">
        <v>58</v>
      </c>
      <c r="B74" s="95" t="n"/>
      <c r="C74" s="141" t="inlineStr">
        <is>
          <t>21.1.06.10-0393</t>
        </is>
      </c>
      <c r="D74" s="141" t="inlineStr">
        <is>
          <t>Кабель силовой с медными жилами ВВГнг(A)-LS 4х4ок(N)-1000</t>
        </is>
      </c>
      <c r="E74" s="140" t="inlineStr">
        <is>
          <t>1000 м</t>
        </is>
      </c>
      <c r="F74" s="140" t="n">
        <v>0.2612</v>
      </c>
      <c r="G74" s="76" t="n">
        <v>26301.07</v>
      </c>
      <c r="H74" s="76">
        <f>ROUND(F74*G74,2)</f>
        <v/>
      </c>
    </row>
    <row r="75" ht="31.5" customHeight="1" s="115">
      <c r="A75" s="140" t="n">
        <v>59</v>
      </c>
      <c r="B75" s="95" t="n"/>
      <c r="C75" s="141" t="inlineStr">
        <is>
          <t>19.2.03.02-0143</t>
        </is>
      </c>
      <c r="D75" s="141" t="inlineStr">
        <is>
          <t>Решетки вентиляционные алюминиевые "АРКТОС" типа: АРН размером 500х1000 мм</t>
        </is>
      </c>
      <c r="E75" s="140" t="inlineStr">
        <is>
          <t>шт</t>
        </is>
      </c>
      <c r="F75" s="140" t="n">
        <v>7</v>
      </c>
      <c r="G75" s="76" t="n">
        <v>934.79</v>
      </c>
      <c r="H75" s="76">
        <f>ROUND(F75*G75,2)</f>
        <v/>
      </c>
    </row>
    <row r="76" ht="31.5" customHeight="1" s="115">
      <c r="A76" s="140" t="n">
        <v>60</v>
      </c>
      <c r="B76" s="95" t="n"/>
      <c r="C76" s="141" t="inlineStr">
        <is>
          <t>21.1.06.10-0170</t>
        </is>
      </c>
      <c r="D76" s="141" t="inlineStr">
        <is>
          <t>Кабель силовой с медными жилами ВВГнг(A)-FRLS 3х4ок-1000</t>
        </is>
      </c>
      <c r="E76" s="140" t="inlineStr">
        <is>
          <t>1000 м</t>
        </is>
      </c>
      <c r="F76" s="140" t="n">
        <v>0.1479</v>
      </c>
      <c r="G76" s="76" t="n">
        <v>33979.03</v>
      </c>
      <c r="H76" s="76">
        <f>ROUND(F76*G76,2)</f>
        <v/>
      </c>
    </row>
    <row r="77" ht="31.5" customHeight="1" s="115">
      <c r="A77" s="140" t="n">
        <v>61</v>
      </c>
      <c r="B77" s="95" t="n"/>
      <c r="C77" s="141" t="inlineStr">
        <is>
          <t>21.1.06.10-0411</t>
        </is>
      </c>
      <c r="D77" s="141" t="inlineStr">
        <is>
          <t>Кабель силовой с медными жилами ВВГнг(A)-LS 5х16мк(N, PE)-1000</t>
        </is>
      </c>
      <c r="E77" s="140" t="inlineStr">
        <is>
          <t>1000 м</t>
        </is>
      </c>
      <c r="F77" s="140" t="n">
        <v>0.05</v>
      </c>
      <c r="G77" s="76" t="n">
        <v>98440.41</v>
      </c>
      <c r="H77" s="76">
        <f>ROUND(F77*G77,2)</f>
        <v/>
      </c>
    </row>
    <row r="78" ht="31.5" customHeight="1" s="115">
      <c r="A78" s="140" t="n">
        <v>62</v>
      </c>
      <c r="B78" s="95" t="n"/>
      <c r="C78" s="141" t="inlineStr">
        <is>
          <t>19.1.01.03-0072</t>
        </is>
      </c>
      <c r="D78" s="141" t="inlineStr">
        <is>
          <t>Воздуховоды из оцинкованной стали толщиной: 0,5 мм, периметром до 600 мм</t>
        </is>
      </c>
      <c r="E78" s="140" t="inlineStr">
        <is>
          <t>м2</t>
        </is>
      </c>
      <c r="F78" s="140" t="n">
        <v>44</v>
      </c>
      <c r="G78" s="76" t="n">
        <v>102.41</v>
      </c>
      <c r="H78" s="76">
        <f>ROUND(F78*G78,2)</f>
        <v/>
      </c>
    </row>
    <row r="79" ht="31.5" customHeight="1" s="115">
      <c r="A79" s="140" t="n">
        <v>63</v>
      </c>
      <c r="B79" s="95" t="n"/>
      <c r="C79" s="141" t="inlineStr">
        <is>
          <t>21.1.06.10-0203</t>
        </is>
      </c>
      <c r="D79" s="141" t="inlineStr">
        <is>
          <t>Кабель силовой с медными жилами ВВГнг(A)-FRLS 5х16мк(N, PE)-1000</t>
        </is>
      </c>
      <c r="E79" s="140" t="inlineStr">
        <is>
          <t>1000 м</t>
        </is>
      </c>
      <c r="F79" s="140" t="n">
        <v>0.03</v>
      </c>
      <c r="G79" s="76" t="n">
        <v>138894.95</v>
      </c>
      <c r="H79" s="76">
        <f>ROUND(F79*G79,2)</f>
        <v/>
      </c>
    </row>
    <row r="80" ht="31.5" customHeight="1" s="115">
      <c r="A80" s="140" t="n">
        <v>64</v>
      </c>
      <c r="B80" s="95" t="n"/>
      <c r="C80" s="141" t="inlineStr">
        <is>
          <t>21.1.06.09-0164</t>
        </is>
      </c>
      <c r="D80" s="141" t="inlineStr">
        <is>
          <t>Кабель силовой с медными жилами ВВГнг(A)-LS 4х10-660</t>
        </is>
      </c>
      <c r="E80" s="140" t="inlineStr">
        <is>
          <t>1000 м</t>
        </is>
      </c>
      <c r="F80" s="140" t="n">
        <v>0.102</v>
      </c>
      <c r="G80" s="76" t="n">
        <v>36161.25</v>
      </c>
      <c r="H80" s="76">
        <f>ROUND(F80*G80,2)</f>
        <v/>
      </c>
      <c r="I80" s="106" t="n"/>
      <c r="J80" s="106" t="n"/>
    </row>
    <row r="81">
      <c r="A81" s="140" t="n">
        <v>65</v>
      </c>
      <c r="B81" s="95" t="n"/>
      <c r="C81" s="141" t="inlineStr">
        <is>
          <t>14.4.04.11-0011</t>
        </is>
      </c>
      <c r="D81" s="141" t="inlineStr">
        <is>
          <t>Эмаль ХС-759, белая</t>
        </is>
      </c>
      <c r="E81" s="140" t="inlineStr">
        <is>
          <t>т</t>
        </is>
      </c>
      <c r="F81" s="140" t="n">
        <v>0.1216</v>
      </c>
      <c r="G81" s="76" t="n">
        <v>26640</v>
      </c>
      <c r="H81" s="76">
        <f>ROUND(F81*G81,2)</f>
        <v/>
      </c>
    </row>
    <row r="82" ht="31.5" customHeight="1" s="115">
      <c r="A82" s="140" t="n">
        <v>66</v>
      </c>
      <c r="B82" s="95" t="n"/>
      <c r="C82" s="141" t="inlineStr">
        <is>
          <t>21.1.06.10-0381</t>
        </is>
      </c>
      <c r="D82" s="141" t="inlineStr">
        <is>
          <t>Кабель силовой с медными жилами ВВГнг(A)-LS 3х10ок(N, PE)-1000</t>
        </is>
      </c>
      <c r="E82" s="140" t="inlineStr">
        <is>
          <t>1000 м</t>
        </is>
      </c>
      <c r="F82" s="140" t="n">
        <v>0.07140000000000001</v>
      </c>
      <c r="G82" s="76" t="n">
        <v>40466.56</v>
      </c>
      <c r="H82" s="76">
        <f>ROUND(F82*G82,2)</f>
        <v/>
      </c>
    </row>
    <row r="83" ht="31.5" customHeight="1" s="115">
      <c r="A83" s="140" t="n">
        <v>67</v>
      </c>
      <c r="B83" s="95" t="n"/>
      <c r="C83" s="141" t="inlineStr">
        <is>
          <t>19.1.01.03-0077</t>
        </is>
      </c>
      <c r="D83" s="141" t="inlineStr">
        <is>
          <t>Воздуховоды из оцинкованной стали толщиной: 0,7 мм, периметром до 1000 мм</t>
        </is>
      </c>
      <c r="E83" s="140" t="inlineStr">
        <is>
          <t>м2</t>
        </is>
      </c>
      <c r="F83" s="140" t="n">
        <v>20</v>
      </c>
      <c r="G83" s="76" t="n">
        <v>111.37</v>
      </c>
      <c r="H83" s="76">
        <f>ROUND(F83*G83,2)</f>
        <v/>
      </c>
    </row>
    <row r="84" ht="47.25" customHeight="1" s="115">
      <c r="A84" s="140" t="n">
        <v>68</v>
      </c>
      <c r="B84" s="95" t="n"/>
      <c r="C84" s="141" t="inlineStr">
        <is>
          <t>12.2.04.03-0023</t>
        </is>
      </c>
      <c r="D84" s="141" t="inlineStr">
        <is>
          <t>Маты минераловатные ламельные, кашированные фольгой, марка: "Lamella Mat" ROCKWOOL, толщиной 60 мм</t>
        </is>
      </c>
      <c r="E84" s="140" t="inlineStr">
        <is>
          <t>м3</t>
        </is>
      </c>
      <c r="F84" s="140" t="n">
        <v>0.909</v>
      </c>
      <c r="G84" s="76" t="n">
        <v>2279.38</v>
      </c>
      <c r="H84" s="76">
        <f>ROUND(F84*G84,2)</f>
        <v/>
      </c>
    </row>
    <row r="85" ht="31.5" customHeight="1" s="115">
      <c r="A85" s="140" t="n">
        <v>69</v>
      </c>
      <c r="B85" s="95" t="n"/>
      <c r="C85" s="141" t="inlineStr">
        <is>
          <t>19.1.04.02-0009</t>
        </is>
      </c>
      <c r="D85" s="141" t="inlineStr">
        <is>
          <t>Дефлекторы статические из оцинкованной стали, диаметр 315 мм</t>
        </is>
      </c>
      <c r="E85" s="140" t="inlineStr">
        <is>
          <t>шт</t>
        </is>
      </c>
      <c r="F85" s="140" t="n">
        <v>2</v>
      </c>
      <c r="G85" s="76" t="n">
        <v>941.91</v>
      </c>
      <c r="H85" s="76">
        <f>ROUND(F85*G85,2)</f>
        <v/>
      </c>
    </row>
    <row r="86" ht="31.5" customHeight="1" s="115">
      <c r="A86" s="140" t="n">
        <v>70</v>
      </c>
      <c r="B86" s="95" t="n"/>
      <c r="C86" s="141" t="inlineStr">
        <is>
          <t>21.1.06.10-0321</t>
        </is>
      </c>
      <c r="D86" s="141" t="inlineStr">
        <is>
          <t>Кабель силовой с медными жилами ВБбШвнг-LS-Т 3х4(ож)-1000</t>
        </is>
      </c>
      <c r="E86" s="140" t="inlineStr">
        <is>
          <t>1000 м</t>
        </is>
      </c>
      <c r="F86" s="140" t="n">
        <v>0.051</v>
      </c>
      <c r="G86" s="76" t="n">
        <v>33289.09</v>
      </c>
      <c r="H86" s="76">
        <f>ROUND(F86*G86,2)</f>
        <v/>
      </c>
    </row>
    <row r="87" ht="31.5" customHeight="1" s="115">
      <c r="A87" s="140" t="n">
        <v>71</v>
      </c>
      <c r="B87" s="95" t="n"/>
      <c r="C87" s="141" t="inlineStr">
        <is>
          <t>14.2.02.06-0002</t>
        </is>
      </c>
      <c r="D87" s="141" t="inlineStr">
        <is>
          <t>Материал базальтовый огнезащитный рулонный, марка: "МБОР-8Ф"</t>
        </is>
      </c>
      <c r="E87" s="140" t="inlineStr">
        <is>
          <t>м2</t>
        </is>
      </c>
      <c r="F87" s="140" t="n">
        <v>31</v>
      </c>
      <c r="G87" s="76" t="n">
        <v>47.49</v>
      </c>
      <c r="H87" s="76">
        <f>ROUND(F87*G87,2)</f>
        <v/>
      </c>
    </row>
    <row r="88" ht="47.25" customHeight="1" s="115">
      <c r="A88" s="140" t="n">
        <v>72</v>
      </c>
      <c r="B88" s="95" t="n"/>
      <c r="C88" s="141" t="inlineStr">
        <is>
          <t>08.1.02.17-0132</t>
        </is>
      </c>
      <c r="D88" s="141" t="inlineStr">
        <is>
          <t>Сетка плетеная из проволоки с квадратными ячейками, диаметр проволоки 1,4 мм, размер ячейки 12х12 мм</t>
        </is>
      </c>
      <c r="E88" s="140" t="inlineStr">
        <is>
          <t>м2</t>
        </is>
      </c>
      <c r="F88" s="140" t="n">
        <v>55.8415</v>
      </c>
      <c r="G88" s="76" t="n">
        <v>26.1</v>
      </c>
      <c r="H88" s="76">
        <f>ROUND(F88*G88,2)</f>
        <v/>
      </c>
    </row>
    <row r="89" ht="31.5" customHeight="1" s="115">
      <c r="A89" s="140" t="n">
        <v>73</v>
      </c>
      <c r="B89" s="95" t="n"/>
      <c r="C89" s="141" t="inlineStr">
        <is>
          <t>19.1.06.01-0022</t>
        </is>
      </c>
      <c r="D89" s="141" t="inlineStr">
        <is>
          <t>Узлы прохода вытяжных вентиляционных шахт без клапана УП1-02, диаметр патрубка 315 мм</t>
        </is>
      </c>
      <c r="E89" s="140" t="inlineStr">
        <is>
          <t>шт</t>
        </is>
      </c>
      <c r="F89" s="140" t="n">
        <v>2</v>
      </c>
      <c r="G89" s="76" t="n">
        <v>697.65</v>
      </c>
      <c r="H89" s="76">
        <f>ROUND(F89*G89,2)</f>
        <v/>
      </c>
    </row>
    <row r="90" ht="31.5" customHeight="1" s="115">
      <c r="A90" s="140" t="n">
        <v>74</v>
      </c>
      <c r="B90" s="95" t="n"/>
      <c r="C90" s="141" t="inlineStr">
        <is>
          <t>19.1.06.01-0031</t>
        </is>
      </c>
      <c r="D90" s="141" t="inlineStr">
        <is>
          <t>Узлы прохода вытяжных вентиляционных шахт без клапана УП1, диаметр патрубка 200 мм</t>
        </is>
      </c>
      <c r="E90" s="140" t="inlineStr">
        <is>
          <t>шт</t>
        </is>
      </c>
      <c r="F90" s="140" t="n">
        <v>2</v>
      </c>
      <c r="G90" s="76" t="n">
        <v>656.89</v>
      </c>
      <c r="H90" s="76">
        <f>ROUND(F90*G90,2)</f>
        <v/>
      </c>
    </row>
    <row r="91" ht="31.5" customHeight="1" s="115">
      <c r="A91" s="140" t="n">
        <v>75</v>
      </c>
      <c r="B91" s="95" t="n"/>
      <c r="C91" s="141" t="inlineStr">
        <is>
          <t>01.7.19.04-0031</t>
        </is>
      </c>
      <c r="D91" s="141" t="inlineStr">
        <is>
          <t>Прокладки резиновые (пластина техническая прессованная)</t>
        </is>
      </c>
      <c r="E91" s="140" t="inlineStr">
        <is>
          <t>кг</t>
        </is>
      </c>
      <c r="F91" s="140" t="n">
        <v>56.52105</v>
      </c>
      <c r="G91" s="76" t="n">
        <v>23.09</v>
      </c>
      <c r="H91" s="76">
        <f>ROUND(F91*G91,2)</f>
        <v/>
      </c>
    </row>
    <row r="92" ht="31.5" customHeight="1" s="115">
      <c r="A92" s="140" t="n">
        <v>76</v>
      </c>
      <c r="B92" s="95" t="n"/>
      <c r="C92" s="141" t="inlineStr">
        <is>
          <t>19.1.01.03-0078</t>
        </is>
      </c>
      <c r="D92" s="141" t="inlineStr">
        <is>
          <t>Воздуховоды из оцинкованной стали толщиной: 0,7 мм, периметром от 1100 до 1600 мм</t>
        </is>
      </c>
      <c r="E92" s="140" t="inlineStr">
        <is>
          <t>м2</t>
        </is>
      </c>
      <c r="F92" s="140" t="n">
        <v>12.5</v>
      </c>
      <c r="G92" s="76" t="n">
        <v>104.33</v>
      </c>
      <c r="H92" s="76">
        <f>ROUND(F92*G92,2)</f>
        <v/>
      </c>
    </row>
    <row r="93" ht="31.5" customHeight="1" s="115">
      <c r="A93" s="140" t="n">
        <v>77</v>
      </c>
      <c r="B93" s="95" t="n"/>
      <c r="C93" s="141" t="inlineStr">
        <is>
          <t>08.3.05.05-0052</t>
        </is>
      </c>
      <c r="D93" s="141" t="inlineStr">
        <is>
          <t>Сталь листовая оцинкованная толщиной листа: 0,5 мм</t>
        </is>
      </c>
      <c r="E93" s="140" t="inlineStr">
        <is>
          <t>м2</t>
        </is>
      </c>
      <c r="F93" s="140" t="n">
        <v>26.5716</v>
      </c>
      <c r="G93" s="76" t="n">
        <v>45.82</v>
      </c>
      <c r="H93" s="76">
        <f>ROUND(F93*G93,2)</f>
        <v/>
      </c>
    </row>
    <row r="94" ht="63" customHeight="1" s="115">
      <c r="A94" s="140" t="n">
        <v>78</v>
      </c>
      <c r="B94" s="95" t="n"/>
      <c r="C94" s="141" t="inlineStr">
        <is>
          <t>19.1.01.09-0007</t>
        </is>
      </c>
      <c r="D94" s="141" t="inlineStr">
        <is>
          <t>Изделия фасонные для воздуховодов из оцинкованной стали с шиной и уголками, толщина 0,7 мм, периметр 1600 мм {отводы 90град., переходы толщ.0.7мм}</t>
        </is>
      </c>
      <c r="E94" s="140" t="inlineStr">
        <is>
          <t>м2</t>
        </is>
      </c>
      <c r="F94" s="140" t="n">
        <v>5.98</v>
      </c>
      <c r="G94" s="76" t="n">
        <v>193.79</v>
      </c>
      <c r="H94" s="76">
        <f>ROUND(F94*G94,2)</f>
        <v/>
      </c>
    </row>
    <row r="95" ht="31.5" customHeight="1" s="115">
      <c r="A95" s="140" t="n">
        <v>79</v>
      </c>
      <c r="B95" s="95" t="n"/>
      <c r="C95" s="141" t="inlineStr">
        <is>
          <t>14.4.01.19-0004</t>
        </is>
      </c>
      <c r="D95" s="141" t="inlineStr">
        <is>
          <t>Грунтовка химстойкая на основе сополимера виниловых смол, красно-коричневая</t>
        </is>
      </c>
      <c r="E95" s="140" t="inlineStr">
        <is>
          <t>т</t>
        </is>
      </c>
      <c r="F95" s="140" t="n">
        <v>0.05088</v>
      </c>
      <c r="G95" s="76" t="n">
        <v>20093</v>
      </c>
      <c r="H95" s="76">
        <f>ROUND(F95*G95,2)</f>
        <v/>
      </c>
    </row>
    <row r="96" ht="47.25" customHeight="1" s="115">
      <c r="A96" s="140" t="n">
        <v>80</v>
      </c>
      <c r="B96" s="95" t="n"/>
      <c r="C96" s="141" t="inlineStr">
        <is>
          <t>19.1.01.09-0024</t>
        </is>
      </c>
      <c r="D96" s="141" t="inlineStr">
        <is>
          <t>Изделия фасонные для воздуховодов из оцинкованной стали с шиной и уголками, толщина 0,55 мм, периметр 500 мм</t>
        </is>
      </c>
      <c r="E96" s="140" t="inlineStr">
        <is>
          <t>м2</t>
        </is>
      </c>
      <c r="F96" s="140" t="n">
        <v>5.36</v>
      </c>
      <c r="G96" s="76" t="n">
        <v>185.53</v>
      </c>
      <c r="H96" s="76">
        <f>ROUND(F96*G96,2)</f>
        <v/>
      </c>
    </row>
    <row r="97" ht="47.25" customHeight="1" s="115">
      <c r="A97" s="140" t="n">
        <v>81</v>
      </c>
      <c r="B97" s="95" t="n"/>
      <c r="C97" s="141" t="inlineStr">
        <is>
          <t>19.4.02.02-0024</t>
        </is>
      </c>
      <c r="D97" s="141" t="inlineStr">
        <is>
          <t>Глушители шума прямоугольного сечения трубчатые ГТПи 40-20-60, сечение обечайки 400x200 мм</t>
        </is>
      </c>
      <c r="E97" s="140" t="inlineStr">
        <is>
          <t>шт</t>
        </is>
      </c>
      <c r="F97" s="140" t="n">
        <v>2</v>
      </c>
      <c r="G97" s="76" t="n">
        <v>449.7</v>
      </c>
      <c r="H97" s="76">
        <f>ROUND(F97*G97,2)</f>
        <v/>
      </c>
    </row>
    <row r="98" ht="31.5" customHeight="1" s="115">
      <c r="A98" s="140" t="n">
        <v>82</v>
      </c>
      <c r="B98" s="95" t="n"/>
      <c r="C98" s="141" t="inlineStr">
        <is>
          <t>20.1.02.19-0015</t>
        </is>
      </c>
      <c r="D98" s="141" t="inlineStr">
        <is>
          <t>Канат стальной арматурный 1х7, диаметр каната 4,5 мм, диаметр проволоки 1,5 мм</t>
        </is>
      </c>
      <c r="E98" s="140" t="inlineStr">
        <is>
          <t>м</t>
        </is>
      </c>
      <c r="F98" s="140" t="n">
        <v>74.40000000000001</v>
      </c>
      <c r="G98" s="76" t="n">
        <v>12.03</v>
      </c>
      <c r="H98" s="76">
        <f>ROUND(F98*G98,2)</f>
        <v/>
      </c>
    </row>
    <row r="99">
      <c r="A99" s="140" t="n">
        <v>83</v>
      </c>
      <c r="B99" s="95" t="n"/>
      <c r="C99" s="141" t="inlineStr">
        <is>
          <t>14.4.01.18-0002</t>
        </is>
      </c>
      <c r="D99" s="141" t="inlineStr">
        <is>
          <t>Грунтовка ФЛ-03К, коричневая</t>
        </is>
      </c>
      <c r="E99" s="140" t="inlineStr">
        <is>
          <t>т</t>
        </is>
      </c>
      <c r="F99" s="140" t="n">
        <v>0.0288</v>
      </c>
      <c r="G99" s="76" t="n">
        <v>29470.1</v>
      </c>
      <c r="H99" s="76">
        <f>ROUND(F99*G99,2)</f>
        <v/>
      </c>
    </row>
    <row r="100" ht="31.5" customHeight="1" s="115">
      <c r="A100" s="140" t="n">
        <v>84</v>
      </c>
      <c r="B100" s="95" t="n"/>
      <c r="C100" s="141" t="inlineStr">
        <is>
          <t>21.1.06.10-0378</t>
        </is>
      </c>
      <c r="D100" s="141" t="inlineStr">
        <is>
          <t>Кабель силовой с медными жилами ВВГнг(A)-LS 3х4ок-1000</t>
        </is>
      </c>
      <c r="E100" s="140" t="inlineStr">
        <is>
          <t>1000 м</t>
        </is>
      </c>
      <c r="F100" s="140" t="n">
        <v>0.04</v>
      </c>
      <c r="G100" s="76" t="n">
        <v>20634.54</v>
      </c>
      <c r="H100" s="76">
        <f>ROUND(F100*G100,2)</f>
        <v/>
      </c>
    </row>
    <row r="101">
      <c r="A101" s="140" t="n">
        <v>85</v>
      </c>
      <c r="B101" s="95" t="n"/>
      <c r="C101" s="141" t="inlineStr">
        <is>
          <t>01.7.06.03-0023</t>
        </is>
      </c>
      <c r="D101" s="141" t="inlineStr">
        <is>
          <t>Лента полиэтиленовая с липким слоем, марка А</t>
        </is>
      </c>
      <c r="E101" s="140" t="inlineStr">
        <is>
          <t>кг</t>
        </is>
      </c>
      <c r="F101" s="140" t="n">
        <v>20.572968</v>
      </c>
      <c r="G101" s="76" t="n">
        <v>39.02</v>
      </c>
      <c r="H101" s="76">
        <f>ROUND(F101*G101,2)</f>
        <v/>
      </c>
    </row>
    <row r="102">
      <c r="A102" s="140" t="n">
        <v>86</v>
      </c>
      <c r="B102" s="95" t="n"/>
      <c r="C102" s="141" t="inlineStr">
        <is>
          <t>01.7.15.03-0042</t>
        </is>
      </c>
      <c r="D102" s="141" t="inlineStr">
        <is>
          <t>Болты с гайками и шайбами строительные</t>
        </is>
      </c>
      <c r="E102" s="140" t="inlineStr">
        <is>
          <t>кг</t>
        </is>
      </c>
      <c r="F102" s="140" t="n">
        <v>78.933162</v>
      </c>
      <c r="G102" s="76" t="n">
        <v>9.039999999999999</v>
      </c>
      <c r="H102" s="76">
        <f>ROUND(F102*G102,2)</f>
        <v/>
      </c>
    </row>
    <row r="103" ht="31.5" customHeight="1" s="115">
      <c r="A103" s="140" t="n">
        <v>87</v>
      </c>
      <c r="B103" s="95" t="n"/>
      <c r="C103" s="141" t="inlineStr">
        <is>
          <t>19.1.01.03-0071</t>
        </is>
      </c>
      <c r="D103" s="141" t="inlineStr">
        <is>
          <t>Воздуховоды из оцинкованной стали, толщина 0,5 мм, диаметр до 200 мм</t>
        </is>
      </c>
      <c r="E103" s="140" t="inlineStr">
        <is>
          <t>м2</t>
        </is>
      </c>
      <c r="F103" s="140" t="n">
        <v>6</v>
      </c>
      <c r="G103" s="76" t="n">
        <v>96.29000000000001</v>
      </c>
      <c r="H103" s="76">
        <f>ROUND(F103*G103,2)</f>
        <v/>
      </c>
    </row>
    <row r="104" ht="31.5" customHeight="1" s="115">
      <c r="A104" s="140" t="n">
        <v>88</v>
      </c>
      <c r="B104" s="95" t="n"/>
      <c r="C104" s="141" t="inlineStr">
        <is>
          <t>19.1.01.07-0010</t>
        </is>
      </c>
      <c r="D104" s="141" t="inlineStr">
        <is>
          <t>Врезка из оцинкованной стали, диаметр 300/100 мм</t>
        </is>
      </c>
      <c r="E104" s="140" t="inlineStr">
        <is>
          <t>шт</t>
        </is>
      </c>
      <c r="F104" s="140" t="n">
        <v>21</v>
      </c>
      <c r="G104" s="76" t="n">
        <v>26.7</v>
      </c>
      <c r="H104" s="76">
        <f>ROUND(F104*G104,2)</f>
        <v/>
      </c>
    </row>
    <row r="105" ht="31.5" customHeight="1" s="115">
      <c r="A105" s="140" t="n">
        <v>89</v>
      </c>
      <c r="B105" s="95" t="n"/>
      <c r="C105" s="141" t="inlineStr">
        <is>
          <t>23.8.03.01-0044</t>
        </is>
      </c>
      <c r="D105" s="141" t="inlineStr">
        <is>
          <t>Заглушки стальные фланцевые, номинальный диаметр 200 мм</t>
        </is>
      </c>
      <c r="E105" s="140" t="inlineStr">
        <is>
          <t>шт</t>
        </is>
      </c>
      <c r="F105" s="140" t="n">
        <v>1</v>
      </c>
      <c r="G105" s="76" t="n">
        <v>505.42</v>
      </c>
      <c r="H105" s="76">
        <f>ROUND(F105*G105,2)</f>
        <v/>
      </c>
    </row>
    <row r="106" ht="31.5" customHeight="1" s="115">
      <c r="A106" s="140" t="n">
        <v>90</v>
      </c>
      <c r="B106" s="95" t="n"/>
      <c r="C106" s="141" t="inlineStr">
        <is>
          <t>19.1.01.02-0014</t>
        </is>
      </c>
      <c r="D106" s="141" t="inlineStr">
        <is>
          <t>Воздуховоды из листовой стали, толщиной 1,0 мм, диаметр до 400 мм {толщ. 0.9 мм}</t>
        </is>
      </c>
      <c r="E106" s="140" t="inlineStr">
        <is>
          <t>м2</t>
        </is>
      </c>
      <c r="F106" s="140" t="n">
        <v>5</v>
      </c>
      <c r="G106" s="76" t="n">
        <v>98.2</v>
      </c>
      <c r="H106" s="76">
        <f>ROUND(F106*G106,2)</f>
        <v/>
      </c>
    </row>
    <row r="107">
      <c r="A107" s="140" t="n">
        <v>91</v>
      </c>
      <c r="B107" s="95" t="n"/>
      <c r="C107" s="141" t="inlineStr">
        <is>
          <t>14.5.09.07-0030</t>
        </is>
      </c>
      <c r="D107" s="141" t="inlineStr">
        <is>
          <t>Растворитель Р-4</t>
        </is>
      </c>
      <c r="E107" s="140" t="inlineStr">
        <is>
          <t>кг</t>
        </is>
      </c>
      <c r="F107" s="140" t="n">
        <v>51.2</v>
      </c>
      <c r="G107" s="76" t="n">
        <v>9.42</v>
      </c>
      <c r="H107" s="76">
        <f>ROUND(F107*G107,2)</f>
        <v/>
      </c>
    </row>
    <row r="108" ht="47.25" customHeight="1" s="115">
      <c r="A108" s="140" t="n">
        <v>92</v>
      </c>
      <c r="B108" s="95" t="n"/>
      <c r="C108" s="141" t="inlineStr">
        <is>
          <t>19.1.01.01-0001</t>
        </is>
      </c>
      <c r="D108" s="141" t="inlineStr">
        <is>
          <t>Воздуховоды алюминиевые гибкие гофрированные, класс Н, тип ВАГГ, диаметр 100 мм</t>
        </is>
      </c>
      <c r="E108" s="140" t="inlineStr">
        <is>
          <t>м2</t>
        </is>
      </c>
      <c r="F108" s="140" t="n">
        <v>5.7</v>
      </c>
      <c r="G108" s="76" t="n">
        <v>75.59999999999999</v>
      </c>
      <c r="H108" s="76">
        <f>ROUND(F108*G108,2)</f>
        <v/>
      </c>
    </row>
    <row r="109" ht="31.5" customHeight="1" s="115">
      <c r="A109" s="140" t="n">
        <v>93</v>
      </c>
      <c r="B109" s="95" t="n"/>
      <c r="C109" s="141" t="inlineStr">
        <is>
          <t>19.1.04.02-0004</t>
        </is>
      </c>
      <c r="D109" s="141" t="inlineStr">
        <is>
          <t>Дефлекторы статические из оцинкованной стали, диаметр 160 мм</t>
        </is>
      </c>
      <c r="E109" s="140" t="inlineStr">
        <is>
          <t>шт</t>
        </is>
      </c>
      <c r="F109" s="140" t="n">
        <v>1</v>
      </c>
      <c r="G109" s="76" t="n">
        <v>366.29</v>
      </c>
      <c r="H109" s="76">
        <f>ROUND(F109*G109,2)</f>
        <v/>
      </c>
    </row>
    <row r="110">
      <c r="A110" s="140" t="n">
        <v>94</v>
      </c>
      <c r="B110" s="95" t="n"/>
      <c r="C110" s="141" t="inlineStr">
        <is>
          <t>08.1.03.04-0001</t>
        </is>
      </c>
      <c r="D110" s="141" t="inlineStr">
        <is>
          <t>Блочки</t>
        </is>
      </c>
      <c r="E110" s="140" t="inlineStr">
        <is>
          <t>10 шт</t>
        </is>
      </c>
      <c r="F110" s="140" t="n">
        <v>1.6</v>
      </c>
      <c r="G110" s="76" t="n">
        <v>228</v>
      </c>
      <c r="H110" s="76">
        <f>ROUND(F110*G110,2)</f>
        <v/>
      </c>
    </row>
    <row r="111" ht="47.25" customHeight="1" s="115">
      <c r="A111" s="140" t="n">
        <v>95</v>
      </c>
      <c r="B111" s="95" t="n"/>
      <c r="C111" s="141" t="inlineStr">
        <is>
          <t>19.1.01.01-0002</t>
        </is>
      </c>
      <c r="D111" s="141" t="inlineStr">
        <is>
          <t>Воздуховоды алюминиевые гибкие гофрированные, класс Н, тип ВАГГ, диаметр 200 мм</t>
        </is>
      </c>
      <c r="E111" s="140" t="inlineStr">
        <is>
          <t>м2</t>
        </is>
      </c>
      <c r="F111" s="140" t="n">
        <v>4.6</v>
      </c>
      <c r="G111" s="76" t="n">
        <v>79.12</v>
      </c>
      <c r="H111" s="76">
        <f>ROUND(F111*G111,2)</f>
        <v/>
      </c>
    </row>
    <row r="112" ht="31.5" customHeight="1" s="115">
      <c r="A112" s="140" t="n">
        <v>96</v>
      </c>
      <c r="B112" s="95" t="n"/>
      <c r="C112" s="141" t="inlineStr">
        <is>
          <t>Прайс из СД ОП</t>
        </is>
      </c>
      <c r="D112" s="141" t="inlineStr">
        <is>
          <t>Насадок с водоотводящим кольцом    d710  НВК 00.00-08</t>
        </is>
      </c>
      <c r="E112" s="140" t="inlineStr">
        <is>
          <t>шт</t>
        </is>
      </c>
      <c r="F112" s="140" t="n">
        <v>1</v>
      </c>
      <c r="G112" s="76" t="n">
        <v>284.89</v>
      </c>
      <c r="H112" s="76">
        <f>ROUND(F112*G112,2)</f>
        <v/>
      </c>
    </row>
    <row r="113" ht="31.5" customHeight="1" s="115">
      <c r="A113" s="140" t="n">
        <v>97</v>
      </c>
      <c r="B113" s="95" t="n"/>
      <c r="C113" s="141" t="inlineStr">
        <is>
          <t>19.1.01.08-0005</t>
        </is>
      </c>
      <c r="D113" s="141" t="inlineStr">
        <is>
          <t>Заглушка торцевая оцинкованная для воздуховодов, сечение 200x200 мм {300х100}</t>
        </is>
      </c>
      <c r="E113" s="140" t="inlineStr">
        <is>
          <t>шт</t>
        </is>
      </c>
      <c r="F113" s="140" t="n">
        <v>20</v>
      </c>
      <c r="G113" s="76" t="n">
        <v>13.18</v>
      </c>
      <c r="H113" s="76">
        <f>ROUND(F113*G113,2)</f>
        <v/>
      </c>
    </row>
    <row r="114" ht="47.25" customHeight="1" s="115">
      <c r="A114" s="140" t="n">
        <v>98</v>
      </c>
      <c r="B114" s="95" t="n"/>
      <c r="C114" s="141" t="inlineStr">
        <is>
          <t>19.2.03.02-0107</t>
        </is>
      </c>
      <c r="D114" s="141" t="inlineStr">
        <is>
          <t>Решетки вентиляционные алюминиевые "АРКТОС" типа: АМР, размером 100х200 мм (АМР 100х100)</t>
        </is>
      </c>
      <c r="E114" s="140" t="inlineStr">
        <is>
          <t>шт</t>
        </is>
      </c>
      <c r="F114" s="140" t="n">
        <v>2</v>
      </c>
      <c r="G114" s="76" t="n">
        <v>122.4</v>
      </c>
      <c r="H114" s="76">
        <f>ROUND(F114*G114,2)</f>
        <v/>
      </c>
    </row>
    <row r="115" ht="47.25" customHeight="1" s="115">
      <c r="A115" s="140" t="n">
        <v>99</v>
      </c>
      <c r="B115" s="95" t="n"/>
      <c r="C115" s="141" t="inlineStr">
        <is>
          <t>19.2.03.02-0107</t>
        </is>
      </c>
      <c r="D115" s="141" t="inlineStr">
        <is>
          <t>Решетки вентиляционные алюминиевые "АРКТОС" типа: АМР, размером 100х200 мм {АМР 150х100}</t>
        </is>
      </c>
      <c r="E115" s="140" t="inlineStr">
        <is>
          <t>шт</t>
        </is>
      </c>
      <c r="F115" s="140" t="n">
        <v>2</v>
      </c>
      <c r="G115" s="76" t="n">
        <v>122.4</v>
      </c>
      <c r="H115" s="76">
        <f>ROUND(F115*G115,2)</f>
        <v/>
      </c>
    </row>
    <row r="116" ht="31.5" customHeight="1" s="115">
      <c r="A116" s="140" t="n">
        <v>100</v>
      </c>
      <c r="B116" s="95" t="n"/>
      <c r="C116" s="141" t="inlineStr">
        <is>
          <t>08.3.02.01-0041</t>
        </is>
      </c>
      <c r="D116" s="141" t="inlineStr">
        <is>
          <t>Лента стальная упаковочная мягкая нормальной точности 0,7х20-50 мм</t>
        </is>
      </c>
      <c r="E116" s="140" t="inlineStr">
        <is>
          <t>т</t>
        </is>
      </c>
      <c r="F116" s="140" t="n">
        <v>0.0320537</v>
      </c>
      <c r="G116" s="76" t="n">
        <v>7590</v>
      </c>
      <c r="H116" s="76">
        <f>ROUND(F116*G116,2)</f>
        <v/>
      </c>
    </row>
    <row r="117" ht="31.5" customHeight="1" s="115">
      <c r="A117" s="140" t="n">
        <v>101</v>
      </c>
      <c r="B117" s="95" t="n"/>
      <c r="C117" s="141" t="inlineStr">
        <is>
          <t>08.1.03.01-0005</t>
        </is>
      </c>
      <c r="D117" s="141" t="inlineStr">
        <is>
          <t>Дверь стальная для вентиляционных камер утепленная, размер 900х400 мм</t>
        </is>
      </c>
      <c r="E117" s="140" t="inlineStr">
        <is>
          <t>шт</t>
        </is>
      </c>
      <c r="F117" s="140" t="n">
        <v>1</v>
      </c>
      <c r="G117" s="76" t="n">
        <v>230.57</v>
      </c>
      <c r="H117" s="76">
        <f>ROUND(F117*G117,2)</f>
        <v/>
      </c>
    </row>
    <row r="118" ht="31.5" customHeight="1" s="115">
      <c r="A118" s="140" t="n">
        <v>102</v>
      </c>
      <c r="B118" s="95" t="n"/>
      <c r="C118" s="141" t="inlineStr">
        <is>
          <t>19.1.05.04-0006</t>
        </is>
      </c>
      <c r="D118" s="141" t="inlineStr">
        <is>
          <t>Диффузоры потолочные пластиковые универсальные, диаметр 100 мм</t>
        </is>
      </c>
      <c r="E118" s="140" t="inlineStr">
        <is>
          <t>шт</t>
        </is>
      </c>
      <c r="F118" s="140" t="n">
        <v>9</v>
      </c>
      <c r="G118" s="76" t="n">
        <v>25.25</v>
      </c>
      <c r="H118" s="76">
        <f>ROUND(F118*G118,2)</f>
        <v/>
      </c>
    </row>
    <row r="119" ht="31.5" customHeight="1" s="115">
      <c r="A119" s="140" t="n">
        <v>103</v>
      </c>
      <c r="B119" s="95" t="n"/>
      <c r="C119" s="141" t="inlineStr">
        <is>
          <t>19.2.03.02-0120</t>
        </is>
      </c>
      <c r="D119" s="141" t="inlineStr">
        <is>
          <t>Решетки вентиляционные алюминиевые "АРКТОС" типа: АМР, размером 200х400 мм</t>
        </is>
      </c>
      <c r="E119" s="140" t="inlineStr">
        <is>
          <t>шт</t>
        </is>
      </c>
      <c r="F119" s="140" t="n">
        <v>1</v>
      </c>
      <c r="G119" s="76" t="n">
        <v>218.2</v>
      </c>
      <c r="H119" s="76">
        <f>ROUND(F119*G119,2)</f>
        <v/>
      </c>
    </row>
    <row r="120" ht="31.5" customHeight="1" s="115">
      <c r="A120" s="140" t="n">
        <v>104</v>
      </c>
      <c r="B120" s="95" t="n"/>
      <c r="C120" s="141" t="inlineStr">
        <is>
          <t>10.3.02.03-0011</t>
        </is>
      </c>
      <c r="D120" s="141" t="inlineStr">
        <is>
          <t>Припои оловянно-свинцовые бессурьмянистые, марка ПОС30</t>
        </is>
      </c>
      <c r="E120" s="140" t="inlineStr">
        <is>
          <t>т</t>
        </is>
      </c>
      <c r="F120" s="140" t="n">
        <v>0.003129</v>
      </c>
      <c r="G120" s="76" t="n">
        <v>68050</v>
      </c>
      <c r="H120" s="76">
        <f>ROUND(F120*G120,2)</f>
        <v/>
      </c>
    </row>
    <row r="121" ht="31.5" customHeight="1" s="115">
      <c r="A121" s="140" t="n">
        <v>105</v>
      </c>
      <c r="B121" s="95" t="n"/>
      <c r="C121" s="141" t="inlineStr">
        <is>
          <t>19.1.01.07-0001</t>
        </is>
      </c>
      <c r="D121" s="141" t="inlineStr">
        <is>
          <t>Врезка из оцинкованной стали, диаметр 150/100 мм</t>
        </is>
      </c>
      <c r="E121" s="140" t="inlineStr">
        <is>
          <t>шт</t>
        </is>
      </c>
      <c r="F121" s="140" t="n">
        <v>12</v>
      </c>
      <c r="G121" s="76" t="n">
        <v>17.47</v>
      </c>
      <c r="H121" s="76">
        <f>ROUND(F121*G121,2)</f>
        <v/>
      </c>
    </row>
    <row r="122" ht="47.25" customHeight="1" s="115">
      <c r="A122" s="140" t="n">
        <v>106</v>
      </c>
      <c r="B122" s="95" t="n"/>
      <c r="C122" s="141" t="inlineStr">
        <is>
          <t>19.1.01.09-0025</t>
        </is>
      </c>
      <c r="D122" s="141" t="inlineStr">
        <is>
          <t>Изделия фасонные для воздуховодов из оцинкованной стали с шиной и уголками, толщина 0,55 мм, периметр 600 мм</t>
        </is>
      </c>
      <c r="E122" s="140" t="inlineStr">
        <is>
          <t>м2</t>
        </is>
      </c>
      <c r="F122" s="140" t="n">
        <v>1.16</v>
      </c>
      <c r="G122" s="76" t="n">
        <v>180.06</v>
      </c>
      <c r="H122" s="76">
        <f>ROUND(F122*G122,2)</f>
        <v/>
      </c>
    </row>
    <row r="123" ht="47.25" customHeight="1" s="115">
      <c r="A123" s="140" t="n">
        <v>107</v>
      </c>
      <c r="B123" s="95" t="n"/>
      <c r="C123" s="141" t="inlineStr">
        <is>
          <t>19.2.02.02-0028</t>
        </is>
      </c>
      <c r="D123" s="141" t="inlineStr">
        <is>
          <t>Зонты вентиляционных систем из оцинкованной стали, прямоугольного сечения, размер 300х500 мм {300х200 мм}</t>
        </is>
      </c>
      <c r="E123" s="140" t="inlineStr">
        <is>
          <t>шт</t>
        </is>
      </c>
      <c r="F123" s="140" t="n">
        <v>1</v>
      </c>
      <c r="G123" s="76" t="n">
        <v>200</v>
      </c>
      <c r="H123" s="76">
        <f>ROUND(F123*G123,2)</f>
        <v/>
      </c>
    </row>
    <row r="124" ht="31.5" customHeight="1" s="115">
      <c r="A124" s="140" t="n">
        <v>108</v>
      </c>
      <c r="B124" s="95" t="n"/>
      <c r="C124" s="141" t="inlineStr">
        <is>
          <t>19.2.03.03-0047</t>
        </is>
      </c>
      <c r="D124" s="141" t="inlineStr">
        <is>
          <t>Решетки вентиляционные наружные РН, из оцинкованной стали, размер 350х600 мм</t>
        </is>
      </c>
      <c r="E124" s="140" t="inlineStr">
        <is>
          <t>шт</t>
        </is>
      </c>
      <c r="F124" s="140" t="n">
        <v>1</v>
      </c>
      <c r="G124" s="76" t="n">
        <v>179.87</v>
      </c>
      <c r="H124" s="76">
        <f>ROUND(F124*G124,2)</f>
        <v/>
      </c>
    </row>
    <row r="125" ht="31.5" customHeight="1" s="115">
      <c r="A125" s="140" t="n">
        <v>109</v>
      </c>
      <c r="B125" s="95" t="n"/>
      <c r="C125" s="141" t="inlineStr">
        <is>
          <t>23.8.03.06-0009</t>
        </is>
      </c>
      <c r="D125" s="141" t="inlineStr">
        <is>
          <t>Сгоны стальные с муфтой и контргайкой, номинальный диаметр 40 мм</t>
        </is>
      </c>
      <c r="E125" s="140" t="inlineStr">
        <is>
          <t>шт</t>
        </is>
      </c>
      <c r="F125" s="140" t="n">
        <v>9</v>
      </c>
      <c r="G125" s="76" t="n">
        <v>18.88</v>
      </c>
      <c r="H125" s="76">
        <f>ROUND(F125*G125,2)</f>
        <v/>
      </c>
    </row>
    <row r="126">
      <c r="A126" s="140" t="n">
        <v>110</v>
      </c>
      <c r="B126" s="95" t="n"/>
      <c r="C126" s="141" t="inlineStr">
        <is>
          <t>Прайс из СД ОП</t>
        </is>
      </c>
      <c r="D126" s="141" t="inlineStr">
        <is>
          <t>Клеящий состав Плазас</t>
        </is>
      </c>
      <c r="E126" s="140" t="inlineStr">
        <is>
          <t>кг</t>
        </is>
      </c>
      <c r="F126" s="140" t="n">
        <v>24</v>
      </c>
      <c r="G126" s="76" t="n">
        <v>6.99</v>
      </c>
      <c r="H126" s="76">
        <f>ROUND(F126*G126,2)</f>
        <v/>
      </c>
    </row>
    <row r="127" ht="31.5" customHeight="1" s="115">
      <c r="A127" s="140" t="n">
        <v>111</v>
      </c>
      <c r="B127" s="95" t="n"/>
      <c r="C127" s="141" t="inlineStr">
        <is>
          <t>20.2.10.03-0002</t>
        </is>
      </c>
      <c r="D127" s="141" t="inlineStr">
        <is>
          <t>Наконечники кабельные медные для электротехнических установок</t>
        </is>
      </c>
      <c r="E127" s="140" t="inlineStr">
        <is>
          <t>100 шт</t>
        </is>
      </c>
      <c r="F127" s="140" t="n">
        <v>0.0408</v>
      </c>
      <c r="G127" s="76" t="n">
        <v>3986</v>
      </c>
      <c r="H127" s="76">
        <f>ROUND(F127*G127,2)</f>
        <v/>
      </c>
    </row>
    <row r="128" ht="31.5" customHeight="1" s="115">
      <c r="A128" s="140" t="n">
        <v>112</v>
      </c>
      <c r="B128" s="95" t="n"/>
      <c r="C128" s="141" t="inlineStr">
        <is>
          <t>19.2.03.02-0112</t>
        </is>
      </c>
      <c r="D128" s="141" t="inlineStr">
        <is>
          <t>Решетки вентиляционные алюминиевые "АРКТОС" типа: АМР, размером 150х300 мм</t>
        </is>
      </c>
      <c r="E128" s="140" t="inlineStr">
        <is>
          <t>шт</t>
        </is>
      </c>
      <c r="F128" s="140" t="n">
        <v>1</v>
      </c>
      <c r="G128" s="76" t="n">
        <v>158.07</v>
      </c>
      <c r="H128" s="76">
        <f>ROUND(F128*G128,2)</f>
        <v/>
      </c>
    </row>
    <row r="129" ht="31.5" customHeight="1" s="115">
      <c r="A129" s="140" t="n">
        <v>113</v>
      </c>
      <c r="B129" s="95" t="n"/>
      <c r="C129" s="141" t="inlineStr">
        <is>
          <t>11.1.03.01-0079</t>
        </is>
      </c>
      <c r="D129" s="141" t="inlineStr">
        <is>
          <t>Бруски обрезные, хвойных пород, длина 4-6,5 м, ширина 75-150 мм, толщина 40-75 мм, сорт III</t>
        </is>
      </c>
      <c r="E129" s="140" t="inlineStr">
        <is>
          <t>м3</t>
        </is>
      </c>
      <c r="F129" s="140" t="n">
        <v>0.102336</v>
      </c>
      <c r="G129" s="76" t="n">
        <v>1287</v>
      </c>
      <c r="H129" s="76">
        <f>ROUND(F129*G129,2)</f>
        <v/>
      </c>
    </row>
    <row r="130" ht="47.25" customHeight="1" s="115">
      <c r="A130" s="140" t="n">
        <v>114</v>
      </c>
      <c r="B130" s="95" t="n"/>
      <c r="C130" s="141" t="inlineStr">
        <is>
          <t>19.2.03.02-0049</t>
        </is>
      </c>
      <c r="D130" s="141" t="inlineStr">
        <is>
          <t>Решетки вентиляционные алюминиевые "АРКТОС" типа: АЛР, размером 200х100 мм {АЛН 200х100}</t>
        </is>
      </c>
      <c r="E130" s="140" t="inlineStr">
        <is>
          <t>шт</t>
        </is>
      </c>
      <c r="F130" s="140" t="n">
        <v>1</v>
      </c>
      <c r="G130" s="76" t="n">
        <v>126.59</v>
      </c>
      <c r="H130" s="76">
        <f>ROUND(F130*G130,2)</f>
        <v/>
      </c>
    </row>
    <row r="131">
      <c r="A131" s="140" t="n">
        <v>115</v>
      </c>
      <c r="B131" s="95" t="n"/>
      <c r="C131" s="141" t="inlineStr">
        <is>
          <t>07.2.06.02-0002</t>
        </is>
      </c>
      <c r="D131" s="141" t="inlineStr">
        <is>
          <t>Ревизионный люк 30x30 см</t>
        </is>
      </c>
      <c r="E131" s="140" t="inlineStr">
        <is>
          <t>шт</t>
        </is>
      </c>
      <c r="F131" s="140" t="n">
        <v>3</v>
      </c>
      <c r="G131" s="76" t="n">
        <v>42</v>
      </c>
      <c r="H131" s="76">
        <f>ROUND(F131*G131,2)</f>
        <v/>
      </c>
    </row>
    <row r="132" ht="31.5" customHeight="1" s="115">
      <c r="A132" s="140" t="n">
        <v>116</v>
      </c>
      <c r="B132" s="95" t="n"/>
      <c r="C132" s="141" t="inlineStr">
        <is>
          <t>19.2.03.02-0108</t>
        </is>
      </c>
      <c r="D132" s="141" t="inlineStr">
        <is>
          <t>Решетки вентиляционные алюминиевые "АРКТОС" типа: АМР, размером 100х300 мм</t>
        </is>
      </c>
      <c r="E132" s="140" t="inlineStr">
        <is>
          <t>шт</t>
        </is>
      </c>
      <c r="F132" s="140" t="n">
        <v>1</v>
      </c>
      <c r="G132" s="76" t="n">
        <v>123.76</v>
      </c>
      <c r="H132" s="76">
        <f>ROUND(F132*G132,2)</f>
        <v/>
      </c>
    </row>
    <row r="133" ht="31.5" customHeight="1" s="115">
      <c r="A133" s="140" t="n">
        <v>117</v>
      </c>
      <c r="B133" s="95" t="n"/>
      <c r="C133" s="141" t="inlineStr">
        <is>
          <t>19.1.01.07-0003</t>
        </is>
      </c>
      <c r="D133" s="141" t="inlineStr">
        <is>
          <t>Врезка из оцинкованной стали, диаметр 200/100 мм</t>
        </is>
      </c>
      <c r="E133" s="140" t="inlineStr">
        <is>
          <t>шт</t>
        </is>
      </c>
      <c r="F133" s="140" t="n">
        <v>5</v>
      </c>
      <c r="G133" s="76" t="n">
        <v>20.87</v>
      </c>
      <c r="H133" s="76">
        <f>ROUND(F133*G133,2)</f>
        <v/>
      </c>
    </row>
    <row r="134">
      <c r="A134" s="140" t="n">
        <v>118</v>
      </c>
      <c r="B134" s="95" t="n"/>
      <c r="C134" s="141" t="inlineStr">
        <is>
          <t>08.3.05.05-0054</t>
        </is>
      </c>
      <c r="D134" s="141" t="inlineStr">
        <is>
          <t>Сталь листовая оцинкованная, толщина 0,8 мм</t>
        </is>
      </c>
      <c r="E134" s="140" t="inlineStr">
        <is>
          <t>т</t>
        </is>
      </c>
      <c r="F134" s="140" t="n">
        <v>0.0093154</v>
      </c>
      <c r="G134" s="76" t="n">
        <v>11000</v>
      </c>
      <c r="H134" s="76">
        <f>ROUND(F134*G134,2)</f>
        <v/>
      </c>
    </row>
    <row r="135" ht="31.5" customHeight="1" s="115">
      <c r="A135" s="140" t="n">
        <v>119</v>
      </c>
      <c r="B135" s="95" t="n"/>
      <c r="C135" s="141" t="inlineStr">
        <is>
          <t>11.1.03.06-0091</t>
        </is>
      </c>
      <c r="D135" s="141" t="inlineStr">
        <is>
          <t>Доска обрезная, хвойных пород, ширина 75-150 мм, толщина 32-40 мм, длина 4-6,5 м, сорт III</t>
        </is>
      </c>
      <c r="E135" s="140" t="inlineStr">
        <is>
          <t>м3</t>
        </is>
      </c>
      <c r="F135" s="140" t="n">
        <v>0.08856</v>
      </c>
      <c r="G135" s="76" t="n">
        <v>1155</v>
      </c>
      <c r="H135" s="76">
        <f>ROUND(F135*G135,2)</f>
        <v/>
      </c>
    </row>
    <row r="136">
      <c r="A136" s="140" t="n">
        <v>120</v>
      </c>
      <c r="B136" s="95" t="n"/>
      <c r="C136" s="141" t="inlineStr">
        <is>
          <t>01.7.15.02-0051</t>
        </is>
      </c>
      <c r="D136" s="141" t="inlineStr">
        <is>
          <t>Болты анкерные</t>
        </is>
      </c>
      <c r="E136" s="140" t="inlineStr">
        <is>
          <t>т</t>
        </is>
      </c>
      <c r="F136" s="140" t="n">
        <v>0.00988</v>
      </c>
      <c r="G136" s="76" t="n">
        <v>10068</v>
      </c>
      <c r="H136" s="76">
        <f>ROUND(F136*G136,2)</f>
        <v/>
      </c>
    </row>
    <row r="137" ht="31.5" customHeight="1" s="115">
      <c r="A137" s="140" t="n">
        <v>121</v>
      </c>
      <c r="B137" s="95" t="n"/>
      <c r="C137" s="141" t="inlineStr">
        <is>
          <t>01.1.01.09-0026</t>
        </is>
      </c>
      <c r="D137" s="141" t="inlineStr">
        <is>
          <t>Шнур асбестовый общего назначения ШАОН, диаметр 8-10 мм</t>
        </is>
      </c>
      <c r="E137" s="140" t="inlineStr">
        <is>
          <t>т</t>
        </is>
      </c>
      <c r="F137" s="140" t="n">
        <v>0.0034839</v>
      </c>
      <c r="G137" s="76" t="n">
        <v>26499</v>
      </c>
      <c r="H137" s="76">
        <f>ROUND(F137*G137,2)</f>
        <v/>
      </c>
    </row>
    <row r="138" ht="63" customHeight="1" s="115">
      <c r="A138" s="140" t="n">
        <v>122</v>
      </c>
      <c r="B138" s="95" t="n"/>
      <c r="C138" s="141" t="inlineStr">
        <is>
          <t>14.5.04.03-0002</t>
        </is>
      </c>
      <c r="D138" s="141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138" s="140" t="inlineStr">
        <is>
          <t>т</t>
        </is>
      </c>
      <c r="F138" s="140" t="n">
        <v>0.0053204</v>
      </c>
      <c r="G138" s="76" t="n">
        <v>17183</v>
      </c>
      <c r="H138" s="76">
        <f>ROUND(F138*G138,2)</f>
        <v/>
      </c>
    </row>
    <row r="139" ht="31.5" customHeight="1" s="115">
      <c r="A139" s="140" t="n">
        <v>123</v>
      </c>
      <c r="B139" s="95" t="n"/>
      <c r="C139" s="141" t="inlineStr">
        <is>
          <t>19.1.05.04-0009</t>
        </is>
      </c>
      <c r="D139" s="141" t="inlineStr">
        <is>
          <t>Диффузоры потолочные пластиковые универсальные, диаметр 200 мм</t>
        </is>
      </c>
      <c r="E139" s="140" t="inlineStr">
        <is>
          <t>шт</t>
        </is>
      </c>
      <c r="F139" s="140" t="n">
        <v>2.0000004</v>
      </c>
      <c r="G139" s="76" t="n">
        <v>45.19</v>
      </c>
      <c r="H139" s="76">
        <f>ROUND(F139*G139,2)</f>
        <v/>
      </c>
    </row>
    <row r="140" ht="31.5" customHeight="1" s="115">
      <c r="A140" s="140" t="n">
        <v>124</v>
      </c>
      <c r="B140" s="95" t="n"/>
      <c r="C140" s="141" t="inlineStr">
        <is>
          <t>19.1.01.07-0011</t>
        </is>
      </c>
      <c r="D140" s="141" t="inlineStr">
        <is>
          <t>Врезка из оцинкованной стали, диаметр 300/150 мм</t>
        </is>
      </c>
      <c r="E140" s="140" t="inlineStr">
        <is>
          <t>шт</t>
        </is>
      </c>
      <c r="F140" s="140" t="n">
        <v>3</v>
      </c>
      <c r="G140" s="76" t="n">
        <v>30.09</v>
      </c>
      <c r="H140" s="76">
        <f>ROUND(F140*G140,2)</f>
        <v/>
      </c>
    </row>
    <row r="141">
      <c r="A141" s="140" t="n">
        <v>125</v>
      </c>
      <c r="B141" s="95" t="n"/>
      <c r="C141" s="141" t="inlineStr">
        <is>
          <t>01.7.11.07-0045</t>
        </is>
      </c>
      <c r="D141" s="141" t="inlineStr">
        <is>
          <t>Электроды сварочные Э42А, диаметр 5 мм</t>
        </is>
      </c>
      <c r="E141" s="140" t="inlineStr">
        <is>
          <t>т</t>
        </is>
      </c>
      <c r="F141" s="140" t="n">
        <v>0.0086812</v>
      </c>
      <c r="G141" s="76" t="n">
        <v>10362</v>
      </c>
      <c r="H141" s="76">
        <f>ROUND(F141*G141,2)</f>
        <v/>
      </c>
    </row>
    <row r="142" ht="47.25" customHeight="1" s="115">
      <c r="A142" s="140" t="n">
        <v>126</v>
      </c>
      <c r="B142" s="95" t="n"/>
      <c r="C142" s="141" t="inlineStr">
        <is>
          <t>19.1.01.12-0014</t>
        </is>
      </c>
      <c r="D142" s="141" t="inlineStr">
        <is>
          <t>Фланец прямоугольный из угловой стали для воздуховодов, сечение 600х600 мм {фланец сеч.569х404}</t>
        </is>
      </c>
      <c r="E142" s="140" t="inlineStr">
        <is>
          <t>шт</t>
        </is>
      </c>
      <c r="F142" s="140" t="n">
        <v>1</v>
      </c>
      <c r="G142" s="76" t="n">
        <v>86.09999999999999</v>
      </c>
      <c r="H142" s="76">
        <f>ROUND(F142*G142,2)</f>
        <v/>
      </c>
    </row>
    <row r="143" ht="47.25" customHeight="1" s="115">
      <c r="A143" s="140" t="n">
        <v>127</v>
      </c>
      <c r="B143" s="95" t="n"/>
      <c r="C143" s="141" t="inlineStr">
        <is>
          <t>08.1.02.17-0031</t>
        </is>
      </c>
      <c r="D143" s="141" t="inlineStr">
        <is>
          <t>Сетка плетеная без покрытия из проволоки, диаметр проволоки 1,2 мм, размер ячейки 10х10 мм</t>
        </is>
      </c>
      <c r="E143" s="140" t="inlineStr">
        <is>
          <t>м2</t>
        </is>
      </c>
      <c r="F143" s="140" t="n">
        <v>3.13</v>
      </c>
      <c r="G143" s="76" t="n">
        <v>26.05</v>
      </c>
      <c r="H143" s="76">
        <f>ROUND(F143*G143,2)</f>
        <v/>
      </c>
    </row>
    <row r="144" ht="31.5" customHeight="1" s="115">
      <c r="A144" s="140" t="n">
        <v>128</v>
      </c>
      <c r="B144" s="95" t="n"/>
      <c r="C144" s="141" t="inlineStr">
        <is>
          <t>19.1.05.04-0008</t>
        </is>
      </c>
      <c r="D144" s="141" t="inlineStr">
        <is>
          <t>Диффузоры потолочные пластиковые универсальные, диаметр 160 мм</t>
        </is>
      </c>
      <c r="E144" s="140" t="inlineStr">
        <is>
          <t>шт</t>
        </is>
      </c>
      <c r="F144" s="140" t="n">
        <v>2.0000004</v>
      </c>
      <c r="G144" s="76" t="n">
        <v>37.96</v>
      </c>
      <c r="H144" s="76">
        <f>ROUND(F144*G144,2)</f>
        <v/>
      </c>
    </row>
    <row r="145" ht="31.5" customHeight="1" s="115">
      <c r="A145" s="140" t="n">
        <v>129</v>
      </c>
      <c r="B145" s="95" t="n"/>
      <c r="C145" s="141" t="inlineStr">
        <is>
          <t>19.1.01.07-0016</t>
        </is>
      </c>
      <c r="D145" s="141" t="inlineStr">
        <is>
          <t>Врезка из оцинкованной стали, диаметр 400/150 мм</t>
        </is>
      </c>
      <c r="E145" s="140" t="inlineStr">
        <is>
          <t>шт</t>
        </is>
      </c>
      <c r="F145" s="140" t="n">
        <v>2</v>
      </c>
      <c r="G145" s="76" t="n">
        <v>36.39</v>
      </c>
      <c r="H145" s="76">
        <f>ROUND(F145*G145,2)</f>
        <v/>
      </c>
    </row>
    <row r="146">
      <c r="A146" s="140" t="n">
        <v>130</v>
      </c>
      <c r="B146" s="95" t="n"/>
      <c r="C146" s="141" t="inlineStr">
        <is>
          <t>01.7.11.07-0034</t>
        </is>
      </c>
      <c r="D146" s="141" t="inlineStr">
        <is>
          <t>Электроды сварочные Э42А, диаметр 4 мм</t>
        </is>
      </c>
      <c r="E146" s="140" t="inlineStr">
        <is>
          <t>кг</t>
        </is>
      </c>
      <c r="F146" s="140" t="n">
        <v>6.813724</v>
      </c>
      <c r="G146" s="76" t="n">
        <v>10.57</v>
      </c>
      <c r="H146" s="76">
        <f>ROUND(F146*G146,2)</f>
        <v/>
      </c>
    </row>
    <row r="147">
      <c r="A147" s="140" t="n">
        <v>131</v>
      </c>
      <c r="B147" s="95" t="n"/>
      <c r="C147" s="141" t="inlineStr">
        <is>
          <t>14.4.03.03-0002</t>
        </is>
      </c>
      <c r="D147" s="141" t="inlineStr">
        <is>
          <t>Лак битумный БТ-123</t>
        </is>
      </c>
      <c r="E147" s="140" t="inlineStr">
        <is>
          <t>т</t>
        </is>
      </c>
      <c r="F147" s="140" t="n">
        <v>0.008676</v>
      </c>
      <c r="G147" s="76" t="n">
        <v>7826.9</v>
      </c>
      <c r="H147" s="76">
        <f>ROUND(F147*G147,2)</f>
        <v/>
      </c>
    </row>
    <row r="148" ht="31.5" customHeight="1" s="115">
      <c r="A148" s="140" t="n">
        <v>132</v>
      </c>
      <c r="B148" s="95" t="n"/>
      <c r="C148" s="141" t="inlineStr">
        <is>
          <t>01.7.15.03-0034</t>
        </is>
      </c>
      <c r="D148" s="141" t="inlineStr">
        <is>
          <t>Болты с гайками и шайбами оцинкованные, диаметр 12 мм</t>
        </is>
      </c>
      <c r="E148" s="140" t="inlineStr">
        <is>
          <t>кг</t>
        </is>
      </c>
      <c r="F148" s="140" t="n">
        <v>2.442</v>
      </c>
      <c r="G148" s="76" t="n">
        <v>25.76</v>
      </c>
      <c r="H148" s="76">
        <f>ROUND(F148*G148,2)</f>
        <v/>
      </c>
    </row>
    <row r="149">
      <c r="A149" s="140" t="n">
        <v>133</v>
      </c>
      <c r="B149" s="95" t="n"/>
      <c r="C149" s="141" t="inlineStr">
        <is>
          <t>14.5.09.07-0022</t>
        </is>
      </c>
      <c r="D149" s="141" t="inlineStr">
        <is>
          <t>Растворитель № 646</t>
        </is>
      </c>
      <c r="E149" s="140" t="inlineStr">
        <is>
          <t>т</t>
        </is>
      </c>
      <c r="F149" s="140" t="n">
        <v>0.0059995</v>
      </c>
      <c r="G149" s="76" t="n">
        <v>10465</v>
      </c>
      <c r="H149" s="76">
        <f>ROUND(F149*G149,2)</f>
        <v/>
      </c>
    </row>
    <row r="150" ht="31.5" customHeight="1" s="115">
      <c r="A150" s="140" t="n">
        <v>134</v>
      </c>
      <c r="B150" s="95" t="n"/>
      <c r="C150" s="141" t="inlineStr">
        <is>
          <t>999-9950</t>
        </is>
      </c>
      <c r="D150" s="141" t="inlineStr">
        <is>
          <t>Вспомогательные ненормируемые ресурсы (2% от Оплаты труда рабочих)</t>
        </is>
      </c>
      <c r="E150" s="140" t="inlineStr">
        <is>
          <t>руб</t>
        </is>
      </c>
      <c r="F150" s="140" t="n">
        <v>61.237236</v>
      </c>
      <c r="G150" s="76" t="n">
        <v>1</v>
      </c>
      <c r="H150" s="76">
        <f>ROUND(F150*G150,2)</f>
        <v/>
      </c>
    </row>
    <row r="151" ht="31.5" customHeight="1" s="115">
      <c r="A151" s="140" t="n">
        <v>135</v>
      </c>
      <c r="B151" s="95" t="n"/>
      <c r="C151" s="141" t="inlineStr">
        <is>
          <t>19.1.05.04-0007</t>
        </is>
      </c>
      <c r="D151" s="141" t="inlineStr">
        <is>
          <t>Диффузоры потолочные пластиковые универсальные, диаметр 125 мм</t>
        </is>
      </c>
      <c r="E151" s="140" t="inlineStr">
        <is>
          <t>шт</t>
        </is>
      </c>
      <c r="F151" s="140" t="n">
        <v>2.0000004</v>
      </c>
      <c r="G151" s="76" t="n">
        <v>29.2</v>
      </c>
      <c r="H151" s="76">
        <f>ROUND(F151*G151,2)</f>
        <v/>
      </c>
    </row>
    <row r="152" ht="31.5" customHeight="1" s="115">
      <c r="A152" s="140" t="n">
        <v>136</v>
      </c>
      <c r="B152" s="95" t="n"/>
      <c r="C152" s="141" t="inlineStr">
        <is>
          <t>08.4.03.02-0004</t>
        </is>
      </c>
      <c r="D152" s="141" t="inlineStr">
        <is>
          <t>Сталь арматурная, горячекатаная, гладкая, класс А-I, диаметр 12 мм</t>
        </is>
      </c>
      <c r="E152" s="140" t="inlineStr">
        <is>
          <t>т</t>
        </is>
      </c>
      <c r="F152" s="140" t="n">
        <v>0.00751</v>
      </c>
      <c r="G152" s="76" t="n">
        <v>6508.75</v>
      </c>
      <c r="H152" s="76">
        <f>ROUND(F152*G152,2)</f>
        <v/>
      </c>
    </row>
    <row r="153" ht="63" customHeight="1" s="115">
      <c r="A153" s="140" t="n">
        <v>137</v>
      </c>
      <c r="B153" s="95" t="n"/>
      <c r="C153" s="141" t="inlineStr">
        <is>
          <t>23.3.06.04-0008</t>
        </is>
      </c>
      <c r="D153" s="141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E153" s="140" t="inlineStr">
        <is>
          <t>м</t>
        </is>
      </c>
      <c r="F153" s="140" t="n">
        <v>3.12</v>
      </c>
      <c r="G153" s="76" t="n">
        <v>15.33</v>
      </c>
      <c r="H153" s="76">
        <f>ROUND(F153*G153,2)</f>
        <v/>
      </c>
    </row>
    <row r="154" ht="47.25" customHeight="1" s="115">
      <c r="A154" s="140" t="n">
        <v>138</v>
      </c>
      <c r="B154" s="95" t="n"/>
      <c r="C154" s="141" t="inlineStr">
        <is>
          <t>19.2.02.02-0011</t>
        </is>
      </c>
      <c r="D154" s="141" t="inlineStr">
        <is>
          <t>Зонт вентиляционных систем из листовой оцинкованной стали, круглый, диаметр шахты 200 мм</t>
        </is>
      </c>
      <c r="E154" s="140" t="inlineStr">
        <is>
          <t>шт</t>
        </is>
      </c>
      <c r="F154" s="140" t="n">
        <v>1</v>
      </c>
      <c r="G154" s="76" t="n">
        <v>45.4</v>
      </c>
      <c r="H154" s="76">
        <f>ROUND(F154*G154,2)</f>
        <v/>
      </c>
    </row>
    <row r="155" ht="31.5" customHeight="1" s="115">
      <c r="A155" s="140" t="n">
        <v>139</v>
      </c>
      <c r="B155" s="95" t="n"/>
      <c r="C155" s="141" t="inlineStr">
        <is>
          <t>20.2.10.03-0006</t>
        </is>
      </c>
      <c r="D155" s="141" t="inlineStr">
        <is>
          <t>Наконечники кабельные медные соединительные</t>
        </is>
      </c>
      <c r="E155" s="140" t="inlineStr">
        <is>
          <t>100 шт</t>
        </is>
      </c>
      <c r="F155" s="140" t="n">
        <v>0.12</v>
      </c>
      <c r="G155" s="76" t="n">
        <v>365</v>
      </c>
      <c r="H155" s="76">
        <f>ROUND(F155*G155,2)</f>
        <v/>
      </c>
    </row>
    <row r="156" ht="31.5" customHeight="1" s="115">
      <c r="A156" s="140" t="n">
        <v>140</v>
      </c>
      <c r="B156" s="95" t="n"/>
      <c r="C156" s="141" t="inlineStr">
        <is>
          <t>19.1.01.08-0006</t>
        </is>
      </c>
      <c r="D156" s="141" t="inlineStr">
        <is>
          <t>Заглушка торцевая оцинкованная для воздуховодов, сечение 200x300 мм</t>
        </is>
      </c>
      <c r="E156" s="140" t="inlineStr">
        <is>
          <t>шт</t>
        </is>
      </c>
      <c r="F156" s="140" t="n">
        <v>3</v>
      </c>
      <c r="G156" s="76" t="n">
        <v>13.97</v>
      </c>
      <c r="H156" s="76">
        <f>ROUND(F156*G156,2)</f>
        <v/>
      </c>
    </row>
    <row r="157" ht="31.5" customHeight="1" s="115">
      <c r="A157" s="140" t="n">
        <v>141</v>
      </c>
      <c r="B157" s="95" t="n"/>
      <c r="C157" s="141" t="inlineStr">
        <is>
          <t>19.1.01.08-0008</t>
        </is>
      </c>
      <c r="D157" s="141" t="inlineStr">
        <is>
          <t>Заглушка торцевая оцинкованная для воздуховодов, сечение 250x400 мм {300х400}</t>
        </is>
      </c>
      <c r="E157" s="140" t="inlineStr">
        <is>
          <t>шт</t>
        </is>
      </c>
      <c r="F157" s="140" t="n">
        <v>2</v>
      </c>
      <c r="G157" s="76" t="n">
        <v>20.69</v>
      </c>
      <c r="H157" s="76">
        <f>ROUND(F157*G157,2)</f>
        <v/>
      </c>
    </row>
    <row r="158" ht="31.5" customHeight="1" s="115">
      <c r="A158" s="140" t="n">
        <v>142</v>
      </c>
      <c r="B158" s="95" t="n"/>
      <c r="C158" s="141" t="inlineStr">
        <is>
          <t>19.1.01.07-0017</t>
        </is>
      </c>
      <c r="D158" s="141" t="inlineStr">
        <is>
          <t>Врезка из оцинкованной стали, диаметр 400/200 мм</t>
        </is>
      </c>
      <c r="E158" s="140" t="inlineStr">
        <is>
          <t>шт</t>
        </is>
      </c>
      <c r="F158" s="140" t="n">
        <v>1</v>
      </c>
      <c r="G158" s="76" t="n">
        <v>39.32</v>
      </c>
      <c r="H158" s="76">
        <f>ROUND(F158*G158,2)</f>
        <v/>
      </c>
    </row>
    <row r="159" ht="31.5" customHeight="1" s="115">
      <c r="A159" s="140" t="n">
        <v>143</v>
      </c>
      <c r="B159" s="95" t="n"/>
      <c r="C159" s="141" t="inlineStr">
        <is>
          <t>19.1.01.08-0007</t>
        </is>
      </c>
      <c r="D159" s="141" t="inlineStr">
        <is>
          <t>Заглушка торцевая оцинкованная для воздуховодов, сечение 200x400 мм {400х150}</t>
        </is>
      </c>
      <c r="E159" s="140" t="inlineStr">
        <is>
          <t>шт</t>
        </is>
      </c>
      <c r="F159" s="140" t="n">
        <v>2</v>
      </c>
      <c r="G159" s="76" t="n">
        <v>17.65</v>
      </c>
      <c r="H159" s="76">
        <f>ROUND(F159*G159,2)</f>
        <v/>
      </c>
    </row>
    <row r="160">
      <c r="A160" s="140" t="n">
        <v>144</v>
      </c>
      <c r="B160" s="95" t="n"/>
      <c r="C160" s="141" t="inlineStr">
        <is>
          <t>01.7.15.06-0111</t>
        </is>
      </c>
      <c r="D160" s="141" t="inlineStr">
        <is>
          <t>Гвозди строительные</t>
        </is>
      </c>
      <c r="E160" s="140" t="inlineStr">
        <is>
          <t>т</t>
        </is>
      </c>
      <c r="F160" s="140" t="n">
        <v>0.0029028</v>
      </c>
      <c r="G160" s="76" t="n">
        <v>11978</v>
      </c>
      <c r="H160" s="76">
        <f>ROUND(F160*G160,2)</f>
        <v/>
      </c>
    </row>
    <row r="161">
      <c r="A161" s="140" t="n">
        <v>145</v>
      </c>
      <c r="B161" s="95" t="n"/>
      <c r="C161" s="141" t="inlineStr">
        <is>
          <t>14.5.09.02-0002</t>
        </is>
      </c>
      <c r="D161" s="141" t="inlineStr">
        <is>
          <t>Ксилол нефтяной, марка А</t>
        </is>
      </c>
      <c r="E161" s="140" t="inlineStr">
        <is>
          <t>т</t>
        </is>
      </c>
      <c r="F161" s="140" t="n">
        <v>0.00448</v>
      </c>
      <c r="G161" s="76" t="n">
        <v>7640</v>
      </c>
      <c r="H161" s="76">
        <f>ROUND(F161*G161,2)</f>
        <v/>
      </c>
    </row>
    <row r="162" ht="31.5" customHeight="1" s="115">
      <c r="A162" s="140" t="n">
        <v>146</v>
      </c>
      <c r="B162" s="95" t="n"/>
      <c r="C162" s="141" t="inlineStr">
        <is>
          <t>14.4.02.04-0151</t>
        </is>
      </c>
      <c r="D162" s="141" t="inlineStr">
        <is>
          <t>Краска масляная и алкидная белила густотертые литопонные МА-021</t>
        </is>
      </c>
      <c r="E162" s="140" t="inlineStr">
        <is>
          <t>т</t>
        </is>
      </c>
      <c r="F162" s="140" t="n">
        <v>0.0015</v>
      </c>
      <c r="G162" s="76" t="n">
        <v>22533</v>
      </c>
      <c r="H162" s="76">
        <f>ROUND(F162*G162,2)</f>
        <v/>
      </c>
    </row>
    <row r="163">
      <c r="A163" s="140" t="n">
        <v>147</v>
      </c>
      <c r="B163" s="95" t="n"/>
      <c r="C163" s="141" t="inlineStr">
        <is>
          <t>Прайс из СД ОП</t>
        </is>
      </c>
      <c r="D163" s="141" t="inlineStr">
        <is>
          <t>Хомут Канал-МК-160</t>
        </is>
      </c>
      <c r="E163" s="140" t="inlineStr">
        <is>
          <t>шт</t>
        </is>
      </c>
      <c r="F163" s="140" t="n">
        <v>2</v>
      </c>
      <c r="G163" s="76" t="n">
        <v>15.65</v>
      </c>
      <c r="H163" s="76">
        <f>ROUND(F163*G163,2)</f>
        <v/>
      </c>
    </row>
    <row r="164" ht="31.5" customHeight="1" s="115">
      <c r="A164" s="140" t="n">
        <v>148</v>
      </c>
      <c r="B164" s="95" t="n"/>
      <c r="C164" s="141" t="inlineStr">
        <is>
          <t>19.1.01.03-0071</t>
        </is>
      </c>
      <c r="D164" s="141" t="inlineStr">
        <is>
          <t>Воздуховоды из оцинкованной стали, толщина 0,5 мм, диаметр до 200 мм</t>
        </is>
      </c>
      <c r="E164" s="140" t="inlineStr">
        <is>
          <t>м2</t>
        </is>
      </c>
      <c r="F164" s="140" t="n">
        <v>0.31</v>
      </c>
      <c r="G164" s="76" t="n">
        <v>96.29000000000001</v>
      </c>
      <c r="H164" s="76">
        <f>ROUND(F164*G164,2)</f>
        <v/>
      </c>
    </row>
    <row r="165" ht="63" customHeight="1" s="115">
      <c r="A165" s="140" t="n">
        <v>149</v>
      </c>
      <c r="B165" s="95" t="n"/>
      <c r="C165" s="141" t="inlineStr">
        <is>
          <t>19.1.01.08-0002</t>
        </is>
      </c>
      <c r="D165" s="141" t="inlineStr">
        <is>
          <t>Заглушка торцевая оцинкованная для воздуховодов, сечение 100x200 мм
Количество = 4 = 2+2</t>
        </is>
      </c>
      <c r="E165" s="140" t="inlineStr">
        <is>
          <t>шт</t>
        </is>
      </c>
      <c r="F165" s="140" t="n">
        <v>4</v>
      </c>
      <c r="G165" s="76" t="n">
        <v>6.06</v>
      </c>
      <c r="H165" s="76">
        <f>ROUND(F165*G165,2)</f>
        <v/>
      </c>
    </row>
    <row r="166">
      <c r="A166" s="140" t="n">
        <v>150</v>
      </c>
      <c r="B166" s="95" t="n"/>
      <c r="C166" s="141" t="inlineStr">
        <is>
          <t>01.7.02.06-0017</t>
        </is>
      </c>
      <c r="D166" s="141" t="inlineStr">
        <is>
          <t>Картон строительный прокладочный, марка Б</t>
        </is>
      </c>
      <c r="E166" s="140" t="inlineStr">
        <is>
          <t>т</t>
        </is>
      </c>
      <c r="F166" s="140" t="n">
        <v>0.00114</v>
      </c>
      <c r="G166" s="76" t="n">
        <v>19800</v>
      </c>
      <c r="H166" s="76">
        <f>ROUND(F166*G166,2)</f>
        <v/>
      </c>
    </row>
    <row r="167" ht="31.5" customHeight="1" s="115">
      <c r="A167" s="140" t="n">
        <v>151</v>
      </c>
      <c r="B167" s="95" t="n"/>
      <c r="C167" s="141" t="inlineStr">
        <is>
          <t>01.7.15.03-0031</t>
        </is>
      </c>
      <c r="D167" s="141" t="inlineStr">
        <is>
          <t>Болты с гайками и шайбами оцинкованные, диаметр 6 мм</t>
        </is>
      </c>
      <c r="E167" s="140" t="inlineStr">
        <is>
          <t>кг</t>
        </is>
      </c>
      <c r="F167" s="140" t="n">
        <v>0.7552</v>
      </c>
      <c r="G167" s="76" t="n">
        <v>28.22</v>
      </c>
      <c r="H167" s="76">
        <f>ROUND(F167*G167,2)</f>
        <v/>
      </c>
    </row>
    <row r="168">
      <c r="A168" s="140" t="n">
        <v>152</v>
      </c>
      <c r="B168" s="95" t="n"/>
      <c r="C168" s="141" t="inlineStr">
        <is>
          <t>01.7.06.07-0002</t>
        </is>
      </c>
      <c r="D168" s="141" t="inlineStr">
        <is>
          <t>Лента монтажная, тип ЛМ-5</t>
        </is>
      </c>
      <c r="E168" s="140" t="inlineStr">
        <is>
          <t>10 м</t>
        </is>
      </c>
      <c r="F168" s="140" t="n">
        <v>3.04825</v>
      </c>
      <c r="G168" s="76" t="n">
        <v>6.9</v>
      </c>
      <c r="H168" s="76">
        <f>ROUND(F168*G168,2)</f>
        <v/>
      </c>
    </row>
    <row r="169" ht="31.5" customHeight="1" s="115">
      <c r="A169" s="140" t="n">
        <v>153</v>
      </c>
      <c r="B169" s="95" t="n"/>
      <c r="C169" s="141" t="inlineStr">
        <is>
          <t>08.3.03.06-0002</t>
        </is>
      </c>
      <c r="D169" s="141" t="inlineStr">
        <is>
          <t>Проволока горячекатаная в мотках, диаметр 6,3-6,5 мм</t>
        </is>
      </c>
      <c r="E169" s="140" t="inlineStr">
        <is>
          <t>т</t>
        </is>
      </c>
      <c r="F169" s="140" t="n">
        <v>0.004674</v>
      </c>
      <c r="G169" s="76" t="n">
        <v>4455.2</v>
      </c>
      <c r="H169" s="76">
        <f>ROUND(F169*G169,2)</f>
        <v/>
      </c>
    </row>
    <row r="170">
      <c r="A170" s="140" t="n">
        <v>154</v>
      </c>
      <c r="B170" s="95" t="n"/>
      <c r="C170" s="141" t="inlineStr">
        <is>
          <t>Прайс из СД ОП</t>
        </is>
      </c>
      <c r="D170" s="141" t="inlineStr">
        <is>
          <t>Клеящий состав Плазас</t>
        </is>
      </c>
      <c r="E170" s="140" t="inlineStr">
        <is>
          <t>кг</t>
        </is>
      </c>
      <c r="F170" s="140" t="n">
        <v>3.5</v>
      </c>
      <c r="G170" s="76" t="n">
        <v>5.83</v>
      </c>
      <c r="H170" s="76">
        <f>ROUND(F170*G170,2)</f>
        <v/>
      </c>
    </row>
    <row r="171">
      <c r="A171" s="140" t="n">
        <v>155</v>
      </c>
      <c r="B171" s="95" t="n"/>
      <c r="C171" s="141" t="inlineStr">
        <is>
          <t>01.7.02.09-0002</t>
        </is>
      </c>
      <c r="D171" s="141" t="inlineStr">
        <is>
          <t>Шпагат бумажный</t>
        </is>
      </c>
      <c r="E171" s="140" t="inlineStr">
        <is>
          <t>кг</t>
        </is>
      </c>
      <c r="F171" s="140" t="n">
        <v>1.6</v>
      </c>
      <c r="G171" s="76" t="n">
        <v>11.5</v>
      </c>
      <c r="H171" s="76">
        <f>ROUND(F171*G171,2)</f>
        <v/>
      </c>
    </row>
    <row r="172">
      <c r="A172" s="140" t="n">
        <v>156</v>
      </c>
      <c r="B172" s="95" t="n"/>
      <c r="C172" s="141" t="inlineStr">
        <is>
          <t>01.7.07.29-0101</t>
        </is>
      </c>
      <c r="D172" s="141" t="inlineStr">
        <is>
          <t>Очес льняной</t>
        </is>
      </c>
      <c r="E172" s="140" t="inlineStr">
        <is>
          <t>кг</t>
        </is>
      </c>
      <c r="F172" s="140" t="n">
        <v>0.450005</v>
      </c>
      <c r="G172" s="76" t="n">
        <v>37.29</v>
      </c>
      <c r="H172" s="76">
        <f>ROUND(F172*G172,2)</f>
        <v/>
      </c>
    </row>
    <row r="173">
      <c r="A173" s="140" t="n">
        <v>157</v>
      </c>
      <c r="B173" s="95" t="n"/>
      <c r="C173" s="141" t="inlineStr">
        <is>
          <t>01.7.15.14-0165</t>
        </is>
      </c>
      <c r="D173" s="141" t="inlineStr">
        <is>
          <t>Шурупы с полукруглой головкой 4х40 мм</t>
        </is>
      </c>
      <c r="E173" s="140" t="inlineStr">
        <is>
          <t>т</t>
        </is>
      </c>
      <c r="F173" s="140" t="n">
        <v>0.0013255</v>
      </c>
      <c r="G173" s="76" t="n">
        <v>12430</v>
      </c>
      <c r="H173" s="76">
        <f>ROUND(F173*G173,2)</f>
        <v/>
      </c>
    </row>
    <row r="174">
      <c r="A174" s="140" t="n">
        <v>158</v>
      </c>
      <c r="B174" s="95" t="n"/>
      <c r="C174" s="141" t="inlineStr">
        <is>
          <t>20.1.02.23-0082</t>
        </is>
      </c>
      <c r="D174" s="141" t="inlineStr">
        <is>
          <t>Перемычки гибкие, тип ПГС-50</t>
        </is>
      </c>
      <c r="E174" s="140" t="inlineStr">
        <is>
          <t>10 шт</t>
        </is>
      </c>
      <c r="F174" s="140" t="n">
        <v>0.4</v>
      </c>
      <c r="G174" s="76" t="n">
        <v>39</v>
      </c>
      <c r="H174" s="76">
        <f>ROUND(F174*G174,2)</f>
        <v/>
      </c>
    </row>
    <row r="175">
      <c r="A175" s="140" t="n">
        <v>159</v>
      </c>
      <c r="B175" s="95" t="n"/>
      <c r="C175" s="141" t="inlineStr">
        <is>
          <t>04.3.01.09-0014</t>
        </is>
      </c>
      <c r="D175" s="141" t="inlineStr">
        <is>
          <t>Раствор готовый кладочный, цементный, М100</t>
        </is>
      </c>
      <c r="E175" s="140" t="inlineStr">
        <is>
          <t>м3</t>
        </is>
      </c>
      <c r="F175" s="140" t="n">
        <v>0.0297</v>
      </c>
      <c r="G175" s="76" t="n">
        <v>519.8</v>
      </c>
      <c r="H175" s="76">
        <f>ROUND(F175*G175,2)</f>
        <v/>
      </c>
    </row>
    <row r="176" ht="31.5" customHeight="1" s="115">
      <c r="A176" s="140" t="n">
        <v>160</v>
      </c>
      <c r="B176" s="95" t="n"/>
      <c r="C176" s="141" t="inlineStr">
        <is>
          <t>14.4.02.04-0142</t>
        </is>
      </c>
      <c r="D176" s="141" t="inlineStr">
        <is>
          <t>Краска масляная земляная МА-0115, мумия, сурик железный</t>
        </is>
      </c>
      <c r="E176" s="140" t="inlineStr">
        <is>
          <t>кг</t>
        </is>
      </c>
      <c r="F176" s="140" t="n">
        <v>0.875</v>
      </c>
      <c r="G176" s="76" t="n">
        <v>15.12</v>
      </c>
      <c r="H176" s="76">
        <f>ROUND(F176*G176,2)</f>
        <v/>
      </c>
    </row>
    <row r="177" ht="31.5" customHeight="1" s="115">
      <c r="A177" s="140" t="n">
        <v>161</v>
      </c>
      <c r="B177" s="95" t="n"/>
      <c r="C177" s="141" t="inlineStr">
        <is>
          <t>01.7.15.04-0054</t>
        </is>
      </c>
      <c r="D177" s="141" t="inlineStr">
        <is>
          <t>Винты самонарезающие, оцинкованные, размер 4х12 мм</t>
        </is>
      </c>
      <c r="E177" s="140" t="inlineStr">
        <is>
          <t>т</t>
        </is>
      </c>
      <c r="F177" s="140" t="n">
        <v>0.0003703</v>
      </c>
      <c r="G177" s="76" t="n">
        <v>33180</v>
      </c>
      <c r="H177" s="76">
        <f>ROUND(F177*G177,2)</f>
        <v/>
      </c>
    </row>
    <row r="178" ht="31.5" customHeight="1" s="115">
      <c r="A178" s="140" t="n">
        <v>162</v>
      </c>
      <c r="B178" s="95" t="n"/>
      <c r="C178" s="141" t="inlineStr">
        <is>
          <t>01.3.01.06-0050</t>
        </is>
      </c>
      <c r="D178" s="141" t="inlineStr">
        <is>
          <t>Смазка универсальная тугоплавкая УТ (консталин жировой)</t>
        </is>
      </c>
      <c r="E178" s="140" t="inlineStr">
        <is>
          <t>т</t>
        </is>
      </c>
      <c r="F178" s="140" t="n">
        <v>0.00062</v>
      </c>
      <c r="G178" s="76" t="n">
        <v>17500</v>
      </c>
      <c r="H178" s="76">
        <f>ROUND(F178*G178,2)</f>
        <v/>
      </c>
    </row>
    <row r="179">
      <c r="A179" s="140" t="n">
        <v>163</v>
      </c>
      <c r="B179" s="95" t="n"/>
      <c r="C179" s="141" t="inlineStr">
        <is>
          <t>01.7.20.08-0051</t>
        </is>
      </c>
      <c r="D179" s="141" t="inlineStr">
        <is>
          <t>Ветошь</t>
        </is>
      </c>
      <c r="E179" s="140" t="inlineStr">
        <is>
          <t>кг</t>
        </is>
      </c>
      <c r="F179" s="140" t="n">
        <v>4.615</v>
      </c>
      <c r="G179" s="76" t="n">
        <v>1.82</v>
      </c>
      <c r="H179" s="76">
        <f>ROUND(F179*G179,2)</f>
        <v/>
      </c>
    </row>
    <row r="180" ht="47.25" customHeight="1" s="115">
      <c r="A180" s="140" t="n">
        <v>164</v>
      </c>
      <c r="B180" s="95" t="n"/>
      <c r="C180" s="141" t="inlineStr">
        <is>
          <t>14.5.05.01-0012</t>
        </is>
      </c>
      <c r="D180" s="14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180" s="140" t="inlineStr">
        <is>
          <t>т</t>
        </is>
      </c>
      <c r="F180" s="140" t="n">
        <v>0.00042</v>
      </c>
      <c r="G180" s="76" t="n">
        <v>16950</v>
      </c>
      <c r="H180" s="76">
        <f>ROUND(F180*G180,2)</f>
        <v/>
      </c>
    </row>
    <row r="181" ht="31.5" customHeight="1" s="115">
      <c r="A181" s="140" t="n">
        <v>165</v>
      </c>
      <c r="B181" s="95" t="n"/>
      <c r="C181" s="141" t="inlineStr">
        <is>
          <t>01.7.15.04-0012</t>
        </is>
      </c>
      <c r="D181" s="141" t="inlineStr">
        <is>
          <t>Винты с полукруглой головкой, длина 55-120 мм</t>
        </is>
      </c>
      <c r="E181" s="140" t="inlineStr">
        <is>
          <t>т</t>
        </is>
      </c>
      <c r="F181" s="140" t="n">
        <v>0.00056</v>
      </c>
      <c r="G181" s="76" t="n">
        <v>12430</v>
      </c>
      <c r="H181" s="76">
        <f>ROUND(F181*G181,2)</f>
        <v/>
      </c>
    </row>
    <row r="182" ht="31.5" customHeight="1" s="115">
      <c r="A182" s="140" t="n">
        <v>166</v>
      </c>
      <c r="B182" s="95" t="n"/>
      <c r="C182" s="141" t="inlineStr">
        <is>
          <t>10.3.02.03-0013</t>
        </is>
      </c>
      <c r="D182" s="141" t="inlineStr">
        <is>
          <t>Припои оловянно-свинцовые бессурьмянистые, марка ПОС61</t>
        </is>
      </c>
      <c r="E182" s="140" t="inlineStr">
        <is>
          <t>т</t>
        </is>
      </c>
      <c r="F182" s="140" t="n">
        <v>6e-05</v>
      </c>
      <c r="G182" s="76" t="n">
        <v>114220</v>
      </c>
      <c r="H182" s="76">
        <f>ROUND(F182*G182,2)</f>
        <v/>
      </c>
    </row>
    <row r="183">
      <c r="A183" s="140" t="n">
        <v>167</v>
      </c>
      <c r="B183" s="95" t="n"/>
      <c r="C183" s="141" t="inlineStr">
        <is>
          <t>01.7.15.11-0062</t>
        </is>
      </c>
      <c r="D183" s="141" t="inlineStr">
        <is>
          <t>Шайбы стальные</t>
        </is>
      </c>
      <c r="E183" s="140" t="inlineStr">
        <is>
          <t>т</t>
        </is>
      </c>
      <c r="F183" s="140" t="n">
        <v>0.00054</v>
      </c>
      <c r="G183" s="76" t="n">
        <v>10208</v>
      </c>
      <c r="H183" s="76">
        <f>ROUND(F183*G183,2)</f>
        <v/>
      </c>
    </row>
    <row r="184">
      <c r="A184" s="140" t="n">
        <v>168</v>
      </c>
      <c r="B184" s="95" t="n"/>
      <c r="C184" s="141" t="inlineStr">
        <is>
          <t>03.1.01.01-0002</t>
        </is>
      </c>
      <c r="D184" s="141" t="inlineStr">
        <is>
          <t>Гипс строительный Г-3</t>
        </is>
      </c>
      <c r="E184" s="140" t="inlineStr">
        <is>
          <t>т</t>
        </is>
      </c>
      <c r="F184" s="140" t="n">
        <v>0.003</v>
      </c>
      <c r="G184" s="76" t="n">
        <v>729.98</v>
      </c>
      <c r="H184" s="76">
        <f>ROUND(F184*G184,2)</f>
        <v/>
      </c>
    </row>
    <row r="185">
      <c r="A185" s="140" t="n">
        <v>169</v>
      </c>
      <c r="B185" s="95" t="n"/>
      <c r="C185" s="141" t="inlineStr">
        <is>
          <t>03.1.02.03-0011</t>
        </is>
      </c>
      <c r="D185" s="141" t="inlineStr">
        <is>
          <t>Известь строительная негашеная комовая, сорт I</t>
        </is>
      </c>
      <c r="E185" s="140" t="inlineStr">
        <is>
          <t>т</t>
        </is>
      </c>
      <c r="F185" s="140" t="n">
        <v>0.0024108</v>
      </c>
      <c r="G185" s="76" t="n">
        <v>734.5</v>
      </c>
      <c r="H185" s="76">
        <f>ROUND(F185*G185,2)</f>
        <v/>
      </c>
    </row>
    <row r="186">
      <c r="A186" s="140" t="n">
        <v>170</v>
      </c>
      <c r="B186" s="95" t="n"/>
      <c r="C186" s="141" t="inlineStr">
        <is>
          <t>14.4.04.09-0017</t>
        </is>
      </c>
      <c r="D186" s="141" t="inlineStr">
        <is>
          <t>Эмаль ХВ-124, защитная, зеленая</t>
        </is>
      </c>
      <c r="E186" s="140" t="inlineStr">
        <is>
          <t>т</t>
        </is>
      </c>
      <c r="F186" s="140" t="n">
        <v>6e-05</v>
      </c>
      <c r="G186" s="76" t="n">
        <v>28300.4</v>
      </c>
      <c r="H186" s="76">
        <f>ROUND(F186*G186,2)</f>
        <v/>
      </c>
    </row>
    <row r="187" ht="31.5" customHeight="1" s="115">
      <c r="A187" s="140" t="n">
        <v>171</v>
      </c>
      <c r="B187" s="95" t="n"/>
      <c r="C187" s="141" t="inlineStr">
        <is>
          <t>ОП ФЕР 20- 1% от ОТ</t>
        </is>
      </c>
      <c r="D187" s="141" t="inlineStr">
        <is>
          <t>Затраты на электроэнергию, потребляемую ручным инструментом - 1%</t>
        </is>
      </c>
      <c r="E187" s="140" t="inlineStr">
        <is>
          <t>руб.</t>
        </is>
      </c>
      <c r="F187" s="140" t="n">
        <v>152.7</v>
      </c>
      <c r="G187" s="76" t="n">
        <v>0.01</v>
      </c>
      <c r="H187" s="76">
        <f>ROUND(F187*G187,2)</f>
        <v/>
      </c>
    </row>
    <row r="188">
      <c r="A188" s="140" t="n">
        <v>172</v>
      </c>
      <c r="B188" s="95" t="n"/>
      <c r="C188" s="141" t="inlineStr">
        <is>
          <t>24.3.01.01-0001</t>
        </is>
      </c>
      <c r="D188" s="141" t="inlineStr">
        <is>
          <t>Трубка ХВТ</t>
        </is>
      </c>
      <c r="E188" s="140" t="inlineStr">
        <is>
          <t>кг</t>
        </is>
      </c>
      <c r="F188" s="140" t="n">
        <v>0.032</v>
      </c>
      <c r="G188" s="76" t="n">
        <v>41.7</v>
      </c>
      <c r="H188" s="76">
        <f>ROUND(F188*G188,2)</f>
        <v/>
      </c>
    </row>
    <row r="189">
      <c r="A189" s="140" t="n">
        <v>173</v>
      </c>
      <c r="B189" s="95" t="n"/>
      <c r="C189" s="141" t="inlineStr">
        <is>
          <t>08.3.05.05-0051</t>
        </is>
      </c>
      <c r="D189" s="141" t="inlineStr">
        <is>
          <t>Сталь листовая оцинкованная, толщина 0,5 мм</t>
        </is>
      </c>
      <c r="E189" s="140" t="inlineStr">
        <is>
          <t>т</t>
        </is>
      </c>
      <c r="F189" s="140" t="n">
        <v>0.0001025</v>
      </c>
      <c r="G189" s="76" t="n">
        <v>11200</v>
      </c>
      <c r="H189" s="76">
        <f>ROUND(F189*G189,2)</f>
        <v/>
      </c>
    </row>
    <row r="190">
      <c r="A190" s="140" t="n">
        <v>174</v>
      </c>
      <c r="B190" s="95" t="n"/>
      <c r="C190" s="141" t="inlineStr">
        <is>
          <t>14.4.02.09-0001</t>
        </is>
      </c>
      <c r="D190" s="141" t="inlineStr">
        <is>
          <t>Краска</t>
        </is>
      </c>
      <c r="E190" s="140" t="inlineStr">
        <is>
          <t>кг</t>
        </is>
      </c>
      <c r="F190" s="140" t="n">
        <v>0.02</v>
      </c>
      <c r="G190" s="76" t="n">
        <v>28.6</v>
      </c>
      <c r="H190" s="76">
        <f>ROUND(F190*G190,2)</f>
        <v/>
      </c>
    </row>
    <row r="191" ht="47.25" customHeight="1" s="115">
      <c r="A191" s="140" t="n">
        <v>175</v>
      </c>
      <c r="B191" s="95" t="n"/>
      <c r="C191" s="141" t="inlineStr">
        <is>
          <t>01.7.06.05-0041</t>
        </is>
      </c>
      <c r="D191" s="141" t="inlineStr">
        <is>
          <t>Лента изоляционная прорезиненная односторонняя, ширина 20 мм, толщина 0,25-0,35 мм</t>
        </is>
      </c>
      <c r="E191" s="140" t="inlineStr">
        <is>
          <t>кг</t>
        </is>
      </c>
      <c r="F191" s="140" t="n">
        <v>0.008</v>
      </c>
      <c r="G191" s="76" t="n">
        <v>30.4</v>
      </c>
      <c r="H191" s="76">
        <f>ROUND(F191*G191,2)</f>
        <v/>
      </c>
    </row>
    <row r="192">
      <c r="A192" s="140" t="n">
        <v>176</v>
      </c>
      <c r="B192" s="95" t="n"/>
      <c r="C192" s="141" t="inlineStr">
        <is>
          <t>14.5.05.02-0001</t>
        </is>
      </c>
      <c r="D192" s="141" t="inlineStr">
        <is>
          <t>Олифа натуральная</t>
        </is>
      </c>
      <c r="E192" s="140" t="inlineStr">
        <is>
          <t>кг</t>
        </is>
      </c>
      <c r="F192" s="140" t="n">
        <v>0.005</v>
      </c>
      <c r="G192" s="76" t="n">
        <v>32.6</v>
      </c>
      <c r="H192" s="76">
        <f>ROUND(F192*G192,2)</f>
        <v/>
      </c>
    </row>
    <row r="193">
      <c r="A193" s="140" t="n">
        <v>177</v>
      </c>
      <c r="B193" s="95" t="n"/>
      <c r="C193" s="141" t="inlineStr">
        <is>
          <t>01.7.03.01-0001</t>
        </is>
      </c>
      <c r="D193" s="141" t="inlineStr">
        <is>
          <t>Вода</t>
        </is>
      </c>
      <c r="E193" s="140" t="inlineStr">
        <is>
          <t>м3</t>
        </is>
      </c>
      <c r="F193" s="140" t="n">
        <v>0.0113554</v>
      </c>
      <c r="G193" s="76" t="n">
        <v>2.44</v>
      </c>
      <c r="H193" s="76">
        <f>ROUND(F193*G193,2)</f>
        <v/>
      </c>
    </row>
    <row r="196">
      <c r="B196" s="117" t="inlineStr">
        <is>
          <t>Составил ______________________        Е.А. Князева</t>
        </is>
      </c>
    </row>
    <row r="197">
      <c r="B197" s="58" t="inlineStr">
        <is>
          <t xml:space="preserve">                         (подпись, инициалы, фамилия)</t>
        </is>
      </c>
    </row>
    <row r="199">
      <c r="B199" s="117" t="inlineStr">
        <is>
          <t>Проверил ______________________        А.В. Костянецкая</t>
        </is>
      </c>
    </row>
    <row r="200">
      <c r="B200" s="5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A29:E29"/>
    <mergeCell ref="D9:D10"/>
    <mergeCell ref="E9:E10"/>
    <mergeCell ref="F9:F10"/>
    <mergeCell ref="A9:A10"/>
    <mergeCell ref="A48:E48"/>
    <mergeCell ref="A2:H2"/>
    <mergeCell ref="A5:H5"/>
    <mergeCell ref="G9:H9"/>
    <mergeCell ref="A31:E31"/>
    <mergeCell ref="A66:E66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38" sqref="B38"/>
    </sheetView>
  </sheetViews>
  <sheetFormatPr baseColWidth="8" defaultColWidth="9.140625" defaultRowHeight="15"/>
  <cols>
    <col width="4.140625" customWidth="1" style="115" min="1" max="1"/>
    <col width="36.28515625" customWidth="1" style="115" min="2" max="2"/>
    <col width="18.85546875" customWidth="1" style="115" min="3" max="3"/>
    <col width="18.28515625" customWidth="1" style="115" min="4" max="4"/>
    <col width="18.85546875" customWidth="1" style="115" min="5" max="5"/>
    <col width="12.85546875" customWidth="1" style="115" min="7" max="7"/>
    <col width="13.5703125" customWidth="1" style="115" min="12" max="12"/>
  </cols>
  <sheetData>
    <row r="1">
      <c r="B1" s="111" t="n"/>
      <c r="C1" s="111" t="n"/>
      <c r="D1" s="111" t="n"/>
      <c r="E1" s="111" t="n"/>
    </row>
    <row r="2">
      <c r="B2" s="111" t="n"/>
      <c r="C2" s="111" t="n"/>
      <c r="D2" s="111" t="n"/>
      <c r="E2" s="165" t="inlineStr">
        <is>
          <t>Приложение № 4</t>
        </is>
      </c>
    </row>
    <row r="3">
      <c r="B3" s="111" t="n"/>
      <c r="C3" s="111" t="n"/>
      <c r="D3" s="111" t="n"/>
      <c r="E3" s="111" t="n"/>
    </row>
    <row r="4">
      <c r="B4" s="111" t="n"/>
      <c r="C4" s="111" t="n"/>
      <c r="D4" s="111" t="n"/>
      <c r="E4" s="111" t="n"/>
    </row>
    <row r="5">
      <c r="B5" s="142" t="inlineStr">
        <is>
          <t>Ресурсная модель</t>
        </is>
      </c>
    </row>
    <row r="6">
      <c r="B6" s="16" t="n"/>
      <c r="C6" s="111" t="n"/>
      <c r="D6" s="111" t="n"/>
      <c r="E6" s="111" t="n"/>
    </row>
    <row r="7" ht="39.75" customHeight="1" s="115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111" t="n"/>
      <c r="D9" s="111" t="n"/>
      <c r="E9" s="111" t="n"/>
    </row>
    <row r="10" ht="51" customHeight="1" s="115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8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7" t="inlineStr">
        <is>
          <t>Эксплуатация машин основных</t>
        </is>
      </c>
      <c r="C12" s="28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7" t="inlineStr">
        <is>
          <t>Эксплуатация машин прочих</t>
        </is>
      </c>
      <c r="C13" s="28">
        <f>'Прил.5 Расчет СМР и ОБ'!J37</f>
        <v/>
      </c>
      <c r="D13" s="27">
        <f>C13/$C$24</f>
        <v/>
      </c>
      <c r="E13" s="27">
        <f>C13/$C$40</f>
        <v/>
      </c>
    </row>
    <row r="14">
      <c r="B14" s="7" t="inlineStr">
        <is>
          <t>ЭКСПЛУАТАЦИЯ МАШИН, ВСЕГО:</t>
        </is>
      </c>
      <c r="C14" s="28">
        <f>C13+C12</f>
        <v/>
      </c>
      <c r="D14" s="27">
        <f>C14/$C$24</f>
        <v/>
      </c>
      <c r="E14" s="27">
        <f>C14/$C$40</f>
        <v/>
      </c>
    </row>
    <row r="15">
      <c r="B15" s="7" t="inlineStr">
        <is>
          <t>в том числе зарплата машинистов</t>
        </is>
      </c>
      <c r="C15" s="28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7" t="inlineStr">
        <is>
          <t>Материалы основные</t>
        </is>
      </c>
      <c r="C16" s="28">
        <f>'Прил.5 Расчет СМР и ОБ'!J89</f>
        <v/>
      </c>
      <c r="D16" s="27">
        <f>C16/$C$24</f>
        <v/>
      </c>
      <c r="E16" s="27">
        <f>C16/$C$40</f>
        <v/>
      </c>
    </row>
    <row r="17">
      <c r="B17" s="7" t="inlineStr">
        <is>
          <t>Материалы прочие</t>
        </is>
      </c>
      <c r="C17" s="28">
        <f>'Прил.5 Расчет СМР и ОБ'!J196</f>
        <v/>
      </c>
      <c r="D17" s="27">
        <f>C17/$C$24</f>
        <v/>
      </c>
      <c r="E17" s="27">
        <f>C17/$C$40</f>
        <v/>
      </c>
      <c r="G17" s="183" t="n"/>
    </row>
    <row r="18">
      <c r="B18" s="7" t="inlineStr">
        <is>
          <t>МАТЕРИАЛЫ, ВСЕГО:</t>
        </is>
      </c>
      <c r="C18" s="28">
        <f>C17+C16</f>
        <v/>
      </c>
      <c r="D18" s="27">
        <f>C18/$C$24</f>
        <v/>
      </c>
      <c r="E18" s="27">
        <f>C18/$C$40</f>
        <v/>
      </c>
    </row>
    <row r="19">
      <c r="B19" s="7" t="inlineStr">
        <is>
          <t>ИТОГО</t>
        </is>
      </c>
      <c r="C19" s="28">
        <f>C18+C14+C11</f>
        <v/>
      </c>
      <c r="D19" s="27" t="n"/>
      <c r="E19" s="7" t="n"/>
    </row>
    <row r="20">
      <c r="B20" s="7" t="inlineStr">
        <is>
          <t>Сметная прибыль, руб.</t>
        </is>
      </c>
      <c r="C20" s="28">
        <f>ROUND(C21*(C11+C15),2)</f>
        <v/>
      </c>
      <c r="D20" s="27">
        <f>C20/$C$24</f>
        <v/>
      </c>
      <c r="E20" s="27">
        <f>C20/$C$40</f>
        <v/>
      </c>
    </row>
    <row r="21">
      <c r="B21" s="7" t="inlineStr">
        <is>
          <t>Сметная прибыль, %</t>
        </is>
      </c>
      <c r="C21" s="29">
        <f>'Прил.5 Расчет СМР и ОБ'!E200</f>
        <v/>
      </c>
      <c r="D21" s="27" t="n"/>
      <c r="E21" s="7" t="n"/>
    </row>
    <row r="22">
      <c r="B22" s="7" t="inlineStr">
        <is>
          <t>Накладные расходы, руб.</t>
        </is>
      </c>
      <c r="C22" s="28">
        <f>ROUND(C23*(C11+C15),2)</f>
        <v/>
      </c>
      <c r="D22" s="27">
        <f>C22/$C$24</f>
        <v/>
      </c>
      <c r="E22" s="27">
        <f>C22/$C$40</f>
        <v/>
      </c>
    </row>
    <row r="23">
      <c r="B23" s="7" t="inlineStr">
        <is>
          <t>Накладные расходы, %</t>
        </is>
      </c>
      <c r="C23" s="29">
        <f>'Прил.5 Расчет СМР и ОБ'!E199</f>
        <v/>
      </c>
      <c r="D23" s="27" t="n"/>
      <c r="E23" s="7" t="n"/>
    </row>
    <row r="24">
      <c r="B24" s="7" t="inlineStr">
        <is>
          <t>ВСЕГО СМР с НР и СП</t>
        </is>
      </c>
      <c r="C24" s="28">
        <f>C19+C20+C22</f>
        <v/>
      </c>
      <c r="D24" s="27">
        <f>C24/$C$24</f>
        <v/>
      </c>
      <c r="E24" s="27">
        <f>C24/$C$40</f>
        <v/>
      </c>
    </row>
    <row r="25" ht="25.5" customHeight="1" s="115">
      <c r="B25" s="7" t="inlineStr">
        <is>
          <t>ВСЕГО стоимость оборудования, в том числе</t>
        </is>
      </c>
      <c r="C25" s="28">
        <f>'Прил.5 Расчет СМР и ОБ'!J60</f>
        <v/>
      </c>
      <c r="D25" s="27" t="n"/>
      <c r="E25" s="27">
        <f>C25/$C$40</f>
        <v/>
      </c>
    </row>
    <row r="26" ht="25.5" customHeight="1" s="115">
      <c r="B26" s="7" t="inlineStr">
        <is>
          <t>стоимость оборудования технологического</t>
        </is>
      </c>
      <c r="C26" s="28">
        <f>'Прил.5 Расчет СМР и ОБ'!J61</f>
        <v/>
      </c>
      <c r="D26" s="27" t="n"/>
      <c r="E26" s="27">
        <f>C26/$C$40</f>
        <v/>
      </c>
    </row>
    <row r="27">
      <c r="B27" s="7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15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5">
      <c r="B29" s="7" t="inlineStr">
        <is>
          <t>Временные здания и сооружения - 3,9%</t>
        </is>
      </c>
      <c r="C29" s="26">
        <f>ROUND(C24*3.9%,2)</f>
        <v/>
      </c>
      <c r="D29" s="7" t="n"/>
      <c r="E29" s="27">
        <f>C29/$C$40</f>
        <v/>
      </c>
    </row>
    <row r="30" ht="38.25" customHeight="1" s="115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7" t="n"/>
      <c r="E30" s="27">
        <f>C30/$C$40</f>
        <v/>
      </c>
    </row>
    <row r="31">
      <c r="B31" s="7" t="inlineStr">
        <is>
          <t xml:space="preserve">Пусконаладочные работы </t>
        </is>
      </c>
      <c r="C31" s="26" t="n">
        <v>142527.9464</v>
      </c>
      <c r="D31" s="7" t="n"/>
      <c r="E31" s="27">
        <f>C31/$C$40</f>
        <v/>
      </c>
    </row>
    <row r="32" ht="25.5" customHeight="1" s="115">
      <c r="B32" s="7" t="inlineStr">
        <is>
          <t>Затраты по перевозке работников к месту работы и обратно - 0,08%</t>
        </is>
      </c>
      <c r="C32" s="26" t="n">
        <v>0</v>
      </c>
      <c r="D32" s="7" t="n"/>
      <c r="E32" s="27">
        <f>C32/$C$40</f>
        <v/>
      </c>
      <c r="G32" s="92" t="n"/>
    </row>
    <row r="33" ht="25.5" customHeight="1" s="115">
      <c r="B33" s="7" t="inlineStr">
        <is>
          <t>Затраты, связанные с осуществлением работ вахтовым методом</t>
        </is>
      </c>
      <c r="C33" s="26" t="n">
        <v>0</v>
      </c>
      <c r="D33" s="7" t="n"/>
      <c r="E33" s="27">
        <f>C33/$C$40</f>
        <v/>
      </c>
      <c r="G33" s="92" t="n"/>
    </row>
    <row r="34" ht="51" customHeight="1" s="115">
      <c r="B34" s="7" t="inlineStr">
        <is>
          <t>Расходы на командировки рабочих и пусконаладочного персонала, привлекаемых для выполнения строительства - 0,46%</t>
        </is>
      </c>
      <c r="C34" s="26" t="n">
        <v>0</v>
      </c>
      <c r="D34" s="7" t="n"/>
      <c r="E34" s="27">
        <f>C34/$C$40</f>
        <v/>
      </c>
      <c r="G34" s="92" t="n"/>
    </row>
    <row r="35" ht="76.5" customHeight="1" s="115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7" t="n"/>
      <c r="E35" s="27">
        <f>C35/$C$40</f>
        <v/>
      </c>
      <c r="G35" s="92" t="n"/>
    </row>
    <row r="36" ht="25.5" customHeight="1" s="115">
      <c r="B36" s="7" t="inlineStr">
        <is>
          <t>Строительный контроль и содержание службы заказчика - 2,14%</t>
        </is>
      </c>
      <c r="C36" s="26">
        <f>ROUND(SUM(C27:C35)*2.14%,2)</f>
        <v/>
      </c>
      <c r="D36" s="7" t="n"/>
      <c r="E36" s="27">
        <f>C36/$C$40</f>
        <v/>
      </c>
      <c r="G36" s="47" t="n"/>
      <c r="L36" s="18" t="n"/>
    </row>
    <row r="37">
      <c r="B37" s="7" t="inlineStr">
        <is>
          <t>Авторский надзор - 0,2%</t>
        </is>
      </c>
      <c r="C37" s="26">
        <f>ROUND(SUM(C27:C35)*0.2%,2)</f>
        <v/>
      </c>
      <c r="D37" s="7" t="n"/>
      <c r="E37" s="27">
        <f>C37/$C$40</f>
        <v/>
      </c>
      <c r="G37" s="47" t="n"/>
      <c r="L37" s="18" t="n"/>
    </row>
    <row r="38" ht="38.25" customHeight="1" s="115">
      <c r="B38" s="7" t="inlineStr">
        <is>
          <t>ИТОГО (СМР+ОБОРУДОВАНИЕ+ПРОЧ. ЗАТР., УЧТЕННЫЕ ПОКАЗАТЕЛЕМ)</t>
        </is>
      </c>
      <c r="C38" s="28">
        <f>SUM(C27:C37)</f>
        <v/>
      </c>
      <c r="D38" s="7" t="n"/>
      <c r="E38" s="27">
        <f>C38/$C$40</f>
        <v/>
      </c>
    </row>
    <row r="39" ht="13.7" customHeight="1" s="115">
      <c r="B39" s="7" t="inlineStr">
        <is>
          <t>Непредвиденные расходы</t>
        </is>
      </c>
      <c r="C39" s="28">
        <f>ROUND(C38*3%,2)</f>
        <v/>
      </c>
      <c r="D39" s="7" t="n"/>
      <c r="E39" s="27">
        <f>C39/$C$40</f>
        <v/>
      </c>
    </row>
    <row r="40">
      <c r="B40" s="7" t="inlineStr">
        <is>
          <t>ВСЕГО:</t>
        </is>
      </c>
      <c r="C40" s="28">
        <f>C39+C38</f>
        <v/>
      </c>
      <c r="D40" s="7" t="n"/>
      <c r="E40" s="27">
        <f>C40/$C$40</f>
        <v/>
      </c>
    </row>
    <row r="41">
      <c r="B41" s="7" t="inlineStr">
        <is>
          <t>ИТОГО ПОКАЗАТЕЛЬ НА ЕД. ИЗМ.</t>
        </is>
      </c>
      <c r="C41" s="28">
        <f>C40/'Прил.5 Расчет СМР и ОБ'!E203</f>
        <v/>
      </c>
      <c r="D41" s="7" t="n"/>
      <c r="E41" s="7" t="n"/>
    </row>
    <row r="42">
      <c r="B42" s="19" t="n"/>
      <c r="C42" s="111" t="n"/>
      <c r="D42" s="111" t="n"/>
      <c r="E42" s="111" t="n"/>
    </row>
    <row r="43">
      <c r="B43" s="111" t="inlineStr">
        <is>
          <t>Составил ______________________        Е.А. Князева</t>
        </is>
      </c>
      <c r="C43" s="112" t="n"/>
      <c r="D43" s="111" t="n"/>
      <c r="E43" s="111" t="n"/>
    </row>
    <row r="44">
      <c r="B44" s="114" t="inlineStr">
        <is>
          <t xml:space="preserve">                         (подпись, инициалы, фамилия)</t>
        </is>
      </c>
      <c r="C44" s="112" t="n"/>
      <c r="D44" s="111" t="n"/>
      <c r="E44" s="111" t="n"/>
    </row>
    <row r="45">
      <c r="B45" s="111" t="n"/>
      <c r="C45" s="112" t="n"/>
      <c r="D45" s="111" t="n"/>
      <c r="E45" s="111" t="n"/>
    </row>
    <row r="46">
      <c r="B46" s="111" t="inlineStr">
        <is>
          <t>Проверил ______________________        А.В. Костянецкая</t>
        </is>
      </c>
      <c r="C46" s="112" t="n"/>
      <c r="D46" s="111" t="n"/>
      <c r="E46" s="111" t="n"/>
    </row>
    <row r="47">
      <c r="B47" s="114" t="inlineStr">
        <is>
          <t xml:space="preserve">                        (подпись, инициалы, фамилия)</t>
        </is>
      </c>
      <c r="C47" s="112" t="n"/>
      <c r="D47" s="111" t="n"/>
      <c r="E47" s="111" t="n"/>
    </row>
    <row r="49">
      <c r="B49" s="111" t="n"/>
      <c r="C49" s="111" t="n"/>
      <c r="D49" s="111" t="n"/>
      <c r="E49" s="111" t="n"/>
    </row>
    <row r="50">
      <c r="B50" s="111" t="n"/>
      <c r="C50" s="111" t="n"/>
      <c r="D50" s="111" t="n"/>
      <c r="E50" s="11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6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210"/>
  <sheetViews>
    <sheetView view="pageBreakPreview" topLeftCell="A65" workbookViewId="0">
      <selection activeCell="B206" sqref="B206"/>
    </sheetView>
  </sheetViews>
  <sheetFormatPr baseColWidth="8" defaultColWidth="9.140625" defaultRowHeight="15" outlineLevelRow="2"/>
  <cols>
    <col width="5.7109375" customWidth="1" style="112" min="1" max="1"/>
    <col width="22.5703125" customWidth="1" style="112" min="2" max="2"/>
    <col width="39.140625" customWidth="1" style="112" min="3" max="3"/>
    <col width="10.7109375" customWidth="1" style="112" min="4" max="4"/>
    <col width="12.7109375" customWidth="1" style="112" min="5" max="5"/>
    <col width="14.5703125" customWidth="1" style="112" min="6" max="6"/>
    <col width="13.42578125" customWidth="1" style="112" min="7" max="7"/>
    <col width="12.7109375" customWidth="1" style="112" min="8" max="8"/>
    <col width="14.5703125" customWidth="1" style="112" min="9" max="9"/>
    <col width="15.140625" customWidth="1" style="112" min="10" max="10"/>
    <col width="2.85546875" customWidth="1" style="112" min="11" max="11"/>
    <col width="10.7109375" customWidth="1" style="112" min="12" max="12"/>
    <col width="10.85546875" customWidth="1" style="112" min="13" max="13"/>
    <col width="9.140625" customWidth="1" style="112" min="14" max="14"/>
  </cols>
  <sheetData>
    <row r="2" ht="15.75" customHeight="1" s="115">
      <c r="I2" s="117" t="n"/>
      <c r="J2" s="48" t="inlineStr">
        <is>
          <t>Приложение №5</t>
        </is>
      </c>
    </row>
    <row r="4" ht="12.75" customFormat="1" customHeight="1" s="111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111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41.25" customFormat="1" customHeight="1" s="111">
      <c r="A6" s="80" t="inlineStr">
        <is>
          <t>Наименование разрабатываемого показателя УНЦ</t>
        </is>
      </c>
      <c r="B6" s="81" t="n"/>
      <c r="C6" s="81" t="n"/>
      <c r="D6" s="156" t="inlineStr">
        <is>
          <t>Внутреняя вентиляция зданий</t>
        </is>
      </c>
    </row>
    <row r="7" ht="12.75" customFormat="1" customHeight="1" s="111">
      <c r="A7" s="156" t="inlineStr">
        <is>
          <t>Единица измерения  — м2</t>
        </is>
      </c>
      <c r="I7" s="143" t="n"/>
      <c r="J7" s="143" t="n"/>
    </row>
    <row r="8" ht="12.75" customFormat="1" customHeight="1" s="111"/>
    <row r="9" ht="27" customHeight="1" s="115">
      <c r="A9" s="146" t="inlineStr">
        <is>
          <t>№ пп.</t>
        </is>
      </c>
      <c r="B9" s="146" t="inlineStr">
        <is>
          <t>Код ресурса</t>
        </is>
      </c>
      <c r="C9" s="146" t="inlineStr">
        <is>
          <t>Наименование</t>
        </is>
      </c>
      <c r="D9" s="146" t="inlineStr">
        <is>
          <t>Ед. изм.</t>
        </is>
      </c>
      <c r="E9" s="146" t="inlineStr">
        <is>
          <t>Кол-во единиц по проектным данным</t>
        </is>
      </c>
      <c r="F9" s="146" t="inlineStr">
        <is>
          <t>Сметная стоимость в ценах на 01.01.2000 (руб.)</t>
        </is>
      </c>
      <c r="G9" s="177" t="n"/>
      <c r="H9" s="146" t="inlineStr">
        <is>
          <t>Удельный вес, %</t>
        </is>
      </c>
      <c r="I9" s="146" t="inlineStr">
        <is>
          <t>Сметная стоимость в ценах на 01.01.2023 (руб.)</t>
        </is>
      </c>
      <c r="J9" s="177" t="n"/>
    </row>
    <row r="10" ht="28.5" customHeight="1" s="115">
      <c r="A10" s="179" t="n"/>
      <c r="B10" s="179" t="n"/>
      <c r="C10" s="179" t="n"/>
      <c r="D10" s="179" t="n"/>
      <c r="E10" s="179" t="n"/>
      <c r="F10" s="146" t="inlineStr">
        <is>
          <t>на ед. изм.</t>
        </is>
      </c>
      <c r="G10" s="146" t="inlineStr">
        <is>
          <t>общая</t>
        </is>
      </c>
      <c r="H10" s="179" t="n"/>
      <c r="I10" s="146" t="inlineStr">
        <is>
          <t>на ед. изм.</t>
        </is>
      </c>
      <c r="J10" s="146" t="inlineStr">
        <is>
          <t>общая</t>
        </is>
      </c>
    </row>
    <row r="11">
      <c r="A11" s="146" t="n">
        <v>1</v>
      </c>
      <c r="B11" s="146" t="n">
        <v>2</v>
      </c>
      <c r="C11" s="146" t="n">
        <v>3</v>
      </c>
      <c r="D11" s="146" t="n">
        <v>4</v>
      </c>
      <c r="E11" s="146" t="n">
        <v>5</v>
      </c>
      <c r="F11" s="146" t="n">
        <v>6</v>
      </c>
      <c r="G11" s="146" t="n">
        <v>7</v>
      </c>
      <c r="H11" s="146" t="n">
        <v>8</v>
      </c>
      <c r="I11" s="146" t="n">
        <v>9</v>
      </c>
      <c r="J11" s="146" t="n">
        <v>10</v>
      </c>
    </row>
    <row r="12">
      <c r="A12" s="146" t="n"/>
      <c r="B12" s="157" t="inlineStr">
        <is>
          <t>Затраты труда рабочих-строителей</t>
        </is>
      </c>
      <c r="C12" s="176" t="n"/>
      <c r="D12" s="176" t="n"/>
      <c r="E12" s="176" t="n"/>
      <c r="F12" s="176" t="n"/>
      <c r="G12" s="176" t="n"/>
      <c r="H12" s="177" t="n"/>
      <c r="I12" s="31" t="n"/>
      <c r="J12" s="31" t="n"/>
      <c r="L12" s="184" t="n"/>
    </row>
    <row r="13" ht="25.5" customHeight="1" s="115">
      <c r="A13" s="146" t="n">
        <v>1</v>
      </c>
      <c r="B13" s="35" t="inlineStr">
        <is>
          <t>1-3-4</t>
        </is>
      </c>
      <c r="C13" s="145" t="inlineStr">
        <is>
          <t>Затраты труда рабочих-строителей среднего разряда (3,4)</t>
        </is>
      </c>
      <c r="D13" s="146" t="inlineStr">
        <is>
          <t>чел.-ч.</t>
        </is>
      </c>
      <c r="E13" s="185">
        <f>G13/F13</f>
        <v/>
      </c>
      <c r="F13" s="14" t="n">
        <v>8.970000000000001</v>
      </c>
      <c r="G13" s="14" t="n">
        <v>11002.15</v>
      </c>
      <c r="H13" s="158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12">
      <c r="A14" s="146" t="n"/>
      <c r="B14" s="146" t="n"/>
      <c r="C14" s="157" t="inlineStr">
        <is>
          <t>Итого по разделу "Затраты труда рабочих-строителей"</t>
        </is>
      </c>
      <c r="D14" s="146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58" t="n">
        <v>1</v>
      </c>
      <c r="I14" s="14" t="n"/>
      <c r="J14" s="14">
        <f>SUM(J13:J13)</f>
        <v/>
      </c>
      <c r="L14" s="53" t="n"/>
    </row>
    <row r="15" ht="14.25" customFormat="1" customHeight="1" s="112">
      <c r="A15" s="146" t="n"/>
      <c r="B15" s="145" t="inlineStr">
        <is>
          <t>Затраты труда машинистов</t>
        </is>
      </c>
      <c r="C15" s="176" t="n"/>
      <c r="D15" s="176" t="n"/>
      <c r="E15" s="176" t="n"/>
      <c r="F15" s="176" t="n"/>
      <c r="G15" s="176" t="n"/>
      <c r="H15" s="177" t="n"/>
      <c r="I15" s="31" t="n"/>
      <c r="J15" s="31" t="n"/>
      <c r="L15" s="184" t="n"/>
    </row>
    <row r="16" ht="14.25" customFormat="1" customHeight="1" s="112">
      <c r="A16" s="146" t="n">
        <v>2</v>
      </c>
      <c r="B16" s="146" t="n">
        <v>2</v>
      </c>
      <c r="C16" s="145" t="inlineStr">
        <is>
          <t>Затраты труда машинистов</t>
        </is>
      </c>
      <c r="D16" s="146" t="inlineStr">
        <is>
          <t>чел.-ч.</t>
        </is>
      </c>
      <c r="E16" s="185" t="n">
        <v>27.6704227</v>
      </c>
      <c r="F16" s="14">
        <f>G16/E16</f>
        <v/>
      </c>
      <c r="G16" s="14" t="n">
        <v>343.61</v>
      </c>
      <c r="H16" s="158" t="n">
        <v>1</v>
      </c>
      <c r="I16" s="14">
        <f>ROUND(F16*Прил.10!D10,2)</f>
        <v/>
      </c>
      <c r="J16" s="14">
        <f>ROUND(I16*E16,2)</f>
        <v/>
      </c>
      <c r="L16" s="45" t="n"/>
    </row>
    <row r="17" ht="14.25" customFormat="1" customHeight="1" s="112">
      <c r="A17" s="146" t="n"/>
      <c r="B17" s="157" t="inlineStr">
        <is>
          <t>Машины и механизмы</t>
        </is>
      </c>
      <c r="C17" s="176" t="n"/>
      <c r="D17" s="176" t="n"/>
      <c r="E17" s="176" t="n"/>
      <c r="F17" s="176" t="n"/>
      <c r="G17" s="176" t="n"/>
      <c r="H17" s="177" t="n"/>
      <c r="I17" s="158" t="n"/>
      <c r="J17" s="158" t="n"/>
    </row>
    <row r="18" ht="14.25" customFormat="1" customHeight="1" s="112">
      <c r="A18" s="146" t="n"/>
      <c r="B18" s="145" t="inlineStr">
        <is>
          <t>Основные 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31" t="n"/>
      <c r="J18" s="31" t="n"/>
    </row>
    <row r="19" ht="25.5" customFormat="1" customHeight="1" s="112">
      <c r="A19" s="146" t="n">
        <v>3</v>
      </c>
      <c r="B19" s="35" t="inlineStr">
        <is>
          <t>91.05.05-015</t>
        </is>
      </c>
      <c r="C19" s="145" t="inlineStr">
        <is>
          <t>Краны на автомобильном ходу, грузоподъемность 16 т</t>
        </is>
      </c>
      <c r="D19" s="146" t="inlineStr">
        <is>
          <t>маш.час</t>
        </is>
      </c>
      <c r="E19" s="185" t="n">
        <v>11.8598206</v>
      </c>
      <c r="F19" s="164" t="n">
        <v>115.4</v>
      </c>
      <c r="G19" s="14">
        <f>ROUND(E19*F19,2)</f>
        <v/>
      </c>
      <c r="H19" s="158">
        <f>G19/$G$38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12">
      <c r="A20" s="146" t="n">
        <v>4</v>
      </c>
      <c r="B20" s="35" t="inlineStr">
        <is>
          <t>91.14.02-001</t>
        </is>
      </c>
      <c r="C20" s="145" t="inlineStr">
        <is>
          <t>Автомобили бортовые, грузоподъемность до 5 т</t>
        </is>
      </c>
      <c r="D20" s="146" t="inlineStr">
        <is>
          <t>маш.час</t>
        </is>
      </c>
      <c r="E20" s="185" t="n">
        <v>15.6826023</v>
      </c>
      <c r="F20" s="164" t="n">
        <v>65.70999999999999</v>
      </c>
      <c r="G20" s="14">
        <f>ROUND(E20*F20,2)</f>
        <v/>
      </c>
      <c r="H20" s="158">
        <f>G20/$G$38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12">
      <c r="A21" s="146" t="n">
        <v>5</v>
      </c>
      <c r="B21" s="35" t="inlineStr">
        <is>
          <t>91.06.03-047</t>
        </is>
      </c>
      <c r="C21" s="145" t="inlineStr">
        <is>
          <t>Лебедки ручные и рычажные тяговым усилием 31,39 кН (3,2 т)</t>
        </is>
      </c>
      <c r="D21" s="146" t="inlineStr">
        <is>
          <t>маш.час</t>
        </is>
      </c>
      <c r="E21" s="185" t="n">
        <v>131.089744</v>
      </c>
      <c r="F21" s="164" t="n">
        <v>3.12</v>
      </c>
      <c r="G21" s="14">
        <f>ROUND(E21*F21,2)</f>
        <v/>
      </c>
      <c r="H21" s="158">
        <f>G21/$G$38</f>
        <v/>
      </c>
      <c r="I21" s="14">
        <f>ROUND(F21*Прил.10!$D$11,2)</f>
        <v/>
      </c>
      <c r="J21" s="14">
        <f>ROUND(I21*E21,2)</f>
        <v/>
      </c>
    </row>
    <row r="22" hidden="1" outlineLevel="1" ht="25.5" customFormat="1" customHeight="1" s="112">
      <c r="A22" s="146" t="n"/>
      <c r="B22" s="98" t="inlineStr">
        <is>
          <t>91.06.03-047</t>
        </is>
      </c>
      <c r="C22" s="102" t="inlineStr">
        <is>
          <t>Лебедки ручные и рычажные тяговым усилием 31,39 кН (3,2 т)</t>
        </is>
      </c>
      <c r="D22" s="99" t="inlineStr">
        <is>
          <t>маш.час</t>
        </is>
      </c>
      <c r="E22" s="186" t="n">
        <v>94.2452285</v>
      </c>
      <c r="F22" s="100" t="n">
        <v>3.12</v>
      </c>
      <c r="G22" s="97">
        <f>ROUND(E22*F22,2)</f>
        <v/>
      </c>
      <c r="H22" s="103">
        <f>G22/$G$38</f>
        <v/>
      </c>
      <c r="I22" s="14" t="n"/>
      <c r="J22" s="14" t="n"/>
    </row>
    <row r="23" hidden="1" outlineLevel="1" ht="25.5" customFormat="1" customHeight="1" s="112">
      <c r="A23" s="146" t="n"/>
      <c r="B23" s="98" t="inlineStr">
        <is>
          <t>91.06.03-055</t>
        </is>
      </c>
      <c r="C23" s="102" t="inlineStr">
        <is>
          <t>Лебедки электрические тяговым усилием 19,62 кН (2 т)</t>
        </is>
      </c>
      <c r="D23" s="99" t="inlineStr">
        <is>
          <t>маш.час</t>
        </is>
      </c>
      <c r="E23" s="186" t="n">
        <v>1.7999637</v>
      </c>
      <c r="F23" s="100" t="n">
        <v>6.66</v>
      </c>
      <c r="G23" s="97">
        <f>ROUND(E23*F23,2)</f>
        <v/>
      </c>
      <c r="H23" s="103">
        <f>G23/$G$38</f>
        <v/>
      </c>
      <c r="I23" s="97" t="n"/>
      <c r="J23" s="97" t="n"/>
    </row>
    <row r="24" hidden="1" outlineLevel="1" ht="25.5" customFormat="1" customHeight="1" s="112">
      <c r="A24" s="146" t="n"/>
      <c r="B24" s="98" t="inlineStr">
        <is>
          <t>91.06.03-060</t>
        </is>
      </c>
      <c r="C24" s="102" t="inlineStr">
        <is>
          <t>Лебедки электрические тяговым усилием до 5,79 кН (0,59 т)</t>
        </is>
      </c>
      <c r="D24" s="99" t="inlineStr">
        <is>
          <t>маш.час</t>
        </is>
      </c>
      <c r="E24" s="186" t="n">
        <v>3.52664</v>
      </c>
      <c r="F24" s="100" t="n">
        <v>1.7</v>
      </c>
      <c r="G24" s="97">
        <f>ROUND(E24*F24,2)</f>
        <v/>
      </c>
      <c r="H24" s="103">
        <f>G24/$G$38</f>
        <v/>
      </c>
      <c r="I24" s="97" t="n"/>
      <c r="J24" s="97" t="n"/>
    </row>
    <row r="25" hidden="1" outlineLevel="1" ht="25.5" customFormat="1" customHeight="1" s="112">
      <c r="A25" s="146" t="n"/>
      <c r="B25" s="98" t="inlineStr">
        <is>
          <t>91.06.03-061</t>
        </is>
      </c>
      <c r="C25" s="102" t="inlineStr">
        <is>
          <t>Лебедки электрические тяговым усилием до 12,26 кН (1,25 т)</t>
        </is>
      </c>
      <c r="D25" s="99" t="inlineStr">
        <is>
          <t>маш.час</t>
        </is>
      </c>
      <c r="E25" s="186" t="n">
        <v>25.63</v>
      </c>
      <c r="F25" s="100" t="n">
        <v>3.28</v>
      </c>
      <c r="G25" s="97">
        <f>ROUND(E25*F25,2)</f>
        <v/>
      </c>
      <c r="H25" s="103">
        <f>G25/$G$38</f>
        <v/>
      </c>
      <c r="I25" s="97" t="n"/>
      <c r="J25" s="97" t="n"/>
    </row>
    <row r="26" hidden="1" outlineLevel="1" ht="25.5" customFormat="1" customHeight="1" s="112">
      <c r="A26" s="146" t="n"/>
      <c r="B26" s="98" t="inlineStr">
        <is>
          <t>91.06.03-062</t>
        </is>
      </c>
      <c r="C26" s="102" t="inlineStr">
        <is>
          <t>Лебедки электрические тяговым усилием до 31,39 кН (3,2 т)</t>
        </is>
      </c>
      <c r="D26" s="99" t="inlineStr">
        <is>
          <t>маш.час</t>
        </is>
      </c>
      <c r="E26" s="186" t="n">
        <v>1.868</v>
      </c>
      <c r="F26" s="100" t="n">
        <v>6.9</v>
      </c>
      <c r="G26" s="97">
        <f>ROUND(E26*F26,2)</f>
        <v/>
      </c>
      <c r="H26" s="103">
        <f>G26/$G$38</f>
        <v/>
      </c>
      <c r="I26" s="14" t="n"/>
      <c r="J26" s="14" t="n"/>
    </row>
    <row r="27" collapsed="1" ht="25.5" customFormat="1" customHeight="1" s="112">
      <c r="A27" s="146" t="n">
        <v>6</v>
      </c>
      <c r="B27" s="35" t="inlineStr">
        <is>
          <t>91.17.04-233</t>
        </is>
      </c>
      <c r="C27" s="145" t="inlineStr">
        <is>
          <t>Установки для сварки ручной дуговой (постоянного тока)</t>
        </is>
      </c>
      <c r="D27" s="146" t="inlineStr">
        <is>
          <t>маш.час</t>
        </is>
      </c>
      <c r="E27" s="185" t="n">
        <v>37.6062814</v>
      </c>
      <c r="F27" s="164" t="n">
        <v>8.1</v>
      </c>
      <c r="G27" s="14">
        <f>ROUND(E27*F27,2)</f>
        <v/>
      </c>
      <c r="H27" s="158">
        <f>G27/$G$38</f>
        <v/>
      </c>
      <c r="I27" s="14">
        <f>ROUND(F27*Прил.10!$D$11,2)</f>
        <v/>
      </c>
      <c r="J27" s="14">
        <f>ROUND(I27*E27,2)</f>
        <v/>
      </c>
    </row>
    <row r="28" ht="14.25" customFormat="1" customHeight="1" s="112">
      <c r="B28" s="146" t="n"/>
      <c r="C28" s="145" t="inlineStr">
        <is>
          <t>Итого основные машины и механизмы</t>
        </is>
      </c>
      <c r="D28" s="146" t="n"/>
      <c r="E28" s="187" t="n"/>
      <c r="F28" s="14" t="n"/>
      <c r="G28" s="14">
        <f>SUM(G19:G21)+G27</f>
        <v/>
      </c>
      <c r="H28" s="158">
        <f>G28/G38</f>
        <v/>
      </c>
      <c r="I28" s="14" t="n"/>
      <c r="J28" s="14">
        <f>SUM(J19:J27)</f>
        <v/>
      </c>
      <c r="L28" s="188" t="n"/>
    </row>
    <row r="29" outlineLevel="1" ht="25.5" customFormat="1" customHeight="1" s="112">
      <c r="A29" s="146" t="n">
        <v>7</v>
      </c>
      <c r="B29" s="35" t="inlineStr">
        <is>
          <t>91.21.22-441</t>
        </is>
      </c>
      <c r="C29" s="145" t="inlineStr">
        <is>
          <t>Установки для заготовки защитных покрытий тепловой изоляции</t>
        </is>
      </c>
      <c r="D29" s="146" t="inlineStr">
        <is>
          <t>маш.час</t>
        </is>
      </c>
      <c r="E29" s="185" t="n">
        <v>2.824866</v>
      </c>
      <c r="F29" s="164" t="n">
        <v>65.25</v>
      </c>
      <c r="G29" s="14">
        <f>ROUND(E29*F29,2)</f>
        <v/>
      </c>
      <c r="H29" s="158">
        <f>G29/$G$38</f>
        <v/>
      </c>
      <c r="I29" s="14">
        <f>ROUND(F29*Прил.10!$D$11,2)</f>
        <v/>
      </c>
      <c r="J29" s="14">
        <f>ROUND(I29*E29,2)</f>
        <v/>
      </c>
      <c r="L29" s="188" t="n"/>
    </row>
    <row r="30" outlineLevel="1" ht="38.25" customFormat="1" customHeight="1" s="112">
      <c r="A30" s="146" t="n">
        <v>8</v>
      </c>
      <c r="B30" s="35" t="inlineStr">
        <is>
          <t>91.18.01-011</t>
        </is>
      </c>
      <c r="C30" s="145" t="inlineStr">
        <is>
          <t>Компрессоры передвижные с электродвигателем давление 600 кПа (6 ат), производительность 0,5 м3/мин</t>
        </is>
      </c>
      <c r="D30" s="146" t="inlineStr">
        <is>
          <t>маш.час</t>
        </is>
      </c>
      <c r="E30" s="185" t="n">
        <v>29.937505</v>
      </c>
      <c r="F30" s="164" t="n">
        <v>3.7</v>
      </c>
      <c r="G30" s="14">
        <f>ROUND(E30*F30,2)</f>
        <v/>
      </c>
      <c r="H30" s="158">
        <f>G30/$G$38</f>
        <v/>
      </c>
      <c r="I30" s="14">
        <f>ROUND(F30*Прил.10!$D$11,2)</f>
        <v/>
      </c>
      <c r="J30" s="14">
        <f>ROUND(I30*E30,2)</f>
        <v/>
      </c>
      <c r="L30" s="188" t="n"/>
    </row>
    <row r="31" outlineLevel="1" ht="14.25" customFormat="1" customHeight="1" s="112">
      <c r="A31" s="146" t="n">
        <v>9</v>
      </c>
      <c r="B31" s="35" t="inlineStr">
        <is>
          <t>91.21.01-016</t>
        </is>
      </c>
      <c r="C31" s="145" t="inlineStr">
        <is>
          <t>Агрегаты шпатлево-окрасочные</t>
        </is>
      </c>
      <c r="D31" s="146" t="inlineStr">
        <is>
          <t>маш.час</t>
        </is>
      </c>
      <c r="E31" s="185" t="n">
        <v>29.937505</v>
      </c>
      <c r="F31" s="164" t="n">
        <v>2.7</v>
      </c>
      <c r="G31" s="14">
        <f>ROUND(E31*F31,2)</f>
        <v/>
      </c>
      <c r="H31" s="158">
        <f>G31/$G$38</f>
        <v/>
      </c>
      <c r="I31" s="14">
        <f>ROUND(F31*Прил.10!$D$11,2)</f>
        <v/>
      </c>
      <c r="J31" s="14">
        <f>ROUND(I31*E31,2)</f>
        <v/>
      </c>
      <c r="L31" s="188" t="n"/>
    </row>
    <row r="32" outlineLevel="1" ht="38.25" customFormat="1" customHeight="1" s="112">
      <c r="A32" s="146" t="n">
        <v>10</v>
      </c>
      <c r="B32" s="35" t="inlineStr">
        <is>
          <t>91.21.01-012</t>
        </is>
      </c>
      <c r="C32" s="145" t="inlineStr">
        <is>
          <t>Агрегаты окрасочные высокого давления для окраски поверхностей конструкций, мощность 1 кВт</t>
        </is>
      </c>
      <c r="D32" s="146" t="inlineStr">
        <is>
          <t>маш.час</t>
        </is>
      </c>
      <c r="E32" s="185" t="n">
        <v>11.328</v>
      </c>
      <c r="F32" s="164" t="n">
        <v>6.82</v>
      </c>
      <c r="G32" s="14">
        <f>ROUND(E32*F32,2)</f>
        <v/>
      </c>
      <c r="H32" s="158">
        <f>G32/$G$38</f>
        <v/>
      </c>
      <c r="I32" s="14">
        <f>ROUND(F32*Прил.10!$D$11,2)</f>
        <v/>
      </c>
      <c r="J32" s="14">
        <f>ROUND(I32*E32,2)</f>
        <v/>
      </c>
      <c r="L32" s="188" t="n"/>
    </row>
    <row r="33" outlineLevel="1" ht="25.5" customFormat="1" customHeight="1" s="112">
      <c r="A33" s="146" t="n">
        <v>11</v>
      </c>
      <c r="B33" s="35" t="inlineStr">
        <is>
          <t>91.06.01-003</t>
        </is>
      </c>
      <c r="C33" s="145" t="inlineStr">
        <is>
          <t>Домкраты гидравлические, грузоподъемность 63-100 т</t>
        </is>
      </c>
      <c r="D33" s="146" t="inlineStr">
        <is>
          <t>маш.час</t>
        </is>
      </c>
      <c r="E33" s="185" t="n">
        <v>27.498</v>
      </c>
      <c r="F33" s="164" t="n">
        <v>0.9</v>
      </c>
      <c r="G33" s="14">
        <f>ROUND(E33*F33,2)</f>
        <v/>
      </c>
      <c r="H33" s="158">
        <f>G33/$G$38</f>
        <v/>
      </c>
      <c r="I33" s="14">
        <f>ROUND(F33*Прил.10!$D$11,2)</f>
        <v/>
      </c>
      <c r="J33" s="14">
        <f>ROUND(I33*E33,2)</f>
        <v/>
      </c>
      <c r="L33" s="188" t="n"/>
    </row>
    <row r="34" outlineLevel="1" ht="14.25" customFormat="1" customHeight="1" s="112">
      <c r="A34" s="146" t="n">
        <v>12</v>
      </c>
      <c r="B34" s="35" t="inlineStr">
        <is>
          <t>91.06.05-011</t>
        </is>
      </c>
      <c r="C34" s="145" t="inlineStr">
        <is>
          <t>Погрузчики, грузоподъемность 5 т</t>
        </is>
      </c>
      <c r="D34" s="146" t="inlineStr">
        <is>
          <t>маш.час</t>
        </is>
      </c>
      <c r="E34" s="185" t="n">
        <v>0.128</v>
      </c>
      <c r="F34" s="164" t="n">
        <v>89.98999999999999</v>
      </c>
      <c r="G34" s="14">
        <f>ROUND(E34*F34,2)</f>
        <v/>
      </c>
      <c r="H34" s="158">
        <f>G34/$G$38</f>
        <v/>
      </c>
      <c r="I34" s="14">
        <f>ROUND(F34*Прил.10!$D$11,2)</f>
        <v/>
      </c>
      <c r="J34" s="14">
        <f>ROUND(I34*E34,2)</f>
        <v/>
      </c>
      <c r="L34" s="188" t="n"/>
    </row>
    <row r="35" outlineLevel="1" ht="25.5" customFormat="1" customHeight="1" s="112">
      <c r="A35" s="146" t="n">
        <v>13</v>
      </c>
      <c r="B35" s="35" t="inlineStr">
        <is>
          <t>91.21.16-012</t>
        </is>
      </c>
      <c r="C35" s="145" t="inlineStr">
        <is>
          <t>Прессы гидравлические с электроприводом</t>
        </is>
      </c>
      <c r="D35" s="146" t="inlineStr">
        <is>
          <t>маш.час</t>
        </is>
      </c>
      <c r="E35" s="185" t="n">
        <v>0.18</v>
      </c>
      <c r="F35" s="164" t="n">
        <v>1.11</v>
      </c>
      <c r="G35" s="14">
        <f>ROUND(E35*F35,2)</f>
        <v/>
      </c>
      <c r="H35" s="158">
        <f>G35/$G$38</f>
        <v/>
      </c>
      <c r="I35" s="14">
        <f>ROUND(F35*Прил.10!$D$11,2)</f>
        <v/>
      </c>
      <c r="J35" s="14">
        <f>ROUND(I35*E35,2)</f>
        <v/>
      </c>
      <c r="L35" s="188" t="n"/>
    </row>
    <row r="36" outlineLevel="1" ht="25.5" customFormat="1" customHeight="1" s="112">
      <c r="A36" s="146" t="n">
        <v>14</v>
      </c>
      <c r="B36" s="35" t="inlineStr">
        <is>
          <t>91.21.22-443</t>
        </is>
      </c>
      <c r="C36" s="145" t="inlineStr">
        <is>
          <t>Установки для изготовления бандажей, диафрагм, пряжек</t>
        </is>
      </c>
      <c r="D36" s="146" t="inlineStr">
        <is>
          <t>маш.час</t>
        </is>
      </c>
      <c r="E36" s="185" t="n">
        <v>1.247994</v>
      </c>
      <c r="F36" s="164" t="n">
        <v>2.16</v>
      </c>
      <c r="G36" s="14">
        <f>ROUND(E36*F36,2)</f>
        <v/>
      </c>
      <c r="H36" s="158">
        <f>G36/$G$38</f>
        <v/>
      </c>
      <c r="I36" s="14">
        <f>ROUND(F36*Прил.10!$D$11,2)</f>
        <v/>
      </c>
      <c r="J36" s="14">
        <f>ROUND(I36*E36,2)</f>
        <v/>
      </c>
      <c r="L36" s="188" t="n"/>
    </row>
    <row r="37" ht="14.25" customFormat="1" customHeight="1" s="112">
      <c r="A37" s="146" t="n"/>
      <c r="B37" s="146" t="n"/>
      <c r="C37" s="145" t="inlineStr">
        <is>
          <t>Итого прочие машины и механизмы</t>
        </is>
      </c>
      <c r="D37" s="146" t="n"/>
      <c r="E37" s="147" t="n"/>
      <c r="F37" s="14" t="n"/>
      <c r="G37" s="14">
        <f>SUM(G29:G36)</f>
        <v/>
      </c>
      <c r="H37" s="158">
        <f>G37/G38</f>
        <v/>
      </c>
      <c r="I37" s="14" t="n"/>
      <c r="J37" s="14">
        <f>SUM(J29:J36)</f>
        <v/>
      </c>
      <c r="K37" s="188" t="n"/>
      <c r="L37" s="184" t="n"/>
    </row>
    <row r="38" ht="25.5" customFormat="1" customHeight="1" s="112">
      <c r="A38" s="146" t="n"/>
      <c r="B38" s="159" t="n"/>
      <c r="C38" s="150" t="inlineStr">
        <is>
          <t>Итого по разделу «Машины и механизмы»</t>
        </is>
      </c>
      <c r="D38" s="159" t="n"/>
      <c r="E38" s="40" t="n"/>
      <c r="F38" s="41" t="n"/>
      <c r="G38" s="41">
        <f>G28+G37</f>
        <v/>
      </c>
      <c r="H38" s="42" t="n">
        <v>1</v>
      </c>
      <c r="I38" s="41" t="n"/>
      <c r="J38" s="41">
        <f>J28+J37</f>
        <v/>
      </c>
    </row>
    <row r="39">
      <c r="A39" s="55" t="n"/>
      <c r="B39" s="150" t="inlineStr">
        <is>
          <t xml:space="preserve">Оборудование </t>
        </is>
      </c>
      <c r="C39" s="189" t="n"/>
      <c r="D39" s="189" t="n"/>
      <c r="E39" s="189" t="n"/>
      <c r="F39" s="189" t="n"/>
      <c r="G39" s="189" t="n"/>
      <c r="H39" s="189" t="n"/>
      <c r="I39" s="189" t="n"/>
      <c r="J39" s="190" t="n"/>
    </row>
    <row r="40" ht="15" customHeight="1" s="115">
      <c r="A40" s="146" t="n"/>
      <c r="B40" s="145" t="inlineStr">
        <is>
          <t>Основное оборудование</t>
        </is>
      </c>
      <c r="C40" s="176" t="n"/>
      <c r="D40" s="176" t="n"/>
      <c r="E40" s="176" t="n"/>
      <c r="F40" s="176" t="n"/>
      <c r="G40" s="176" t="n"/>
      <c r="H40" s="176" t="n"/>
      <c r="I40" s="176" t="n"/>
      <c r="J40" s="177" t="n"/>
    </row>
    <row r="41" ht="15.75" customHeight="1" s="115">
      <c r="A41" s="146" t="n">
        <v>15</v>
      </c>
      <c r="B41" s="35" t="inlineStr">
        <is>
          <t>Прайс из СД ОП</t>
        </is>
      </c>
      <c r="C41" s="145" t="inlineStr">
        <is>
          <t>Комплект автоматики</t>
        </is>
      </c>
      <c r="D41" s="146" t="inlineStr">
        <is>
          <t>шт</t>
        </is>
      </c>
      <c r="E41" s="185" t="n">
        <v>1</v>
      </c>
      <c r="F41" s="148">
        <f>ROUND(I41/Прил.10!$D$13,2)</f>
        <v/>
      </c>
      <c r="G41" s="14">
        <f>ROUND(E41*F41,2)</f>
        <v/>
      </c>
      <c r="H41" s="158">
        <f>G41/$G$60</f>
        <v/>
      </c>
      <c r="I41" s="14">
        <f>160994*6.26</f>
        <v/>
      </c>
      <c r="J41" s="14">
        <f>ROUND(I41*E41,2)</f>
        <v/>
      </c>
    </row>
    <row r="42" ht="38.25" customHeight="1" s="115">
      <c r="A42" s="146" t="n">
        <v>16</v>
      </c>
      <c r="B42" s="35" t="inlineStr">
        <is>
          <t>64.1.05.10-0044</t>
        </is>
      </c>
      <c r="C42" s="145" t="inlineStr">
        <is>
          <t>Вентиляторы радиальные: пылевые ВП3 N 0.72/1000, тип электродвигателя 4АМ112M2</t>
        </is>
      </c>
      <c r="D42" s="146" t="inlineStr">
        <is>
          <t>компл</t>
        </is>
      </c>
      <c r="E42" s="185" t="n">
        <v>2</v>
      </c>
      <c r="F42" s="148" t="n">
        <v>64754.77</v>
      </c>
      <c r="G42" s="14">
        <f>ROUND(E42*F42,2)</f>
        <v/>
      </c>
      <c r="H42" s="158">
        <f>G42/$G$60</f>
        <v/>
      </c>
      <c r="I42" s="148">
        <f>ROUND(F42*Прил.10!$D$13,2)</f>
        <v/>
      </c>
      <c r="J42" s="14">
        <f>ROUND(I42*E42,2)</f>
        <v/>
      </c>
    </row>
    <row r="43" ht="25.5" customHeight="1" s="115">
      <c r="A43" s="146" t="n">
        <v>17</v>
      </c>
      <c r="B43" s="35" t="inlineStr">
        <is>
          <t>64.4.03.01-0029</t>
        </is>
      </c>
      <c r="C43" s="145" t="inlineStr">
        <is>
          <t>Установки вентиляционно-приточные типа: АПК-8-6 В с ручным приводом</t>
        </is>
      </c>
      <c r="D43" s="146" t="inlineStr">
        <is>
          <t>шт</t>
        </is>
      </c>
      <c r="E43" s="185" t="n">
        <v>1</v>
      </c>
      <c r="F43" s="148" t="n">
        <v>104784.19</v>
      </c>
      <c r="G43" s="14">
        <f>ROUND(E43*F43,2)</f>
        <v/>
      </c>
      <c r="H43" s="158">
        <f>G43/$G$60</f>
        <v/>
      </c>
      <c r="I43" s="148">
        <f>ROUND(F43*Прил.10!$D$13,2)</f>
        <v/>
      </c>
      <c r="J43" s="14">
        <f>ROUND(I43*E43,2)</f>
        <v/>
      </c>
    </row>
    <row r="44" ht="25.5" customHeight="1" s="115">
      <c r="A44" s="146" t="n">
        <v>18</v>
      </c>
      <c r="B44" s="35" t="inlineStr">
        <is>
          <t>64.4.03.02-1008</t>
        </is>
      </c>
      <c r="C44" s="145" t="inlineStr">
        <is>
          <t>Установка приточно-вытяжная, производительность 4100 м3/ч</t>
        </is>
      </c>
      <c r="D44" s="146" t="inlineStr">
        <is>
          <t>шт</t>
        </is>
      </c>
      <c r="E44" s="185" t="n">
        <v>1</v>
      </c>
      <c r="F44" s="148" t="n">
        <v>47702.64</v>
      </c>
      <c r="G44" s="14">
        <f>ROUND(E44*F44,2)</f>
        <v/>
      </c>
      <c r="H44" s="158">
        <f>G44/$G$60</f>
        <v/>
      </c>
      <c r="I44" s="148">
        <f>ROUND(F44*Прил.10!$D$13,2)</f>
        <v/>
      </c>
      <c r="J44" s="14">
        <f>ROUND(I44*E44,2)</f>
        <v/>
      </c>
    </row>
    <row r="45" ht="25.5" customHeight="1" s="115">
      <c r="A45" s="146" t="n">
        <v>19</v>
      </c>
      <c r="B45" s="35" t="inlineStr">
        <is>
          <t>62.4.02.01-0049</t>
        </is>
      </c>
      <c r="C45" s="145" t="inlineStr">
        <is>
          <t>Источник бесперебойного питания: Delta N Series UPS</t>
        </is>
      </c>
      <c r="D45" s="146" t="inlineStr">
        <is>
          <t>шт</t>
        </is>
      </c>
      <c r="E45" s="185" t="n">
        <v>4</v>
      </c>
      <c r="F45" s="148" t="n">
        <v>5415.89</v>
      </c>
      <c r="G45" s="14">
        <f>ROUND(E45*F45,2)</f>
        <v/>
      </c>
      <c r="H45" s="158">
        <f>G45/$G$60</f>
        <v/>
      </c>
      <c r="I45" s="148">
        <f>ROUND(F45*Прил.10!$D$13,2)</f>
        <v/>
      </c>
      <c r="J45" s="14">
        <f>ROUND(I45*E45,2)</f>
        <v/>
      </c>
    </row>
    <row r="46">
      <c r="A46" s="56" t="n"/>
      <c r="B46" s="146" t="n"/>
      <c r="C46" s="145" t="inlineStr">
        <is>
          <t>Итого основное оборудование</t>
        </is>
      </c>
      <c r="D46" s="146" t="n"/>
      <c r="E46" s="185" t="n"/>
      <c r="F46" s="148" t="n"/>
      <c r="G46" s="14">
        <f>SUM(G41:G45)</f>
        <v/>
      </c>
      <c r="H46" s="158">
        <f>G46/$G$60</f>
        <v/>
      </c>
      <c r="I46" s="14" t="n"/>
      <c r="J46" s="14">
        <f>SUM(J41:J45)</f>
        <v/>
      </c>
      <c r="K46" s="188" t="n"/>
    </row>
    <row r="47" hidden="1" outlineLevel="1" ht="25.5" customHeight="1" s="115">
      <c r="A47" s="146" t="n">
        <v>20</v>
      </c>
      <c r="B47" s="51" t="inlineStr">
        <is>
          <t>64.4.02.05-0001</t>
        </is>
      </c>
      <c r="C47" s="145" t="inlineStr">
        <is>
          <t>Автоматика AS-IS к приточной установке VS-75-L-Y/S</t>
        </is>
      </c>
      <c r="D47" s="146" t="inlineStr">
        <is>
          <t>компл</t>
        </is>
      </c>
      <c r="E47" s="185" t="n">
        <v>1</v>
      </c>
      <c r="F47" s="148" t="n">
        <v>19931.6</v>
      </c>
      <c r="G47" s="14">
        <f>ROUND(E47*F47,2)</f>
        <v/>
      </c>
      <c r="H47" s="158">
        <f>G47/$G$60</f>
        <v/>
      </c>
      <c r="I47" s="148">
        <f>ROUND(F47*Прил.10!$D$13,2)</f>
        <v/>
      </c>
      <c r="J47" s="14">
        <f>ROUND(I47*E47,2)</f>
        <v/>
      </c>
      <c r="K47" s="188" t="n"/>
    </row>
    <row r="48" hidden="1" outlineLevel="1" ht="38.25" customHeight="1" s="115">
      <c r="A48" s="146" t="n">
        <v>21</v>
      </c>
      <c r="B48" s="51" t="inlineStr">
        <is>
          <t>69.2.02.05-0156</t>
        </is>
      </c>
      <c r="C48" s="145" t="inlineStr">
        <is>
          <t>Клапаны противопожарные прямоугольные с электроприводом, предел огнестойкости EI 180 размером 1200х800 мм</t>
        </is>
      </c>
      <c r="D48" s="146" t="inlineStr">
        <is>
          <t>шт</t>
        </is>
      </c>
      <c r="E48" s="185" t="n">
        <v>2</v>
      </c>
      <c r="F48" s="148" t="n">
        <v>6128.11</v>
      </c>
      <c r="G48" s="14">
        <f>ROUND(E48*F48,2)</f>
        <v/>
      </c>
      <c r="H48" s="158">
        <f>G48/$G$60</f>
        <v/>
      </c>
      <c r="I48" s="148">
        <f>ROUND(F48*Прил.10!$D$13,2)</f>
        <v/>
      </c>
      <c r="J48" s="14">
        <f>ROUND(I48*E48,2)</f>
        <v/>
      </c>
      <c r="K48" s="188" t="n"/>
    </row>
    <row r="49" hidden="1" outlineLevel="1" ht="38.25" customHeight="1" s="115">
      <c r="A49" s="146" t="n">
        <v>22</v>
      </c>
      <c r="B49" s="51" t="inlineStr">
        <is>
          <t>69.2.02.05-0125</t>
        </is>
      </c>
      <c r="C49" s="145" t="inlineStr">
        <is>
          <t>Клапаны противопожарные квадратные с электроприводом, предел огнестойкости EI 90 размером 400х400 мм</t>
        </is>
      </c>
      <c r="D49" s="146" t="inlineStr">
        <is>
          <t>шт</t>
        </is>
      </c>
      <c r="E49" s="185" t="n">
        <v>3</v>
      </c>
      <c r="F49" s="148" t="n">
        <v>2960.25</v>
      </c>
      <c r="G49" s="14">
        <f>ROUND(E49*F49,2)</f>
        <v/>
      </c>
      <c r="H49" s="158">
        <f>G49/$G$60</f>
        <v/>
      </c>
      <c r="I49" s="148">
        <f>ROUND(F49*Прил.10!$D$13,2)</f>
        <v/>
      </c>
      <c r="J49" s="14">
        <f>ROUND(I49*E49,2)</f>
        <v/>
      </c>
      <c r="K49" s="188" t="n"/>
    </row>
    <row r="50" hidden="1" outlineLevel="1" ht="38.25" customHeight="1" s="115">
      <c r="A50" s="146" t="n">
        <v>23</v>
      </c>
      <c r="B50" s="51" t="inlineStr">
        <is>
          <t>Прайс из СД ОП</t>
        </is>
      </c>
      <c r="C50" s="145" t="inlineStr">
        <is>
          <t>Клапан противопожарный взрывозащищенный КПУ-1Н-О-ВК-900х400-2хф- МВ220-СН-0-0-0-0-0-0</t>
        </is>
      </c>
      <c r="D50" s="146" t="inlineStr">
        <is>
          <t>шт</t>
        </is>
      </c>
      <c r="E50" s="185" t="n">
        <v>1</v>
      </c>
      <c r="F50" s="148" t="n">
        <v>8520.73</v>
      </c>
      <c r="G50" s="14">
        <f>ROUND(E50*F50,2)</f>
        <v/>
      </c>
      <c r="H50" s="158">
        <f>G50/$G$60</f>
        <v/>
      </c>
      <c r="I50" s="148">
        <f>ROUND(F50*Прил.10!$D$13,2)</f>
        <v/>
      </c>
      <c r="J50" s="14">
        <f>ROUND(I50*E50,2)</f>
        <v/>
      </c>
      <c r="K50" s="188" t="n"/>
    </row>
    <row r="51" hidden="1" outlineLevel="1" ht="25.5" customHeight="1" s="115">
      <c r="A51" s="146" t="n">
        <v>24</v>
      </c>
      <c r="B51" s="51" t="inlineStr">
        <is>
          <t>19.3.01.05-0036</t>
        </is>
      </c>
      <c r="C51" s="145" t="inlineStr">
        <is>
          <t>Клапаны обратные взрывозащищенные, диаметр 1250 мм</t>
        </is>
      </c>
      <c r="D51" s="146" t="inlineStr">
        <is>
          <t>шт</t>
        </is>
      </c>
      <c r="E51" s="185" t="n">
        <v>2</v>
      </c>
      <c r="F51" s="148" t="n">
        <v>3219.89</v>
      </c>
      <c r="G51" s="14">
        <f>ROUND(E51*F51,2)</f>
        <v/>
      </c>
      <c r="H51" s="158">
        <f>G51/$G$60</f>
        <v/>
      </c>
      <c r="I51" s="148">
        <f>ROUND(F51*Прил.10!$D$13,2)</f>
        <v/>
      </c>
      <c r="J51" s="14">
        <f>ROUND(I51*E51,2)</f>
        <v/>
      </c>
      <c r="K51" s="188" t="n"/>
    </row>
    <row r="52" hidden="1" outlineLevel="1" ht="38.25" customHeight="1" s="115">
      <c r="A52" s="146" t="n">
        <v>25</v>
      </c>
      <c r="B52" s="51" t="inlineStr">
        <is>
          <t>69.2.02.05-0097</t>
        </is>
      </c>
      <c r="C52" s="145" t="inlineStr">
        <is>
          <t>Клапаны противопожарные квадратные с электроприводом, предел огнестойкости EI 60 размером 250х250 мм</t>
        </is>
      </c>
      <c r="D52" s="146" t="inlineStr">
        <is>
          <t>шт</t>
        </is>
      </c>
      <c r="E52" s="185" t="n">
        <v>2</v>
      </c>
      <c r="F52" s="148" t="n">
        <v>2696.27</v>
      </c>
      <c r="G52" s="14">
        <f>ROUND(E52*F52,2)</f>
        <v/>
      </c>
      <c r="H52" s="158">
        <f>G52/$G$60</f>
        <v/>
      </c>
      <c r="I52" s="148">
        <f>ROUND(F52*Прил.10!$D$13,2)</f>
        <v/>
      </c>
      <c r="J52" s="14">
        <f>ROUND(I52*E52,2)</f>
        <v/>
      </c>
      <c r="K52" s="188" t="n"/>
    </row>
    <row r="53" hidden="1" outlineLevel="1" ht="38.25" customHeight="1" s="115">
      <c r="A53" s="146" t="n">
        <v>26</v>
      </c>
      <c r="B53" s="51" t="inlineStr">
        <is>
          <t>Прайс из СД ОП</t>
        </is>
      </c>
      <c r="C53" s="145" t="inlineStr">
        <is>
          <t>Преобразователь частоты Danfoss VLT Micro FC-051 0,75 кВт с панелью управления</t>
        </is>
      </c>
      <c r="D53" s="146" t="inlineStr">
        <is>
          <t>шт</t>
        </is>
      </c>
      <c r="E53" s="185" t="n">
        <v>1</v>
      </c>
      <c r="F53" s="148" t="n">
        <v>3567.27</v>
      </c>
      <c r="G53" s="14">
        <f>ROUND(E53*F53,2)</f>
        <v/>
      </c>
      <c r="H53" s="158">
        <f>G53/$G$60</f>
        <v/>
      </c>
      <c r="I53" s="148">
        <f>ROUND(F53*Прил.10!$D$13,2)</f>
        <v/>
      </c>
      <c r="J53" s="14">
        <f>ROUND(I53*E53,2)</f>
        <v/>
      </c>
      <c r="K53" s="188" t="n"/>
    </row>
    <row r="54" hidden="1" outlineLevel="1" ht="38.25" customHeight="1" s="115">
      <c r="A54" s="146" t="n">
        <v>27</v>
      </c>
      <c r="B54" s="51" t="inlineStr">
        <is>
          <t>Прайс из СД ОП</t>
        </is>
      </c>
      <c r="C54" s="145" t="inlineStr">
        <is>
          <t>Преобразователь частоты Danfoss VLT Micro FC-051 0,37 кВт с панелью управления</t>
        </is>
      </c>
      <c r="D54" s="146" t="inlineStr">
        <is>
          <t>шт</t>
        </is>
      </c>
      <c r="E54" s="185" t="n">
        <v>1</v>
      </c>
      <c r="F54" s="148" t="n">
        <v>2576.38</v>
      </c>
      <c r="G54" s="14">
        <f>ROUND(E54*F54,2)</f>
        <v/>
      </c>
      <c r="H54" s="158">
        <f>G54/$G$60</f>
        <v/>
      </c>
      <c r="I54" s="148">
        <f>ROUND(F54*Прил.10!$D$13,2)</f>
        <v/>
      </c>
      <c r="J54" s="14">
        <f>ROUND(I54*E54,2)</f>
        <v/>
      </c>
      <c r="K54" s="188" t="n"/>
    </row>
    <row r="55" hidden="1" outlineLevel="1" ht="38.25" customHeight="1" s="115">
      <c r="A55" s="146" t="n">
        <v>28</v>
      </c>
      <c r="B55" s="51" t="inlineStr">
        <is>
          <t>64.1.02.01-0005</t>
        </is>
      </c>
      <c r="C55" s="145" t="inlineStr">
        <is>
          <t>Вентиляторы канальные "Systemair": для круглых воздуховодов K 160 M, производительность 488 м3/час</t>
        </is>
      </c>
      <c r="D55" s="146" t="inlineStr">
        <is>
          <t>шт</t>
        </is>
      </c>
      <c r="E55" s="185" t="n">
        <v>1</v>
      </c>
      <c r="F55" s="148" t="n">
        <v>1310.3</v>
      </c>
      <c r="G55" s="14">
        <f>ROUND(E55*F55,2)</f>
        <v/>
      </c>
      <c r="H55" s="158">
        <f>G55/$G$60</f>
        <v/>
      </c>
      <c r="I55" s="148">
        <f>ROUND(F55*Прил.10!$D$13,2)</f>
        <v/>
      </c>
      <c r="J55" s="14">
        <f>ROUND(I55*E55,2)</f>
        <v/>
      </c>
      <c r="K55" s="188" t="n"/>
    </row>
    <row r="56" hidden="1" outlineLevel="1" ht="25.5" customHeight="1" s="115">
      <c r="A56" s="146" t="n">
        <v>29</v>
      </c>
      <c r="B56" s="51" t="inlineStr">
        <is>
          <t>Прайс из СД ОП</t>
        </is>
      </c>
      <c r="C56" s="145" t="inlineStr">
        <is>
          <t>Клапан  воздушный универсальный Регуляр-Л-500х400-1*ручка-УХЛ2-0</t>
        </is>
      </c>
      <c r="D56" s="146" t="inlineStr">
        <is>
          <t>шт</t>
        </is>
      </c>
      <c r="E56" s="185" t="n">
        <v>1</v>
      </c>
      <c r="F56" s="148" t="n">
        <v>917.0599999999999</v>
      </c>
      <c r="G56" s="14">
        <f>ROUND(E56*F56,2)</f>
        <v/>
      </c>
      <c r="H56" s="158">
        <f>G56/$G$60</f>
        <v/>
      </c>
      <c r="I56" s="148">
        <f>ROUND(F56*Прил.10!$D$13,2)</f>
        <v/>
      </c>
      <c r="J56" s="14">
        <f>ROUND(I56*E56,2)</f>
        <v/>
      </c>
      <c r="K56" s="188" t="n"/>
    </row>
    <row r="57" hidden="1" outlineLevel="1" ht="25.5" customHeight="1" s="115">
      <c r="A57" s="146" t="n">
        <v>30</v>
      </c>
      <c r="B57" s="51" t="inlineStr">
        <is>
          <t>Прайс из СД ОП</t>
        </is>
      </c>
      <c r="C57" s="145" t="inlineStr">
        <is>
          <t>Комплект для преобразователя частоты NEMA1-M3</t>
        </is>
      </c>
      <c r="D57" s="146" t="inlineStr">
        <is>
          <t>шт</t>
        </is>
      </c>
      <c r="E57" s="185" t="n">
        <v>4</v>
      </c>
      <c r="F57" s="148" t="n">
        <v>142.58</v>
      </c>
      <c r="G57" s="14">
        <f>ROUND(E57*F57,2)</f>
        <v/>
      </c>
      <c r="H57" s="158">
        <f>G57/$G$60</f>
        <v/>
      </c>
      <c r="I57" s="148">
        <f>ROUND(F57*Прил.10!$D$13,2)</f>
        <v/>
      </c>
      <c r="J57" s="14">
        <f>ROUND(I57*E57,2)</f>
        <v/>
      </c>
      <c r="K57" s="188" t="n"/>
    </row>
    <row r="58" hidden="1" outlineLevel="1" ht="25.5" customHeight="1" s="115">
      <c r="A58" s="146" t="n">
        <v>31</v>
      </c>
      <c r="B58" s="51" t="inlineStr">
        <is>
          <t>Прайс из СД ОП</t>
        </is>
      </c>
      <c r="C58" s="145" t="inlineStr">
        <is>
          <t>Комплект для преобразователя частоты NEMA1-M1</t>
        </is>
      </c>
      <c r="D58" s="146" t="inlineStr">
        <is>
          <t>шт</t>
        </is>
      </c>
      <c r="E58" s="185" t="n">
        <v>2</v>
      </c>
      <c r="F58" s="148" t="n">
        <v>118.81</v>
      </c>
      <c r="G58" s="14">
        <f>ROUND(E58*F58,2)</f>
        <v/>
      </c>
      <c r="H58" s="158">
        <f>G58/$G$60</f>
        <v/>
      </c>
      <c r="I58" s="148">
        <f>ROUND(F58*Прил.10!$D$13,2)</f>
        <v/>
      </c>
      <c r="J58" s="14">
        <f>ROUND(I58*E58,2)</f>
        <v/>
      </c>
      <c r="K58" s="188" t="n"/>
    </row>
    <row r="59" collapsed="1" s="115">
      <c r="A59" s="56" t="n"/>
      <c r="B59" s="146" t="n"/>
      <c r="C59" s="145" t="inlineStr">
        <is>
          <t>Итого прочее оборудование</t>
        </is>
      </c>
      <c r="D59" s="146" t="n"/>
      <c r="E59" s="147" t="n"/>
      <c r="F59" s="148" t="n"/>
      <c r="G59" s="14">
        <f>SUM(G47:G58)</f>
        <v/>
      </c>
      <c r="H59" s="158">
        <f>G59/$G$60</f>
        <v/>
      </c>
      <c r="I59" s="14" t="n"/>
      <c r="J59" s="14">
        <f>SUM(J47:J58)</f>
        <v/>
      </c>
      <c r="K59" s="188" t="n"/>
      <c r="L59" s="191" t="n"/>
    </row>
    <row r="60">
      <c r="A60" s="146" t="n"/>
      <c r="B60" s="146" t="n"/>
      <c r="C60" s="157" t="inlineStr">
        <is>
          <t>Итого по разделу «Оборудование»</t>
        </is>
      </c>
      <c r="D60" s="146" t="n"/>
      <c r="E60" s="147" t="n"/>
      <c r="F60" s="148" t="n"/>
      <c r="G60" s="14">
        <f>G46+G59</f>
        <v/>
      </c>
      <c r="H60" s="158">
        <f>(G46+G59)/G60</f>
        <v/>
      </c>
      <c r="I60" s="14" t="n"/>
      <c r="J60" s="14">
        <f>J59+J46</f>
        <v/>
      </c>
      <c r="K60" s="188" t="n"/>
    </row>
    <row r="61" ht="25.5" customHeight="1" s="115">
      <c r="A61" s="146" t="n"/>
      <c r="B61" s="146" t="n"/>
      <c r="C61" s="145" t="inlineStr">
        <is>
          <t>в том числе технологическое оборудование</t>
        </is>
      </c>
      <c r="D61" s="146" t="n"/>
      <c r="E61" s="147" t="n"/>
      <c r="F61" s="148" t="n"/>
      <c r="G61" s="14">
        <f>'Прил.6 Расчет ОБ'!G31</f>
        <v/>
      </c>
      <c r="H61" s="158">
        <f>G61/$G$60</f>
        <v/>
      </c>
      <c r="I61" s="14" t="n"/>
      <c r="J61" s="14">
        <f>ROUND(G61*Прил.10!$D$13,2)</f>
        <v/>
      </c>
      <c r="K61" s="188" t="n"/>
    </row>
    <row r="62" ht="14.25" customFormat="1" customHeight="1" s="112">
      <c r="A62" s="160" t="n"/>
      <c r="B62" s="192" t="inlineStr">
        <is>
          <t>Материалы</t>
        </is>
      </c>
      <c r="J62" s="193" t="n"/>
      <c r="K62" s="188" t="n"/>
    </row>
    <row r="63" ht="14.25" customFormat="1" customHeight="1" s="112">
      <c r="A63" s="146" t="n"/>
      <c r="B63" s="145" t="inlineStr">
        <is>
          <t>Основные материалы</t>
        </is>
      </c>
      <c r="C63" s="176" t="n"/>
      <c r="D63" s="176" t="n"/>
      <c r="E63" s="176" t="n"/>
      <c r="F63" s="176" t="n"/>
      <c r="G63" s="176" t="n"/>
      <c r="H63" s="177" t="n"/>
      <c r="I63" s="158" t="n"/>
      <c r="J63" s="158" t="n"/>
    </row>
    <row r="64" ht="38.25" customFormat="1" customHeight="1" s="112">
      <c r="A64" s="146" t="n">
        <v>32</v>
      </c>
      <c r="B64" s="35" t="inlineStr">
        <is>
          <t>19.1.01.11-0012</t>
        </is>
      </c>
      <c r="C64" s="145" t="inlineStr">
        <is>
          <t>Крепления (тяги) для воздуховодов СТД 446 (разные виды креплений воздуховодов)</t>
        </is>
      </c>
      <c r="D64" s="146" t="inlineStr">
        <is>
          <t>т</t>
        </is>
      </c>
      <c r="E64" s="185" t="n">
        <v>4.4</v>
      </c>
      <c r="F64" s="164" t="n">
        <v>30398.56</v>
      </c>
      <c r="G64" s="14">
        <f>ROUND(E64*F64,2)</f>
        <v/>
      </c>
      <c r="H64" s="158">
        <f>G64/$G$197</f>
        <v/>
      </c>
      <c r="I64" s="14">
        <f>ROUND(F64*Прил.10!$D$12,2)</f>
        <v/>
      </c>
      <c r="J64" s="14">
        <f>ROUND(I64*E64,2)</f>
        <v/>
      </c>
    </row>
    <row r="65" ht="25.5" customFormat="1" customHeight="1" s="112">
      <c r="A65" s="146" t="n">
        <v>33</v>
      </c>
      <c r="B65" s="35" t="inlineStr">
        <is>
          <t>21.1.06.10-0395</t>
        </is>
      </c>
      <c r="C65" s="145" t="inlineStr">
        <is>
          <t>Кабель силовой с медными жилами ВВГнг(A)-LS 4х10ок(N)-1000</t>
        </is>
      </c>
      <c r="D65" s="146" t="inlineStr">
        <is>
          <t>1000 м</t>
        </is>
      </c>
      <c r="E65" s="185" t="n">
        <v>1.35340411</v>
      </c>
      <c r="F65" s="164" t="n">
        <v>51300.96</v>
      </c>
      <c r="G65" s="14">
        <f>ROUND(E65*F65,2)</f>
        <v/>
      </c>
      <c r="H65" s="158">
        <f>G65/$G$197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12">
      <c r="A66" s="146" t="n"/>
      <c r="B66" s="98" t="inlineStr">
        <is>
          <t>21.1.06.10-0395</t>
        </is>
      </c>
      <c r="C66" s="102" t="inlineStr">
        <is>
          <t>Кабель силовой с медными жилами ВВГнг(A)-LS 4х10ок(N)-1000</t>
        </is>
      </c>
      <c r="D66" s="99" t="inlineStr">
        <is>
          <t>1000 м</t>
        </is>
      </c>
      <c r="E66" s="186" t="n">
        <v>0.4284</v>
      </c>
      <c r="F66" s="100" t="n">
        <v>51300.96</v>
      </c>
      <c r="G66" s="97">
        <f>ROUND(E66*F66,2)</f>
        <v/>
      </c>
      <c r="H66" s="103">
        <f>G66/$G$197</f>
        <v/>
      </c>
      <c r="I66" s="14" t="n"/>
      <c r="J66" s="14" t="n"/>
    </row>
    <row r="67" hidden="1" outlineLevel="1" ht="25.5" customFormat="1" customHeight="1" s="112">
      <c r="A67" s="146" t="n"/>
      <c r="B67" s="98" t="inlineStr">
        <is>
          <t>21.1.06.10-0411</t>
        </is>
      </c>
      <c r="C67" s="102" t="inlineStr">
        <is>
          <t>Кабель силовой с медными жилами ВВГнг(A)-LS 5х16мк(N, PE)-1000</t>
        </is>
      </c>
      <c r="D67" s="99" t="inlineStr">
        <is>
          <t>1000 м</t>
        </is>
      </c>
      <c r="E67" s="186" t="n">
        <v>0.05</v>
      </c>
      <c r="F67" s="100" t="n">
        <v>98440.41</v>
      </c>
      <c r="G67" s="97">
        <f>ROUND(E67*F67,2)</f>
        <v/>
      </c>
      <c r="H67" s="103">
        <f>G67/$G$197</f>
        <v/>
      </c>
      <c r="I67" s="14" t="n"/>
      <c r="J67" s="14" t="n"/>
    </row>
    <row r="68" hidden="1" outlineLevel="1" ht="25.5" customFormat="1" customHeight="1" s="112">
      <c r="A68" s="146" t="n"/>
      <c r="B68" s="98" t="inlineStr">
        <is>
          <t>21.1.06.10-0393</t>
        </is>
      </c>
      <c r="C68" s="102" t="inlineStr">
        <is>
          <t>Кабель силовой с медными жилами ВВГнг(A)-LS 4х4ок(N)-1000</t>
        </is>
      </c>
      <c r="D68" s="99" t="inlineStr">
        <is>
          <t>1000 м</t>
        </is>
      </c>
      <c r="E68" s="186" t="n">
        <v>0.2612</v>
      </c>
      <c r="F68" s="100" t="n">
        <v>26301.07</v>
      </c>
      <c r="G68" s="97">
        <f>ROUND(E68*F68,2)</f>
        <v/>
      </c>
      <c r="H68" s="103">
        <f>G68/$G$197</f>
        <v/>
      </c>
      <c r="I68" s="14" t="n"/>
      <c r="J68" s="14" t="n"/>
    </row>
    <row r="69" hidden="1" outlineLevel="1" ht="25.5" customFormat="1" customHeight="1" s="112">
      <c r="A69" s="146" t="n"/>
      <c r="B69" s="98" t="inlineStr">
        <is>
          <t>21.1.06.10-0381</t>
        </is>
      </c>
      <c r="C69" s="102" t="inlineStr">
        <is>
          <t>Кабель силовой с медными жилами ВВГнг(A)-LS 3х10ок(N, PE)-1000</t>
        </is>
      </c>
      <c r="D69" s="99" t="inlineStr">
        <is>
          <t>1000 м</t>
        </is>
      </c>
      <c r="E69" s="186" t="n">
        <v>0.07140000000000001</v>
      </c>
      <c r="F69" s="100" t="n">
        <v>40466.56</v>
      </c>
      <c r="G69" s="97">
        <f>ROUND(E69*F69,2)</f>
        <v/>
      </c>
      <c r="H69" s="103">
        <f>G69/$G$197</f>
        <v/>
      </c>
      <c r="I69" s="14" t="n"/>
      <c r="J69" s="14" t="n"/>
    </row>
    <row r="70" hidden="1" outlineLevel="1" ht="25.5" customFormat="1" customHeight="1" s="112">
      <c r="A70" s="146" t="n"/>
      <c r="B70" s="98" t="inlineStr">
        <is>
          <t>21.1.06.10-0378</t>
        </is>
      </c>
      <c r="C70" s="102" t="inlineStr">
        <is>
          <t>Кабель силовой с медными жилами ВВГнг(A)-LS 3х4ок-1000</t>
        </is>
      </c>
      <c r="D70" s="99" t="inlineStr">
        <is>
          <t>1000 м</t>
        </is>
      </c>
      <c r="E70" s="186" t="n">
        <v>0.04</v>
      </c>
      <c r="F70" s="100" t="n">
        <v>20634.54</v>
      </c>
      <c r="G70" s="97">
        <f>ROUND(E70*F70,2)</f>
        <v/>
      </c>
      <c r="H70" s="103">
        <f>G70/$G$197</f>
        <v/>
      </c>
      <c r="I70" s="14" t="n"/>
      <c r="J70" s="14" t="n"/>
    </row>
    <row r="71" hidden="1" outlineLevel="1" ht="25.5" customFormat="1" customHeight="1" s="112">
      <c r="A71" s="146" t="n"/>
      <c r="B71" s="98" t="inlineStr">
        <is>
          <t>21.1.06.10-0321</t>
        </is>
      </c>
      <c r="C71" s="102" t="inlineStr">
        <is>
          <t>Кабель силовой с медными жилами ВБбШвнг-LS-Т 3х4(ож)-1000</t>
        </is>
      </c>
      <c r="D71" s="99" t="inlineStr">
        <is>
          <t>1000 м</t>
        </is>
      </c>
      <c r="E71" s="186" t="n">
        <v>0.051</v>
      </c>
      <c r="F71" s="100" t="n">
        <v>33289.09</v>
      </c>
      <c r="G71" s="97">
        <f>ROUND(E71*F71,2)</f>
        <v/>
      </c>
      <c r="H71" s="103">
        <f>G71/$G$197</f>
        <v/>
      </c>
      <c r="I71" s="14" t="n"/>
      <c r="J71" s="14" t="n"/>
    </row>
    <row r="72" hidden="1" outlineLevel="1" ht="25.5" customFormat="1" customHeight="1" s="112">
      <c r="A72" s="146" t="n"/>
      <c r="B72" s="98" t="inlineStr">
        <is>
          <t>21.1.06.10-0318</t>
        </is>
      </c>
      <c r="C72" s="102" t="inlineStr">
        <is>
          <t>Кабель силовой с медными жилами ПвПнг(A)-HF 5х70-1000</t>
        </is>
      </c>
      <c r="D72" s="99" t="inlineStr">
        <is>
          <t>1000 м</t>
        </is>
      </c>
      <c r="E72" s="186" t="n">
        <v>0.0408</v>
      </c>
      <c r="F72" s="100" t="n">
        <v>516101.72</v>
      </c>
      <c r="G72" s="97">
        <f>ROUND(E72*F72,2)</f>
        <v/>
      </c>
      <c r="H72" s="103">
        <f>G72/$G$197</f>
        <v/>
      </c>
      <c r="I72" s="14" t="n"/>
      <c r="J72" s="14" t="n"/>
    </row>
    <row r="73" hidden="1" outlineLevel="1" ht="25.5" customFormat="1" customHeight="1" s="112">
      <c r="A73" s="146" t="n"/>
      <c r="B73" s="98" t="inlineStr">
        <is>
          <t>21.1.06.10-0203</t>
        </is>
      </c>
      <c r="C73" s="102" t="inlineStr">
        <is>
          <t>Кабель силовой с медными жилами ВВГнг(A)-FRLS 5х16мк(N, PE)-1000</t>
        </is>
      </c>
      <c r="D73" s="99" t="inlineStr">
        <is>
          <t>1000 м</t>
        </is>
      </c>
      <c r="E73" s="186" t="n">
        <v>0.03</v>
      </c>
      <c r="F73" s="100" t="n">
        <v>138894.95</v>
      </c>
      <c r="G73" s="97">
        <f>ROUND(E73*F73,2)</f>
        <v/>
      </c>
      <c r="H73" s="103">
        <f>G73/$G$197</f>
        <v/>
      </c>
      <c r="I73" s="14" t="n"/>
      <c r="J73" s="14" t="n"/>
    </row>
    <row r="74" hidden="1" outlineLevel="1" ht="25.5" customFormat="1" customHeight="1" s="112">
      <c r="A74" s="146" t="n"/>
      <c r="B74" s="98" t="inlineStr">
        <is>
          <t>21.1.06.10-0170</t>
        </is>
      </c>
      <c r="C74" s="102" t="inlineStr">
        <is>
          <t>Кабель силовой с медными жилами ВВГнг(A)-FRLS 3х4ок-1000</t>
        </is>
      </c>
      <c r="D74" s="99" t="inlineStr">
        <is>
          <t>1000 м</t>
        </is>
      </c>
      <c r="E74" s="186" t="n">
        <v>0.1479</v>
      </c>
      <c r="F74" s="100" t="n">
        <v>33979.03</v>
      </c>
      <c r="G74" s="97">
        <f>ROUND(E74*F74,2)</f>
        <v/>
      </c>
      <c r="H74" s="103">
        <f>G74/$G$197</f>
        <v/>
      </c>
      <c r="I74" s="14" t="n"/>
      <c r="J74" s="14" t="n"/>
    </row>
    <row r="75" collapsed="1" ht="25.5" customFormat="1" customHeight="1" s="112">
      <c r="A75" s="146" t="n">
        <v>34</v>
      </c>
      <c r="B75" s="35" t="inlineStr">
        <is>
          <t>19.1.01.03-0080</t>
        </is>
      </c>
      <c r="C75" s="145" t="inlineStr">
        <is>
          <t>Воздуховоды из оцинкованной стали толщиной: 0,9 мм, периметром до 7200 мм</t>
        </is>
      </c>
      <c r="D75" s="146" t="inlineStr">
        <is>
          <t>м2</t>
        </is>
      </c>
      <c r="E75" s="185" t="n">
        <v>314.631306</v>
      </c>
      <c r="F75" s="164" t="n">
        <v>113.78</v>
      </c>
      <c r="G75" s="14">
        <f>ROUND(E75*F75,2)</f>
        <v/>
      </c>
      <c r="H75" s="158">
        <f>G75/$G$197</f>
        <v/>
      </c>
      <c r="I75" s="14">
        <f>ROUND(F75*Прил.10!$D$12,2)</f>
        <v/>
      </c>
      <c r="J75" s="14">
        <f>ROUND(I75*E75,2)</f>
        <v/>
      </c>
    </row>
    <row r="76" hidden="1" outlineLevel="1" ht="25.5" customFormat="1" customHeight="1" s="112">
      <c r="A76" s="146" t="n"/>
      <c r="B76" s="98" t="inlineStr">
        <is>
          <t>19.1.01.03-0080</t>
        </is>
      </c>
      <c r="C76" s="102" t="inlineStr">
        <is>
          <t>Воздуховоды из оцинкованной стали толщиной: 0,9 мм, периметром до 7200 мм</t>
        </is>
      </c>
      <c r="D76" s="99" t="inlineStr">
        <is>
          <t>м2</t>
        </is>
      </c>
      <c r="E76" s="186" t="n">
        <v>238.65</v>
      </c>
      <c r="F76" s="100" t="n">
        <v>113.78</v>
      </c>
      <c r="G76" s="97">
        <f>ROUND(E76*F76,2)</f>
        <v/>
      </c>
      <c r="H76" s="103">
        <f>G76/$G$197</f>
        <v/>
      </c>
      <c r="I76" s="14" t="n"/>
      <c r="J76" s="14" t="n"/>
    </row>
    <row r="77" hidden="1" outlineLevel="1" ht="38.25" customFormat="1" customHeight="1" s="112">
      <c r="A77" s="146" t="n"/>
      <c r="B77" s="98" t="inlineStr">
        <is>
          <t>19.1.01.03-0078</t>
        </is>
      </c>
      <c r="C77" s="102" t="inlineStr">
        <is>
          <t>Воздуховоды из оцинкованной стали толщиной: 0,7 мм, периметром от 1100 до 1600 мм</t>
        </is>
      </c>
      <c r="D77" s="99" t="inlineStr">
        <is>
          <t>м2</t>
        </is>
      </c>
      <c r="E77" s="186" t="n">
        <v>12.5</v>
      </c>
      <c r="F77" s="100" t="n">
        <v>104.33</v>
      </c>
      <c r="G77" s="97">
        <f>ROUND(E77*F77,2)</f>
        <v/>
      </c>
      <c r="H77" s="103">
        <f>G77/$G$197</f>
        <v/>
      </c>
      <c r="I77" s="14" t="n"/>
      <c r="J77" s="14" t="n"/>
    </row>
    <row r="78" hidden="1" outlineLevel="1" ht="25.5" customFormat="1" customHeight="1" s="112">
      <c r="A78" s="146" t="n"/>
      <c r="B78" s="98" t="inlineStr">
        <is>
          <t>19.1.01.03-0077</t>
        </is>
      </c>
      <c r="C78" s="102" t="inlineStr">
        <is>
          <t>Воздуховоды из оцинкованной стали толщиной: 0,7 мм, периметром до 1000 мм</t>
        </is>
      </c>
      <c r="D78" s="99" t="inlineStr">
        <is>
          <t>м2</t>
        </is>
      </c>
      <c r="E78" s="186" t="n">
        <v>20</v>
      </c>
      <c r="F78" s="100" t="n">
        <v>111.37</v>
      </c>
      <c r="G78" s="97">
        <f>ROUND(E78*F78,2)</f>
        <v/>
      </c>
      <c r="H78" s="103">
        <f>G78/$G$197</f>
        <v/>
      </c>
      <c r="I78" s="14" t="n"/>
      <c r="J78" s="14" t="n"/>
    </row>
    <row r="79" hidden="1" outlineLevel="1" ht="25.5" customFormat="1" customHeight="1" s="112">
      <c r="A79" s="146" t="n"/>
      <c r="B79" s="98" t="inlineStr">
        <is>
          <t>19.1.01.03-0072</t>
        </is>
      </c>
      <c r="C79" s="102" t="inlineStr">
        <is>
          <t>Воздуховоды из оцинкованной стали толщиной: 0,5 мм, периметром до 600 мм</t>
        </is>
      </c>
      <c r="D79" s="99" t="inlineStr">
        <is>
          <t>м2</t>
        </is>
      </c>
      <c r="E79" s="186" t="n">
        <v>44</v>
      </c>
      <c r="F79" s="100" t="n">
        <v>102.41</v>
      </c>
      <c r="G79" s="97">
        <f>ROUND(E79*F79,2)</f>
        <v/>
      </c>
      <c r="H79" s="103">
        <f>G79/$G$197</f>
        <v/>
      </c>
      <c r="I79" s="14" t="n"/>
      <c r="J79" s="14" t="n"/>
    </row>
    <row r="80" hidden="1" outlineLevel="1" ht="25.5" customFormat="1" customHeight="1" s="112">
      <c r="A80" s="146" t="n"/>
      <c r="B80" s="98" t="inlineStr">
        <is>
          <t>19.1.01.03-0071</t>
        </is>
      </c>
      <c r="C80" s="102" t="inlineStr">
        <is>
          <t>Воздуховоды из оцинкованной стали, толщина 0,5 мм, диаметр до 200 мм</t>
        </is>
      </c>
      <c r="D80" s="99" t="inlineStr">
        <is>
          <t>м2</t>
        </is>
      </c>
      <c r="E80" s="186" t="n">
        <v>6</v>
      </c>
      <c r="F80" s="100" t="n">
        <v>96.29000000000001</v>
      </c>
      <c r="G80" s="97">
        <f>ROUND(E80*F80,2)</f>
        <v/>
      </c>
      <c r="H80" s="103">
        <f>G80/$G$197</f>
        <v/>
      </c>
      <c r="I80" s="14" t="n"/>
      <c r="J80" s="14" t="n"/>
    </row>
    <row r="81" hidden="1" outlineLevel="1" ht="25.5" customFormat="1" customHeight="1" s="112">
      <c r="A81" s="146" t="n"/>
      <c r="B81" s="98" t="inlineStr">
        <is>
          <t>19.1.01.03-0071</t>
        </is>
      </c>
      <c r="C81" s="102" t="inlineStr">
        <is>
          <t>Воздуховоды из оцинкованной стали, толщина 0,5 мм, диаметр до 200 мм</t>
        </is>
      </c>
      <c r="D81" s="99" t="inlineStr">
        <is>
          <t>м2</t>
        </is>
      </c>
      <c r="E81" s="186" t="n">
        <v>0.31</v>
      </c>
      <c r="F81" s="100" t="n">
        <v>96.29000000000001</v>
      </c>
      <c r="G81" s="97">
        <f>ROUND(E81*F81,2)</f>
        <v/>
      </c>
      <c r="H81" s="103">
        <f>G81/$G$197</f>
        <v/>
      </c>
      <c r="I81" s="14" t="n"/>
      <c r="J81" s="14" t="n"/>
    </row>
    <row r="82" collapsed="1" ht="14.25" customFormat="1" customHeight="1" s="112">
      <c r="A82" s="146" t="n">
        <v>35</v>
      </c>
      <c r="B82" s="35" t="inlineStr">
        <is>
          <t>20.2.07.07-0001</t>
        </is>
      </c>
      <c r="C82" s="145" t="inlineStr">
        <is>
          <t>Лоток 100х50 мм, длиной 3000 мм</t>
        </is>
      </c>
      <c r="D82" s="146" t="inlineStr">
        <is>
          <t>шт</t>
        </is>
      </c>
      <c r="E82" s="185" t="n">
        <v>246</v>
      </c>
      <c r="F82" s="164" t="n">
        <v>128.05</v>
      </c>
      <c r="G82" s="14">
        <f>ROUND(E82*F82,2)</f>
        <v/>
      </c>
      <c r="H82" s="158">
        <f>G82/$G$197</f>
        <v/>
      </c>
      <c r="I82" s="14">
        <f>ROUND(F82*Прил.10!$D$12,2)</f>
        <v/>
      </c>
      <c r="J82" s="14">
        <f>ROUND(I82*E82,2)</f>
        <v/>
      </c>
    </row>
    <row r="83" ht="25.5" customFormat="1" customHeight="1" s="112">
      <c r="A83" s="146" t="n">
        <v>36</v>
      </c>
      <c r="B83" s="35" t="inlineStr">
        <is>
          <t>20.2.03.06-0061</t>
        </is>
      </c>
      <c r="C83" s="145" t="inlineStr">
        <is>
          <t>Крышка с заземлением на лоток основанием 50 мм, длина 3000 мм</t>
        </is>
      </c>
      <c r="D83" s="146" t="inlineStr">
        <is>
          <t>шт</t>
        </is>
      </c>
      <c r="E83" s="185" t="n">
        <v>246</v>
      </c>
      <c r="F83" s="164" t="n">
        <v>65.7</v>
      </c>
      <c r="G83" s="14">
        <f>ROUND(E83*F83,2)</f>
        <v/>
      </c>
      <c r="H83" s="158">
        <f>G83/$G$197</f>
        <v/>
      </c>
      <c r="I83" s="14">
        <f>ROUND(F83*Прил.10!$D$12,2)</f>
        <v/>
      </c>
      <c r="J83" s="14">
        <f>ROUND(I83*E83,2)</f>
        <v/>
      </c>
    </row>
    <row r="84" ht="38.25" customFormat="1" customHeight="1" s="112">
      <c r="A84" s="146" t="n">
        <v>37</v>
      </c>
      <c r="B84" s="35" t="inlineStr">
        <is>
          <t>19.1.01.09-0032</t>
        </is>
      </c>
      <c r="C84" s="145" t="inlineStr">
        <is>
          <t>Изделия фасонные для воздуховодов из оцинкованной стали с шиной и уголками, толщина 1,0 мм, периметр 3000 мм</t>
        </is>
      </c>
      <c r="D84" s="146" t="inlineStr">
        <is>
          <t>м2</t>
        </is>
      </c>
      <c r="E84" s="185" t="n">
        <v>59.9874116</v>
      </c>
      <c r="F84" s="164" t="n">
        <v>224.81</v>
      </c>
      <c r="G84" s="14">
        <f>ROUND(E84*F84,2)</f>
        <v/>
      </c>
      <c r="H84" s="158">
        <f>G84/$G$197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12">
      <c r="A85" s="146" t="n"/>
      <c r="B85" s="98" t="inlineStr">
        <is>
          <t>19.1.01.09-0032</t>
        </is>
      </c>
      <c r="C85" s="102" t="inlineStr">
        <is>
          <t>Изделия фасонные для воздуховодов из оцинкованной стали с шиной и уголками, толщина 1,0 мм, периметр 3000 мм</t>
        </is>
      </c>
      <c r="D85" s="99" t="inlineStr">
        <is>
          <t>м2</t>
        </is>
      </c>
      <c r="E85" s="186" t="n">
        <v>49.48</v>
      </c>
      <c r="F85" s="100" t="n">
        <v>224.81</v>
      </c>
      <c r="G85" s="97">
        <f>ROUND(E85*F85,2)</f>
        <v/>
      </c>
      <c r="H85" s="103">
        <f>G85/$G$197</f>
        <v/>
      </c>
      <c r="I85" s="97" t="n"/>
      <c r="J85" s="97" t="n"/>
    </row>
    <row r="86" hidden="1" outlineLevel="1" ht="38.25" customFormat="1" customHeight="1" s="112">
      <c r="A86" s="146" t="n"/>
      <c r="B86" s="98" t="inlineStr">
        <is>
          <t>19.1.01.09-0025</t>
        </is>
      </c>
      <c r="C86" s="102" t="inlineStr">
        <is>
          <t>Изделия фасонные для воздуховодов из оцинкованной стали с шиной и уголками, толщина 0,55 мм, периметр 600 мм</t>
        </is>
      </c>
      <c r="D86" s="99" t="inlineStr">
        <is>
          <t>м2</t>
        </is>
      </c>
      <c r="E86" s="186" t="n">
        <v>1.16</v>
      </c>
      <c r="F86" s="100" t="n">
        <v>180.06</v>
      </c>
      <c r="G86" s="97">
        <f>ROUND(E86*F86,2)</f>
        <v/>
      </c>
      <c r="H86" s="103">
        <f>G86/$G$197</f>
        <v/>
      </c>
      <c r="I86" s="97" t="n"/>
      <c r="J86" s="97" t="n"/>
    </row>
    <row r="87" hidden="1" outlineLevel="1" ht="38.25" customFormat="1" customHeight="1" s="112">
      <c r="A87" s="146" t="n"/>
      <c r="B87" s="98" t="inlineStr">
        <is>
          <t>19.1.01.09-0024</t>
        </is>
      </c>
      <c r="C87" s="102" t="inlineStr">
        <is>
          <t>Изделия фасонные для воздуховодов из оцинкованной стали с шиной и уголками, толщина 0,55 мм, периметр 500 мм</t>
        </is>
      </c>
      <c r="D87" s="99" t="inlineStr">
        <is>
          <t>м2</t>
        </is>
      </c>
      <c r="E87" s="186" t="n">
        <v>5.36</v>
      </c>
      <c r="F87" s="100" t="n">
        <v>185.53</v>
      </c>
      <c r="G87" s="97">
        <f>ROUND(E87*F87,2)</f>
        <v/>
      </c>
      <c r="H87" s="103">
        <f>G87/$G$197</f>
        <v/>
      </c>
      <c r="I87" s="97" t="n"/>
      <c r="J87" s="97" t="n"/>
    </row>
    <row r="88" hidden="1" outlineLevel="1" ht="51" customFormat="1" customHeight="1" s="112">
      <c r="A88" s="146" t="n"/>
      <c r="B88" s="98" t="inlineStr">
        <is>
          <t>19.1.01.09-0007</t>
        </is>
      </c>
      <c r="C88" s="102" t="inlineStr">
        <is>
          <t>Изделия фасонные для воздуховодов из оцинкованной стали с шиной и уголками, толщина 0,7 мм, периметр 1600 мм {отводы 90град., переходы толщ.0.7мм}</t>
        </is>
      </c>
      <c r="D88" s="99" t="inlineStr">
        <is>
          <t>м2</t>
        </is>
      </c>
      <c r="E88" s="186" t="n">
        <v>5.98</v>
      </c>
      <c r="F88" s="100" t="n">
        <v>193.79</v>
      </c>
      <c r="G88" s="97">
        <f>ROUND(E88*F88,2)</f>
        <v/>
      </c>
      <c r="H88" s="103">
        <f>G88/$G$197</f>
        <v/>
      </c>
      <c r="I88" s="97" t="n"/>
      <c r="J88" s="97" t="n"/>
    </row>
    <row r="89" collapsed="1" ht="14.25" customFormat="1" customHeight="1" s="112">
      <c r="B89" s="146" t="n"/>
      <c r="C89" s="145" t="inlineStr">
        <is>
          <t>Итого основные материалы</t>
        </is>
      </c>
      <c r="D89" s="146" t="n"/>
      <c r="E89" s="185" t="n"/>
      <c r="F89" s="148" t="n"/>
      <c r="G89" s="14">
        <f>G64+G65+G75+G82+G83+G84</f>
        <v/>
      </c>
      <c r="H89" s="158">
        <f>G89/$G$197</f>
        <v/>
      </c>
      <c r="I89" s="14" t="n"/>
      <c r="J89" s="14">
        <f>SUM(J64:J88)</f>
        <v/>
      </c>
      <c r="K89" s="188" t="n"/>
    </row>
    <row r="90" hidden="1" outlineLevel="1" ht="38.25" customFormat="1" customHeight="1" s="112">
      <c r="A90" s="146" t="n">
        <v>38</v>
      </c>
      <c r="B90" s="51" t="inlineStr">
        <is>
          <t>19.2.03.02-0143</t>
        </is>
      </c>
      <c r="C90" s="145" t="inlineStr">
        <is>
          <t>Решетки вентиляционные алюминиевые "АРКТОС" типа: АРН размером 500х1000 мм</t>
        </is>
      </c>
      <c r="D90" s="146" t="inlineStr">
        <is>
          <t>шт</t>
        </is>
      </c>
      <c r="E90" s="185" t="n">
        <v>8.194086370000001</v>
      </c>
      <c r="F90" s="164" t="n">
        <v>934.79</v>
      </c>
      <c r="G90" s="14">
        <f>ROUND(F90*E90,2)</f>
        <v/>
      </c>
      <c r="H90" s="158">
        <f>G90/$G$197</f>
        <v/>
      </c>
      <c r="I90" s="14">
        <f>ROUND(F90*Прил.10!$D$12,2)</f>
        <v/>
      </c>
      <c r="J90" s="14">
        <f>ROUND(I90*E90,2)</f>
        <v/>
      </c>
    </row>
    <row r="91" hidden="1" outlineLevel="2" ht="38.25" customFormat="1" customHeight="1" s="112">
      <c r="A91" s="146" t="n"/>
      <c r="B91" s="98" t="inlineStr">
        <is>
          <t>19.2.03.02-0143</t>
        </is>
      </c>
      <c r="C91" s="102" t="inlineStr">
        <is>
          <t>Решетки вентиляционные алюминиевые "АРКТОС" типа: АРН размером 500х1000 мм</t>
        </is>
      </c>
      <c r="D91" s="99" t="inlineStr">
        <is>
          <t>шт</t>
        </is>
      </c>
      <c r="E91" s="186" t="n">
        <v>7</v>
      </c>
      <c r="F91" s="100" t="n">
        <v>934.79</v>
      </c>
      <c r="G91" s="97">
        <f>ROUND(F91*E91,2)</f>
        <v/>
      </c>
      <c r="H91" s="103">
        <f>G91/$G$197</f>
        <v/>
      </c>
      <c r="I91" s="14" t="n"/>
      <c r="J91" s="14" t="n"/>
    </row>
    <row r="92" hidden="1" outlineLevel="2" ht="38.25" customFormat="1" customHeight="1" s="112">
      <c r="A92" s="146" t="n"/>
      <c r="B92" s="98" t="inlineStr">
        <is>
          <t>19.2.03.02-0120</t>
        </is>
      </c>
      <c r="C92" s="102" t="inlineStr">
        <is>
          <t>Решетки вентиляционные алюминиевые "АРКТОС" типа: АМР, размером 200х400 мм</t>
        </is>
      </c>
      <c r="D92" s="99" t="inlineStr">
        <is>
          <t>шт</t>
        </is>
      </c>
      <c r="E92" s="186" t="n">
        <v>1</v>
      </c>
      <c r="F92" s="100" t="n">
        <v>218.2</v>
      </c>
      <c r="G92" s="97">
        <f>ROUND(F92*E92,2)</f>
        <v/>
      </c>
      <c r="H92" s="103">
        <f>G92/$G$197</f>
        <v/>
      </c>
      <c r="I92" s="14" t="n"/>
      <c r="J92" s="14" t="n"/>
    </row>
    <row r="93" hidden="1" outlineLevel="2" ht="38.25" customFormat="1" customHeight="1" s="112">
      <c r="A93" s="146" t="n"/>
      <c r="B93" s="98" t="inlineStr">
        <is>
          <t>19.2.03.02-0112</t>
        </is>
      </c>
      <c r="C93" s="102" t="inlineStr">
        <is>
          <t>Решетки вентиляционные алюминиевые "АРКТОС" типа: АМР, размером 150х300 мм</t>
        </is>
      </c>
      <c r="D93" s="99" t="inlineStr">
        <is>
          <t>шт</t>
        </is>
      </c>
      <c r="E93" s="186" t="n">
        <v>1</v>
      </c>
      <c r="F93" s="100" t="n">
        <v>158.07</v>
      </c>
      <c r="G93" s="97">
        <f>ROUND(F93*E93,2)</f>
        <v/>
      </c>
      <c r="H93" s="103">
        <f>G93/$G$197</f>
        <v/>
      </c>
      <c r="I93" s="14" t="n"/>
      <c r="J93" s="14" t="n"/>
    </row>
    <row r="94" hidden="1" outlineLevel="2" ht="38.25" customFormat="1" customHeight="1" s="112">
      <c r="A94" s="146" t="n"/>
      <c r="B94" s="98" t="inlineStr">
        <is>
          <t>19.2.03.02-0108</t>
        </is>
      </c>
      <c r="C94" s="102" t="inlineStr">
        <is>
          <t>Решетки вентиляционные алюминиевые "АРКТОС" типа: АМР, размером 100х300 мм</t>
        </is>
      </c>
      <c r="D94" s="99" t="inlineStr">
        <is>
          <t>шт</t>
        </is>
      </c>
      <c r="E94" s="186" t="n">
        <v>1</v>
      </c>
      <c r="F94" s="100" t="n">
        <v>123.76</v>
      </c>
      <c r="G94" s="97">
        <f>ROUND(F94*E94,2)</f>
        <v/>
      </c>
      <c r="H94" s="103">
        <f>G94/$G$197</f>
        <v/>
      </c>
      <c r="I94" s="14" t="n"/>
      <c r="J94" s="14" t="n"/>
    </row>
    <row r="95" hidden="1" outlineLevel="2" ht="38.25" customFormat="1" customHeight="1" s="112">
      <c r="A95" s="146" t="n"/>
      <c r="B95" s="98" t="inlineStr">
        <is>
          <t>19.2.03.02-0107</t>
        </is>
      </c>
      <c r="C95" s="102" t="inlineStr">
        <is>
          <t>Решетки вентиляционные алюминиевые "АРКТОС" типа: АМР, размером 100х200 мм (АМР 100х100)</t>
        </is>
      </c>
      <c r="D95" s="99" t="inlineStr">
        <is>
          <t>шт</t>
        </is>
      </c>
      <c r="E95" s="186" t="n">
        <v>2</v>
      </c>
      <c r="F95" s="100" t="n">
        <v>122.4</v>
      </c>
      <c r="G95" s="97">
        <f>ROUND(F95*E95,2)</f>
        <v/>
      </c>
      <c r="H95" s="103">
        <f>G95/$G$197</f>
        <v/>
      </c>
      <c r="I95" s="14" t="n"/>
      <c r="J95" s="14" t="n"/>
    </row>
    <row r="96" hidden="1" outlineLevel="2" ht="38.25" customFormat="1" customHeight="1" s="112">
      <c r="A96" s="146" t="n"/>
      <c r="B96" s="98" t="inlineStr">
        <is>
          <t>19.2.03.02-0107</t>
        </is>
      </c>
      <c r="C96" s="102" t="inlineStr">
        <is>
          <t>Решетки вентиляционные алюминиевые "АРКТОС" типа: АМР, размером 100х200 мм {АМР 150х100}</t>
        </is>
      </c>
      <c r="D96" s="99" t="inlineStr">
        <is>
          <t>шт</t>
        </is>
      </c>
      <c r="E96" s="186" t="n">
        <v>2</v>
      </c>
      <c r="F96" s="100" t="n">
        <v>122.4</v>
      </c>
      <c r="G96" s="97">
        <f>ROUND(F96*E96,2)</f>
        <v/>
      </c>
      <c r="H96" s="103">
        <f>G96/$G$197</f>
        <v/>
      </c>
      <c r="I96" s="14" t="n"/>
      <c r="J96" s="14" t="n"/>
    </row>
    <row r="97" hidden="1" outlineLevel="2" ht="38.25" customFormat="1" customHeight="1" s="112">
      <c r="A97" s="146" t="n"/>
      <c r="B97" s="98" t="inlineStr">
        <is>
          <t>19.2.03.02-0049</t>
        </is>
      </c>
      <c r="C97" s="102" t="inlineStr">
        <is>
          <t>Решетки вентиляционные алюминиевые "АРКТОС" типа: АЛР, размером 200х100 мм {АЛН 200х100}</t>
        </is>
      </c>
      <c r="D97" s="99" t="inlineStr">
        <is>
          <t>шт</t>
        </is>
      </c>
      <c r="E97" s="186" t="n">
        <v>1</v>
      </c>
      <c r="F97" s="100" t="n">
        <v>126.59</v>
      </c>
      <c r="G97" s="97">
        <f>ROUND(F97*E97,2)</f>
        <v/>
      </c>
      <c r="H97" s="103">
        <f>G97/$G$197</f>
        <v/>
      </c>
      <c r="I97" s="14" t="n"/>
      <c r="J97" s="14" t="n"/>
    </row>
    <row r="98" hidden="1" outlineLevel="1" collapsed="1" ht="25.5" customFormat="1" customHeight="1" s="112">
      <c r="A98" s="146" t="n">
        <v>39</v>
      </c>
      <c r="B98" s="35" t="inlineStr">
        <is>
          <t>21.1.06.09-0164</t>
        </is>
      </c>
      <c r="C98" s="145" t="inlineStr">
        <is>
          <t>Кабель силовой с медными жилами ВВГнг(A)-LS 4х10-660</t>
        </is>
      </c>
      <c r="D98" s="146" t="inlineStr">
        <is>
          <t>1000 м</t>
        </is>
      </c>
      <c r="E98" s="185" t="n">
        <v>0.102</v>
      </c>
      <c r="F98" s="164" t="n">
        <v>36161.25</v>
      </c>
      <c r="G98" s="14">
        <f>ROUND(F98*E98,2)</f>
        <v/>
      </c>
      <c r="H98" s="158">
        <f>G98/$G$197</f>
        <v/>
      </c>
      <c r="I98" s="14">
        <f>ROUND(F98*Прил.10!$D$12,2)</f>
        <v/>
      </c>
      <c r="J98" s="14">
        <f>ROUND(I98*E98,2)</f>
        <v/>
      </c>
    </row>
    <row r="99" hidden="1" outlineLevel="1" ht="14.25" customFormat="1" customHeight="1" s="112">
      <c r="A99" s="146" t="n">
        <v>40</v>
      </c>
      <c r="B99" s="35" t="inlineStr">
        <is>
          <t>14.4.04.11-0011</t>
        </is>
      </c>
      <c r="C99" s="145" t="inlineStr">
        <is>
          <t>Эмаль ХС-759, белая</t>
        </is>
      </c>
      <c r="D99" s="146" t="inlineStr">
        <is>
          <t>т</t>
        </is>
      </c>
      <c r="E99" s="185" t="n">
        <v>0.1216</v>
      </c>
      <c r="F99" s="164" t="n">
        <v>26640</v>
      </c>
      <c r="G99" s="14">
        <f>ROUND(F99*E99,2)</f>
        <v/>
      </c>
      <c r="H99" s="158">
        <f>G99/$G$197</f>
        <v/>
      </c>
      <c r="I99" s="14">
        <f>ROUND(F99*Прил.10!$D$12,2)</f>
        <v/>
      </c>
      <c r="J99" s="14">
        <f>ROUND(I99*E99,2)</f>
        <v/>
      </c>
    </row>
    <row r="100" hidden="1" outlineLevel="1" ht="38.25" customFormat="1" customHeight="1" s="112">
      <c r="A100" s="146" t="n">
        <v>41</v>
      </c>
      <c r="B100" s="35" t="inlineStr">
        <is>
          <t>12.2.04.03-0023</t>
        </is>
      </c>
      <c r="C100" s="145" t="inlineStr">
        <is>
          <t>Маты минераловатные ламельные, кашированные фольгой, марка: "Lamella Mat" ROCKWOOL, толщиной 60 мм</t>
        </is>
      </c>
      <c r="D100" s="146" t="inlineStr">
        <is>
          <t>м3</t>
        </is>
      </c>
      <c r="E100" s="185" t="n">
        <v>0.909</v>
      </c>
      <c r="F100" s="164" t="n">
        <v>2279.38</v>
      </c>
      <c r="G100" s="14">
        <f>ROUND(F100*E100,2)</f>
        <v/>
      </c>
      <c r="H100" s="158">
        <f>G100/$G$197</f>
        <v/>
      </c>
      <c r="I100" s="14">
        <f>ROUND(F100*Прил.10!$D$12,2)</f>
        <v/>
      </c>
      <c r="J100" s="14">
        <f>ROUND(I100*E100,2)</f>
        <v/>
      </c>
    </row>
    <row r="101" hidden="1" outlineLevel="1" ht="25.5" customFormat="1" customHeight="1" s="112">
      <c r="A101" s="146" t="n">
        <v>42</v>
      </c>
      <c r="B101" s="35" t="inlineStr">
        <is>
          <t>19.1.04.02-0009</t>
        </is>
      </c>
      <c r="C101" s="145" t="inlineStr">
        <is>
          <t>Дефлекторы статические из оцинкованной стали, диаметр 315 мм</t>
        </is>
      </c>
      <c r="D101" s="146" t="inlineStr">
        <is>
          <t>шт</t>
        </is>
      </c>
      <c r="E101" s="185" t="n">
        <v>2</v>
      </c>
      <c r="F101" s="164" t="n">
        <v>941.91</v>
      </c>
      <c r="G101" s="14">
        <f>ROUND(F101*E101,2)</f>
        <v/>
      </c>
      <c r="H101" s="158">
        <f>G101/$G$197</f>
        <v/>
      </c>
      <c r="I101" s="14">
        <f>ROUND(F101*Прил.10!$D$12,2)</f>
        <v/>
      </c>
      <c r="J101" s="14">
        <f>ROUND(I101*E101,2)</f>
        <v/>
      </c>
    </row>
    <row r="102" hidden="1" outlineLevel="1" ht="25.5" customFormat="1" customHeight="1" s="112">
      <c r="A102" s="146" t="n">
        <v>43</v>
      </c>
      <c r="B102" s="35" t="inlineStr">
        <is>
          <t>14.2.02.06-0002</t>
        </is>
      </c>
      <c r="C102" s="145" t="inlineStr">
        <is>
          <t>Материал базальтовый огнезащитный рулонный, марка: "МБОР-8Ф"</t>
        </is>
      </c>
      <c r="D102" s="146" t="inlineStr">
        <is>
          <t>м2</t>
        </is>
      </c>
      <c r="E102" s="185" t="n">
        <v>31</v>
      </c>
      <c r="F102" s="164" t="n">
        <v>47.49</v>
      </c>
      <c r="G102" s="14">
        <f>ROUND(F102*E102,2)</f>
        <v/>
      </c>
      <c r="H102" s="158">
        <f>G102/$G$197</f>
        <v/>
      </c>
      <c r="I102" s="14">
        <f>ROUND(F102*Прил.10!$D$12,2)</f>
        <v/>
      </c>
      <c r="J102" s="14">
        <f>ROUND(I102*E102,2)</f>
        <v/>
      </c>
    </row>
    <row r="103" hidden="1" outlineLevel="1" ht="51" customFormat="1" customHeight="1" s="112">
      <c r="A103" s="146" t="n">
        <v>44</v>
      </c>
      <c r="B103" s="35" t="inlineStr">
        <is>
          <t>08.1.02.17-0132</t>
        </is>
      </c>
      <c r="C103" s="145" t="inlineStr">
        <is>
          <t>Сетка плетеная из проволоки с квадратными ячейками, диаметр проволоки 1,4 мм, размер ячейки 12х12 мм</t>
        </is>
      </c>
      <c r="D103" s="146" t="inlineStr">
        <is>
          <t>м2</t>
        </is>
      </c>
      <c r="E103" s="185" t="n">
        <v>55.8415</v>
      </c>
      <c r="F103" s="164" t="n">
        <v>26.1</v>
      </c>
      <c r="G103" s="14">
        <f>ROUND(F103*E103,2)</f>
        <v/>
      </c>
      <c r="H103" s="158">
        <f>G103/$G$197</f>
        <v/>
      </c>
      <c r="I103" s="14">
        <f>ROUND(F103*Прил.10!$D$12,2)</f>
        <v/>
      </c>
      <c r="J103" s="14">
        <f>ROUND(I103*E103,2)</f>
        <v/>
      </c>
    </row>
    <row r="104" hidden="1" outlineLevel="1" ht="38.25" customFormat="1" customHeight="1" s="112">
      <c r="A104" s="146" t="n">
        <v>45</v>
      </c>
      <c r="B104" s="35" t="inlineStr">
        <is>
          <t>19.1.06.01-0022</t>
        </is>
      </c>
      <c r="C104" s="145" t="inlineStr">
        <is>
          <t>Узлы прохода вытяжных вентиляционных шахт без клапана УП1-02, диаметр патрубка 315 мм</t>
        </is>
      </c>
      <c r="D104" s="146" t="inlineStr">
        <is>
          <t>шт</t>
        </is>
      </c>
      <c r="E104" s="185" t="n">
        <v>2</v>
      </c>
      <c r="F104" s="164" t="n">
        <v>697.65</v>
      </c>
      <c r="G104" s="14">
        <f>ROUND(F104*E104,2)</f>
        <v/>
      </c>
      <c r="H104" s="158">
        <f>G104/$G$197</f>
        <v/>
      </c>
      <c r="I104" s="14">
        <f>ROUND(F104*Прил.10!$D$12,2)</f>
        <v/>
      </c>
      <c r="J104" s="14">
        <f>ROUND(I104*E104,2)</f>
        <v/>
      </c>
    </row>
    <row r="105" hidden="1" outlineLevel="1" ht="38.25" customFormat="1" customHeight="1" s="112">
      <c r="A105" s="146" t="n">
        <v>46</v>
      </c>
      <c r="B105" s="35" t="inlineStr">
        <is>
          <t>19.1.06.01-0031</t>
        </is>
      </c>
      <c r="C105" s="145" t="inlineStr">
        <is>
          <t>Узлы прохода вытяжных вентиляционных шахт без клапана УП1, диаметр патрубка 200 мм</t>
        </is>
      </c>
      <c r="D105" s="146" t="inlineStr">
        <is>
          <t>шт</t>
        </is>
      </c>
      <c r="E105" s="185" t="n">
        <v>2</v>
      </c>
      <c r="F105" s="164" t="n">
        <v>656.89</v>
      </c>
      <c r="G105" s="14">
        <f>ROUND(F105*E105,2)</f>
        <v/>
      </c>
      <c r="H105" s="158">
        <f>G105/$G$197</f>
        <v/>
      </c>
      <c r="I105" s="14">
        <f>ROUND(F105*Прил.10!$D$12,2)</f>
        <v/>
      </c>
      <c r="J105" s="14">
        <f>ROUND(I105*E105,2)</f>
        <v/>
      </c>
    </row>
    <row r="106" hidden="1" outlineLevel="1" ht="25.5" customFormat="1" customHeight="1" s="112">
      <c r="A106" s="146" t="n">
        <v>47</v>
      </c>
      <c r="B106" s="35" t="inlineStr">
        <is>
          <t>01.7.19.04-0031</t>
        </is>
      </c>
      <c r="C106" s="145" t="inlineStr">
        <is>
          <t>Прокладки резиновые (пластина техническая прессованная)</t>
        </is>
      </c>
      <c r="D106" s="146" t="inlineStr">
        <is>
          <t>кг</t>
        </is>
      </c>
      <c r="E106" s="185" t="n">
        <v>56.52105</v>
      </c>
      <c r="F106" s="164" t="n">
        <v>23.09</v>
      </c>
      <c r="G106" s="14">
        <f>ROUND(F106*E106,2)</f>
        <v/>
      </c>
      <c r="H106" s="158">
        <f>G106/$G$197</f>
        <v/>
      </c>
      <c r="I106" s="14">
        <f>ROUND(F106*Прил.10!$D$12,2)</f>
        <v/>
      </c>
      <c r="J106" s="14">
        <f>ROUND(I106*E106,2)</f>
        <v/>
      </c>
    </row>
    <row r="107" hidden="1" outlineLevel="1" ht="25.5" customFormat="1" customHeight="1" s="112">
      <c r="A107" s="146" t="n">
        <v>48</v>
      </c>
      <c r="B107" s="35" t="inlineStr">
        <is>
          <t>08.3.05.05-0052</t>
        </is>
      </c>
      <c r="C107" s="145" t="inlineStr">
        <is>
          <t>Сталь листовая оцинкованная толщиной листа: 0,5 мм</t>
        </is>
      </c>
      <c r="D107" s="146" t="inlineStr">
        <is>
          <t>м2</t>
        </is>
      </c>
      <c r="E107" s="185" t="n">
        <v>26.5716</v>
      </c>
      <c r="F107" s="164" t="n">
        <v>45.82</v>
      </c>
      <c r="G107" s="14">
        <f>ROUND(F107*E107,2)</f>
        <v/>
      </c>
      <c r="H107" s="158">
        <f>G107/$G$197</f>
        <v/>
      </c>
      <c r="I107" s="14">
        <f>ROUND(F107*Прил.10!$D$12,2)</f>
        <v/>
      </c>
      <c r="J107" s="14">
        <f>ROUND(I107*E107,2)</f>
        <v/>
      </c>
    </row>
    <row r="108" hidden="1" outlineLevel="1" ht="38.25" customFormat="1" customHeight="1" s="112">
      <c r="A108" s="146" t="n">
        <v>49</v>
      </c>
      <c r="B108" s="35" t="inlineStr">
        <is>
          <t>14.4.01.19-0004</t>
        </is>
      </c>
      <c r="C108" s="145" t="inlineStr">
        <is>
          <t>Грунтовка химстойкая на основе сополимера виниловых смол, красно-коричневая</t>
        </is>
      </c>
      <c r="D108" s="146" t="inlineStr">
        <is>
          <t>т</t>
        </is>
      </c>
      <c r="E108" s="185" t="n">
        <v>0.05088</v>
      </c>
      <c r="F108" s="164" t="n">
        <v>20093</v>
      </c>
      <c r="G108" s="14">
        <f>ROUND(F108*E108,2)</f>
        <v/>
      </c>
      <c r="H108" s="158">
        <f>G108/$G$197</f>
        <v/>
      </c>
      <c r="I108" s="14">
        <f>ROUND(F108*Прил.10!$D$12,2)</f>
        <v/>
      </c>
      <c r="J108" s="14">
        <f>ROUND(I108*E108,2)</f>
        <v/>
      </c>
    </row>
    <row r="109" hidden="1" outlineLevel="1" ht="38.25" customFormat="1" customHeight="1" s="112">
      <c r="A109" s="146" t="n">
        <v>50</v>
      </c>
      <c r="B109" s="35" t="inlineStr">
        <is>
          <t>19.4.02.02-0024</t>
        </is>
      </c>
      <c r="C109" s="145" t="inlineStr">
        <is>
          <t>Глушители шума прямоугольного сечения трубчатые ГТПи 40-20-60, сечение обечайки 400x200 мм</t>
        </is>
      </c>
      <c r="D109" s="146" t="inlineStr">
        <is>
          <t>шт</t>
        </is>
      </c>
      <c r="E109" s="185" t="n">
        <v>2</v>
      </c>
      <c r="F109" s="164" t="n">
        <v>449.7</v>
      </c>
      <c r="G109" s="14">
        <f>ROUND(F109*E109,2)</f>
        <v/>
      </c>
      <c r="H109" s="158">
        <f>G109/$G$197</f>
        <v/>
      </c>
      <c r="I109" s="14">
        <f>ROUND(F109*Прил.10!$D$12,2)</f>
        <v/>
      </c>
      <c r="J109" s="14">
        <f>ROUND(I109*E109,2)</f>
        <v/>
      </c>
    </row>
    <row r="110" hidden="1" outlineLevel="1" ht="25.5" customFormat="1" customHeight="1" s="112">
      <c r="A110" s="146" t="n">
        <v>51</v>
      </c>
      <c r="B110" s="35" t="inlineStr">
        <is>
          <t>20.1.02.19-0015</t>
        </is>
      </c>
      <c r="C110" s="145" t="inlineStr">
        <is>
          <t>Канат стальной арматурный 1х7, диаметр каната 4,5 мм, диаметр проволоки 1,5 мм</t>
        </is>
      </c>
      <c r="D110" s="146" t="inlineStr">
        <is>
          <t>м</t>
        </is>
      </c>
      <c r="E110" s="185" t="n">
        <v>74.40000000000001</v>
      </c>
      <c r="F110" s="164" t="n">
        <v>12.03</v>
      </c>
      <c r="G110" s="14">
        <f>ROUND(F110*E110,2)</f>
        <v/>
      </c>
      <c r="H110" s="158">
        <f>G110/$G$197</f>
        <v/>
      </c>
      <c r="I110" s="14">
        <f>ROUND(F110*Прил.10!$D$12,2)</f>
        <v/>
      </c>
      <c r="J110" s="14">
        <f>ROUND(I110*E110,2)</f>
        <v/>
      </c>
    </row>
    <row r="111" hidden="1" outlineLevel="1" ht="14.25" customFormat="1" customHeight="1" s="112">
      <c r="A111" s="146" t="n">
        <v>52</v>
      </c>
      <c r="B111" s="35" t="inlineStr">
        <is>
          <t>14.4.01.18-0002</t>
        </is>
      </c>
      <c r="C111" s="145" t="inlineStr">
        <is>
          <t>Грунтовка ФЛ-03К, коричневая</t>
        </is>
      </c>
      <c r="D111" s="146" t="inlineStr">
        <is>
          <t>т</t>
        </is>
      </c>
      <c r="E111" s="185" t="n">
        <v>0.0288</v>
      </c>
      <c r="F111" s="164" t="n">
        <v>29470.1</v>
      </c>
      <c r="G111" s="14">
        <f>ROUND(F111*E111,2)</f>
        <v/>
      </c>
      <c r="H111" s="158">
        <f>G111/$G$197</f>
        <v/>
      </c>
      <c r="I111" s="14">
        <f>ROUND(F111*Прил.10!$D$12,2)</f>
        <v/>
      </c>
      <c r="J111" s="14">
        <f>ROUND(I111*E111,2)</f>
        <v/>
      </c>
    </row>
    <row r="112" hidden="1" outlineLevel="1" ht="25.5" customFormat="1" customHeight="1" s="112">
      <c r="A112" s="146" t="n">
        <v>53</v>
      </c>
      <c r="B112" s="35" t="inlineStr">
        <is>
          <t>01.7.06.03-0023</t>
        </is>
      </c>
      <c r="C112" s="145" t="inlineStr">
        <is>
          <t>Лента полиэтиленовая с липким слоем, марка А</t>
        </is>
      </c>
      <c r="D112" s="146" t="inlineStr">
        <is>
          <t>кг</t>
        </is>
      </c>
      <c r="E112" s="185" t="n">
        <v>20.572968</v>
      </c>
      <c r="F112" s="164" t="n">
        <v>39.02</v>
      </c>
      <c r="G112" s="14">
        <f>ROUND(F112*E112,2)</f>
        <v/>
      </c>
      <c r="H112" s="158">
        <f>G112/$G$197</f>
        <v/>
      </c>
      <c r="I112" s="14">
        <f>ROUND(F112*Прил.10!$D$12,2)</f>
        <v/>
      </c>
      <c r="J112" s="14">
        <f>ROUND(I112*E112,2)</f>
        <v/>
      </c>
    </row>
    <row r="113" hidden="1" outlineLevel="1" ht="14.25" customFormat="1" customHeight="1" s="112">
      <c r="A113" s="146" t="n">
        <v>54</v>
      </c>
      <c r="B113" s="35" t="inlineStr">
        <is>
          <t>01.7.15.03-0042</t>
        </is>
      </c>
      <c r="C113" s="145" t="inlineStr">
        <is>
          <t>Болты с гайками и шайбами строительные</t>
        </is>
      </c>
      <c r="D113" s="146" t="inlineStr">
        <is>
          <t>кг</t>
        </is>
      </c>
      <c r="E113" s="185" t="n">
        <v>78.933162</v>
      </c>
      <c r="F113" s="164" t="n">
        <v>9.039999999999999</v>
      </c>
      <c r="G113" s="14">
        <f>ROUND(F113*E113,2)</f>
        <v/>
      </c>
      <c r="H113" s="158">
        <f>G113/$G$197</f>
        <v/>
      </c>
      <c r="I113" s="14">
        <f>ROUND(F113*Прил.10!$D$12,2)</f>
        <v/>
      </c>
      <c r="J113" s="14">
        <f>ROUND(I113*E113,2)</f>
        <v/>
      </c>
    </row>
    <row r="114" hidden="1" outlineLevel="1" ht="25.5" customFormat="1" customHeight="1" s="112">
      <c r="A114" s="146" t="n">
        <v>55</v>
      </c>
      <c r="B114" s="35" t="inlineStr">
        <is>
          <t>19.1.01.07-0010</t>
        </is>
      </c>
      <c r="C114" s="145" t="inlineStr">
        <is>
          <t>Врезка из оцинкованной стали, диаметр 300/100 мм</t>
        </is>
      </c>
      <c r="D114" s="146" t="inlineStr">
        <is>
          <t>шт</t>
        </is>
      </c>
      <c r="E114" s="185" t="n">
        <v>21</v>
      </c>
      <c r="F114" s="164" t="n">
        <v>26.7</v>
      </c>
      <c r="G114" s="14">
        <f>ROUND(F114*E114,2)</f>
        <v/>
      </c>
      <c r="H114" s="158">
        <f>G114/$G$197</f>
        <v/>
      </c>
      <c r="I114" s="14">
        <f>ROUND(F114*Прил.10!$D$12,2)</f>
        <v/>
      </c>
      <c r="J114" s="14">
        <f>ROUND(I114*E114,2)</f>
        <v/>
      </c>
    </row>
    <row r="115" hidden="1" outlineLevel="1" ht="25.5" customFormat="1" customHeight="1" s="112">
      <c r="A115" s="146" t="n">
        <v>56</v>
      </c>
      <c r="B115" s="35" t="inlineStr">
        <is>
          <t>23.8.03.01-0044</t>
        </is>
      </c>
      <c r="C115" s="145" t="inlineStr">
        <is>
          <t>Заглушки стальные фланцевые, номинальный диаметр 200 мм</t>
        </is>
      </c>
      <c r="D115" s="146" t="inlineStr">
        <is>
          <t>шт</t>
        </is>
      </c>
      <c r="E115" s="185" t="n">
        <v>1</v>
      </c>
      <c r="F115" s="164" t="n">
        <v>505.42</v>
      </c>
      <c r="G115" s="14">
        <f>ROUND(F115*E115,2)</f>
        <v/>
      </c>
      <c r="H115" s="158">
        <f>G115/$G$197</f>
        <v/>
      </c>
      <c r="I115" s="14">
        <f>ROUND(F115*Прил.10!$D$12,2)</f>
        <v/>
      </c>
      <c r="J115" s="14">
        <f>ROUND(I115*E115,2)</f>
        <v/>
      </c>
    </row>
    <row r="116" hidden="1" outlineLevel="1" ht="38.25" customFormat="1" customHeight="1" s="112">
      <c r="A116" s="146" t="n">
        <v>57</v>
      </c>
      <c r="B116" s="35" t="inlineStr">
        <is>
          <t>19.1.01.02-0014</t>
        </is>
      </c>
      <c r="C116" s="145" t="inlineStr">
        <is>
          <t>Воздуховоды из листовой стали, толщиной 1,0 мм, диаметр до 400 мм {толщ. 0.9 мм}</t>
        </is>
      </c>
      <c r="D116" s="146" t="inlineStr">
        <is>
          <t>м2</t>
        </is>
      </c>
      <c r="E116" s="185" t="n">
        <v>5</v>
      </c>
      <c r="F116" s="164" t="n">
        <v>98.2</v>
      </c>
      <c r="G116" s="14">
        <f>ROUND(F116*E116,2)</f>
        <v/>
      </c>
      <c r="H116" s="158">
        <f>G116/$G$197</f>
        <v/>
      </c>
      <c r="I116" s="14">
        <f>ROUND(F116*Прил.10!$D$12,2)</f>
        <v/>
      </c>
      <c r="J116" s="14">
        <f>ROUND(I116*E116,2)</f>
        <v/>
      </c>
    </row>
    <row r="117" hidden="1" outlineLevel="1" ht="14.25" customFormat="1" customHeight="1" s="112">
      <c r="A117" s="146" t="n">
        <v>58</v>
      </c>
      <c r="B117" s="35" t="inlineStr">
        <is>
          <t>14.5.09.07-0030</t>
        </is>
      </c>
      <c r="C117" s="145" t="inlineStr">
        <is>
          <t>Растворитель Р-4</t>
        </is>
      </c>
      <c r="D117" s="146" t="inlineStr">
        <is>
          <t>кг</t>
        </is>
      </c>
      <c r="E117" s="185" t="n">
        <v>51.2</v>
      </c>
      <c r="F117" s="164" t="n">
        <v>9.42</v>
      </c>
      <c r="G117" s="14">
        <f>ROUND(F117*E117,2)</f>
        <v/>
      </c>
      <c r="H117" s="158">
        <f>G117/$G$197</f>
        <v/>
      </c>
      <c r="I117" s="14">
        <f>ROUND(F117*Прил.10!$D$12,2)</f>
        <v/>
      </c>
      <c r="J117" s="14">
        <f>ROUND(I117*E117,2)</f>
        <v/>
      </c>
    </row>
    <row r="118" hidden="1" outlineLevel="1" ht="38.25" customFormat="1" customHeight="1" s="112">
      <c r="A118" s="146" t="n">
        <v>59</v>
      </c>
      <c r="B118" s="35" t="inlineStr">
        <is>
          <t>19.1.01.01-0001</t>
        </is>
      </c>
      <c r="C118" s="145" t="inlineStr">
        <is>
          <t>Воздуховоды алюминиевые гибкие гофрированные, класс Н, тип ВАГГ, диаметр 100 мм</t>
        </is>
      </c>
      <c r="D118" s="146" t="inlineStr">
        <is>
          <t>м2</t>
        </is>
      </c>
      <c r="E118" s="185" t="n">
        <v>5.7</v>
      </c>
      <c r="F118" s="164" t="n">
        <v>75.59999999999999</v>
      </c>
      <c r="G118" s="14">
        <f>ROUND(F118*E118,2)</f>
        <v/>
      </c>
      <c r="H118" s="158">
        <f>G118/$G$197</f>
        <v/>
      </c>
      <c r="I118" s="14">
        <f>ROUND(F118*Прил.10!$D$12,2)</f>
        <v/>
      </c>
      <c r="J118" s="14">
        <f>ROUND(I118*E118,2)</f>
        <v/>
      </c>
    </row>
    <row r="119" hidden="1" outlineLevel="1" ht="25.5" customFormat="1" customHeight="1" s="112">
      <c r="A119" s="146" t="n">
        <v>60</v>
      </c>
      <c r="B119" s="35" t="inlineStr">
        <is>
          <t>19.1.04.02-0004</t>
        </is>
      </c>
      <c r="C119" s="145" t="inlineStr">
        <is>
          <t>Дефлекторы статические из оцинкованной стали, диаметр 160 мм</t>
        </is>
      </c>
      <c r="D119" s="146" t="inlineStr">
        <is>
          <t>шт</t>
        </is>
      </c>
      <c r="E119" s="185" t="n">
        <v>1</v>
      </c>
      <c r="F119" s="164" t="n">
        <v>366.29</v>
      </c>
      <c r="G119" s="14">
        <f>ROUND(F119*E119,2)</f>
        <v/>
      </c>
      <c r="H119" s="158">
        <f>G119/$G$197</f>
        <v/>
      </c>
      <c r="I119" s="14">
        <f>ROUND(F119*Прил.10!$D$12,2)</f>
        <v/>
      </c>
      <c r="J119" s="14">
        <f>ROUND(I119*E119,2)</f>
        <v/>
      </c>
    </row>
    <row r="120" hidden="1" outlineLevel="1" ht="14.25" customFormat="1" customHeight="1" s="112">
      <c r="A120" s="146" t="n">
        <v>61</v>
      </c>
      <c r="B120" s="35" t="inlineStr">
        <is>
          <t>08.1.03.04-0001</t>
        </is>
      </c>
      <c r="C120" s="145" t="inlineStr">
        <is>
          <t>Блочки</t>
        </is>
      </c>
      <c r="D120" s="146" t="inlineStr">
        <is>
          <t>10 шт</t>
        </is>
      </c>
      <c r="E120" s="185" t="n">
        <v>1.6</v>
      </c>
      <c r="F120" s="164" t="n">
        <v>228</v>
      </c>
      <c r="G120" s="14">
        <f>ROUND(F120*E120,2)</f>
        <v/>
      </c>
      <c r="H120" s="158">
        <f>G120/$G$197</f>
        <v/>
      </c>
      <c r="I120" s="14">
        <f>ROUND(F120*Прил.10!$D$12,2)</f>
        <v/>
      </c>
      <c r="J120" s="14">
        <f>ROUND(I120*E120,2)</f>
        <v/>
      </c>
    </row>
    <row r="121" hidden="1" outlineLevel="1" ht="38.25" customFormat="1" customHeight="1" s="112">
      <c r="A121" s="146" t="n">
        <v>62</v>
      </c>
      <c r="B121" s="35" t="inlineStr">
        <is>
          <t>19.1.01.01-0002</t>
        </is>
      </c>
      <c r="C121" s="145" t="inlineStr">
        <is>
          <t>Воздуховоды алюминиевые гибкие гофрированные, класс Н, тип ВАГГ, диаметр 200 мм</t>
        </is>
      </c>
      <c r="D121" s="146" t="inlineStr">
        <is>
          <t>м2</t>
        </is>
      </c>
      <c r="E121" s="185" t="n">
        <v>4.6</v>
      </c>
      <c r="F121" s="164" t="n">
        <v>79.12</v>
      </c>
      <c r="G121" s="14">
        <f>ROUND(F121*E121,2)</f>
        <v/>
      </c>
      <c r="H121" s="158">
        <f>G121/$G$197</f>
        <v/>
      </c>
      <c r="I121" s="14">
        <f>ROUND(F121*Прил.10!$D$12,2)</f>
        <v/>
      </c>
      <c r="J121" s="14">
        <f>ROUND(I121*E121,2)</f>
        <v/>
      </c>
    </row>
    <row r="122" hidden="1" outlineLevel="1" ht="25.5" customFormat="1" customHeight="1" s="112">
      <c r="A122" s="146" t="n">
        <v>63</v>
      </c>
      <c r="B122" s="35" t="inlineStr">
        <is>
          <t>Прайс из СД ОП</t>
        </is>
      </c>
      <c r="C122" s="145" t="inlineStr">
        <is>
          <t>Насадок с водоотводящим кольцом    d710  НВК 00.00-08</t>
        </is>
      </c>
      <c r="D122" s="146" t="inlineStr">
        <is>
          <t>шт</t>
        </is>
      </c>
      <c r="E122" s="185" t="n">
        <v>1</v>
      </c>
      <c r="F122" s="164" t="n">
        <v>284.89</v>
      </c>
      <c r="G122" s="14">
        <f>ROUND(F122*E122,2)</f>
        <v/>
      </c>
      <c r="H122" s="158">
        <f>G122/$G$197</f>
        <v/>
      </c>
      <c r="I122" s="14">
        <f>ROUND(F122*Прил.10!$D$12,2)</f>
        <v/>
      </c>
      <c r="J122" s="14">
        <f>ROUND(I122*E122,2)</f>
        <v/>
      </c>
    </row>
    <row r="123" hidden="1" outlineLevel="1" ht="38.25" customFormat="1" customHeight="1" s="112">
      <c r="A123" s="146" t="n">
        <v>64</v>
      </c>
      <c r="B123" s="35" t="inlineStr">
        <is>
          <t>19.1.01.08-0005</t>
        </is>
      </c>
      <c r="C123" s="145" t="inlineStr">
        <is>
          <t>Заглушка торцевая оцинкованная для воздуховодов, сечение 200x200 мм {300х100}</t>
        </is>
      </c>
      <c r="D123" s="146" t="inlineStr">
        <is>
          <t>шт</t>
        </is>
      </c>
      <c r="E123" s="185" t="n">
        <v>20</v>
      </c>
      <c r="F123" s="164" t="n">
        <v>13.18</v>
      </c>
      <c r="G123" s="14">
        <f>ROUND(F123*E123,2)</f>
        <v/>
      </c>
      <c r="H123" s="158">
        <f>G123/$G$197</f>
        <v/>
      </c>
      <c r="I123" s="14">
        <f>ROUND(F123*Прил.10!$D$12,2)</f>
        <v/>
      </c>
      <c r="J123" s="14">
        <f>ROUND(I123*E123,2)</f>
        <v/>
      </c>
    </row>
    <row r="124" hidden="1" outlineLevel="1" ht="25.5" customFormat="1" customHeight="1" s="112">
      <c r="A124" s="146" t="n">
        <v>65</v>
      </c>
      <c r="B124" s="35" t="inlineStr">
        <is>
          <t>08.3.02.01-0041</t>
        </is>
      </c>
      <c r="C124" s="145" t="inlineStr">
        <is>
          <t>Лента стальная упаковочная мягкая нормальной точности 0,7х20-50 мм</t>
        </is>
      </c>
      <c r="D124" s="146" t="inlineStr">
        <is>
          <t>т</t>
        </is>
      </c>
      <c r="E124" s="185" t="n">
        <v>0.0320537</v>
      </c>
      <c r="F124" s="164" t="n">
        <v>7590</v>
      </c>
      <c r="G124" s="14">
        <f>ROUND(F124*E124,2)</f>
        <v/>
      </c>
      <c r="H124" s="158">
        <f>G124/$G$197</f>
        <v/>
      </c>
      <c r="I124" s="14">
        <f>ROUND(F124*Прил.10!$D$12,2)</f>
        <v/>
      </c>
      <c r="J124" s="14">
        <f>ROUND(I124*E124,2)</f>
        <v/>
      </c>
    </row>
    <row r="125" hidden="1" outlineLevel="1" ht="25.5" customFormat="1" customHeight="1" s="112">
      <c r="A125" s="146" t="n">
        <v>66</v>
      </c>
      <c r="B125" s="35" t="inlineStr">
        <is>
          <t>08.1.03.01-0005</t>
        </is>
      </c>
      <c r="C125" s="145" t="inlineStr">
        <is>
          <t>Дверь стальная для вентиляционных камер утепленная, размер 900х400 мм</t>
        </is>
      </c>
      <c r="D125" s="146" t="inlineStr">
        <is>
          <t>шт</t>
        </is>
      </c>
      <c r="E125" s="185" t="n">
        <v>1</v>
      </c>
      <c r="F125" s="164" t="n">
        <v>230.57</v>
      </c>
      <c r="G125" s="14">
        <f>ROUND(F125*E125,2)</f>
        <v/>
      </c>
      <c r="H125" s="158">
        <f>G125/$G$197</f>
        <v/>
      </c>
      <c r="I125" s="14">
        <f>ROUND(F125*Прил.10!$D$12,2)</f>
        <v/>
      </c>
      <c r="J125" s="14">
        <f>ROUND(I125*E125,2)</f>
        <v/>
      </c>
    </row>
    <row r="126" hidden="1" outlineLevel="1" ht="25.5" customFormat="1" customHeight="1" s="112">
      <c r="A126" s="146" t="n">
        <v>67</v>
      </c>
      <c r="B126" s="35" t="inlineStr">
        <is>
          <t>19.1.05.04-0006</t>
        </is>
      </c>
      <c r="C126" s="145" t="inlineStr">
        <is>
          <t>Диффузоры потолочные пластиковые универсальные, диаметр 100 мм</t>
        </is>
      </c>
      <c r="D126" s="146" t="inlineStr">
        <is>
          <t>шт</t>
        </is>
      </c>
      <c r="E126" s="185" t="n">
        <v>9</v>
      </c>
      <c r="F126" s="164" t="n">
        <v>25.25</v>
      </c>
      <c r="G126" s="14">
        <f>ROUND(F126*E126,2)</f>
        <v/>
      </c>
      <c r="H126" s="158">
        <f>G126/$G$197</f>
        <v/>
      </c>
      <c r="I126" s="14">
        <f>ROUND(F126*Прил.10!$D$12,2)</f>
        <v/>
      </c>
      <c r="J126" s="14">
        <f>ROUND(I126*E126,2)</f>
        <v/>
      </c>
    </row>
    <row r="127" hidden="1" outlineLevel="1" ht="25.5" customFormat="1" customHeight="1" s="112">
      <c r="A127" s="146" t="n">
        <v>68</v>
      </c>
      <c r="B127" s="35" t="inlineStr">
        <is>
          <t>10.3.02.03-0011</t>
        </is>
      </c>
      <c r="C127" s="145" t="inlineStr">
        <is>
          <t>Припои оловянно-свинцовые бессурьмянистые, марка ПОС30</t>
        </is>
      </c>
      <c r="D127" s="146" t="inlineStr">
        <is>
          <t>т</t>
        </is>
      </c>
      <c r="E127" s="185" t="n">
        <v>0.003129</v>
      </c>
      <c r="F127" s="164" t="n">
        <v>68050</v>
      </c>
      <c r="G127" s="14">
        <f>ROUND(F127*E127,2)</f>
        <v/>
      </c>
      <c r="H127" s="158">
        <f>G127/$G$197</f>
        <v/>
      </c>
      <c r="I127" s="14">
        <f>ROUND(F127*Прил.10!$D$12,2)</f>
        <v/>
      </c>
      <c r="J127" s="14">
        <f>ROUND(I127*E127,2)</f>
        <v/>
      </c>
    </row>
    <row r="128" hidden="1" outlineLevel="1" ht="25.5" customFormat="1" customHeight="1" s="112">
      <c r="A128" s="146" t="n">
        <v>69</v>
      </c>
      <c r="B128" s="35" t="inlineStr">
        <is>
          <t>19.1.01.07-0001</t>
        </is>
      </c>
      <c r="C128" s="145" t="inlineStr">
        <is>
          <t>Врезка из оцинкованной стали, диаметр 150/100 мм</t>
        </is>
      </c>
      <c r="D128" s="146" t="inlineStr">
        <is>
          <t>шт</t>
        </is>
      </c>
      <c r="E128" s="185" t="n">
        <v>12</v>
      </c>
      <c r="F128" s="164" t="n">
        <v>17.47</v>
      </c>
      <c r="G128" s="14">
        <f>ROUND(F128*E128,2)</f>
        <v/>
      </c>
      <c r="H128" s="158">
        <f>G128/$G$197</f>
        <v/>
      </c>
      <c r="I128" s="14">
        <f>ROUND(F128*Прил.10!$D$12,2)</f>
        <v/>
      </c>
      <c r="J128" s="14">
        <f>ROUND(I128*E128,2)</f>
        <v/>
      </c>
    </row>
    <row r="129" hidden="1" outlineLevel="1" ht="38.25" customFormat="1" customHeight="1" s="112">
      <c r="A129" s="146" t="n">
        <v>70</v>
      </c>
      <c r="B129" s="35" t="inlineStr">
        <is>
          <t>19.2.02.02-0028</t>
        </is>
      </c>
      <c r="C129" s="145" t="inlineStr">
        <is>
          <t>Зонты вентиляционных систем из оцинкованной стали, прямоугольного сечения, размер 300х500 мм {300х200 мм}</t>
        </is>
      </c>
      <c r="D129" s="146" t="inlineStr">
        <is>
          <t>шт</t>
        </is>
      </c>
      <c r="E129" s="185" t="n">
        <v>1</v>
      </c>
      <c r="F129" s="164" t="n">
        <v>200</v>
      </c>
      <c r="G129" s="14">
        <f>ROUND(F129*E129,2)</f>
        <v/>
      </c>
      <c r="H129" s="158">
        <f>G129/$G$197</f>
        <v/>
      </c>
      <c r="I129" s="14">
        <f>ROUND(F129*Прил.10!$D$12,2)</f>
        <v/>
      </c>
      <c r="J129" s="14">
        <f>ROUND(I129*E129,2)</f>
        <v/>
      </c>
    </row>
    <row r="130" hidden="1" outlineLevel="1" ht="38.25" customFormat="1" customHeight="1" s="112">
      <c r="A130" s="146" t="n">
        <v>71</v>
      </c>
      <c r="B130" s="35" t="inlineStr">
        <is>
          <t>19.2.03.03-0047</t>
        </is>
      </c>
      <c r="C130" s="145" t="inlineStr">
        <is>
          <t>Решетки вентиляционные наружные РН, из оцинкованной стали, размер 350х600 мм</t>
        </is>
      </c>
      <c r="D130" s="146" t="inlineStr">
        <is>
          <t>шт</t>
        </is>
      </c>
      <c r="E130" s="185" t="n">
        <v>1</v>
      </c>
      <c r="F130" s="164" t="n">
        <v>179.87</v>
      </c>
      <c r="G130" s="14">
        <f>ROUND(F130*E130,2)</f>
        <v/>
      </c>
      <c r="H130" s="158">
        <f>G130/$G$197</f>
        <v/>
      </c>
      <c r="I130" s="14">
        <f>ROUND(F130*Прил.10!$D$12,2)</f>
        <v/>
      </c>
      <c r="J130" s="14">
        <f>ROUND(I130*E130,2)</f>
        <v/>
      </c>
    </row>
    <row r="131" hidden="1" outlineLevel="1" ht="25.5" customFormat="1" customHeight="1" s="112">
      <c r="A131" s="146" t="n">
        <v>72</v>
      </c>
      <c r="B131" s="35" t="inlineStr">
        <is>
          <t>23.8.03.06-0009</t>
        </is>
      </c>
      <c r="C131" s="145" t="inlineStr">
        <is>
          <t>Сгоны стальные с муфтой и контргайкой, номинальный диаметр 40 мм</t>
        </is>
      </c>
      <c r="D131" s="146" t="inlineStr">
        <is>
          <t>шт</t>
        </is>
      </c>
      <c r="E131" s="185" t="n">
        <v>9</v>
      </c>
      <c r="F131" s="164" t="n">
        <v>18.88</v>
      </c>
      <c r="G131" s="14">
        <f>ROUND(F131*E131,2)</f>
        <v/>
      </c>
      <c r="H131" s="158">
        <f>G131/$G$197</f>
        <v/>
      </c>
      <c r="I131" s="14">
        <f>ROUND(F131*Прил.10!$D$12,2)</f>
        <v/>
      </c>
      <c r="J131" s="14">
        <f>ROUND(I131*E131,2)</f>
        <v/>
      </c>
    </row>
    <row r="132" hidden="1" outlineLevel="1" ht="14.25" customFormat="1" customHeight="1" s="112">
      <c r="A132" s="146" t="n">
        <v>73</v>
      </c>
      <c r="B132" s="35" t="inlineStr">
        <is>
          <t>Прайс из СД ОП</t>
        </is>
      </c>
      <c r="C132" s="145" t="inlineStr">
        <is>
          <t>Клеящий состав Плазас</t>
        </is>
      </c>
      <c r="D132" s="146" t="inlineStr">
        <is>
          <t>кг</t>
        </is>
      </c>
      <c r="E132" s="185" t="n">
        <v>24</v>
      </c>
      <c r="F132" s="164" t="n">
        <v>6.99</v>
      </c>
      <c r="G132" s="14">
        <f>ROUND(F132*E132,2)</f>
        <v/>
      </c>
      <c r="H132" s="158">
        <f>G132/$G$197</f>
        <v/>
      </c>
      <c r="I132" s="14">
        <f>ROUND(F132*Прил.10!$D$12,2)</f>
        <v/>
      </c>
      <c r="J132" s="14">
        <f>ROUND(I132*E132,2)</f>
        <v/>
      </c>
    </row>
    <row r="133" hidden="1" outlineLevel="1" ht="25.5" customFormat="1" customHeight="1" s="112">
      <c r="A133" s="146" t="n">
        <v>74</v>
      </c>
      <c r="B133" s="35" t="inlineStr">
        <is>
          <t>20.2.10.03-0002</t>
        </is>
      </c>
      <c r="C133" s="145" t="inlineStr">
        <is>
          <t>Наконечники кабельные медные для электротехнических установок</t>
        </is>
      </c>
      <c r="D133" s="146" t="inlineStr">
        <is>
          <t>100 шт</t>
        </is>
      </c>
      <c r="E133" s="185" t="n">
        <v>0.0408</v>
      </c>
      <c r="F133" s="164" t="n">
        <v>3986</v>
      </c>
      <c r="G133" s="14">
        <f>ROUND(F133*E133,2)</f>
        <v/>
      </c>
      <c r="H133" s="158">
        <f>G133/$G$197</f>
        <v/>
      </c>
      <c r="I133" s="14">
        <f>ROUND(F133*Прил.10!$D$12,2)</f>
        <v/>
      </c>
      <c r="J133" s="14">
        <f>ROUND(I133*E133,2)</f>
        <v/>
      </c>
    </row>
    <row r="134" hidden="1" outlineLevel="1" ht="38.25" customFormat="1" customHeight="1" s="112">
      <c r="A134" s="146" t="n">
        <v>75</v>
      </c>
      <c r="B134" s="35" t="inlineStr">
        <is>
          <t>11.1.03.01-0079</t>
        </is>
      </c>
      <c r="C134" s="145" t="inlineStr">
        <is>
          <t>Бруски обрезные, хвойных пород, длина 4-6,5 м, ширина 75-150 мм, толщина 40-75 мм, сорт III</t>
        </is>
      </c>
      <c r="D134" s="146" t="inlineStr">
        <is>
          <t>м3</t>
        </is>
      </c>
      <c r="E134" s="185" t="n">
        <v>0.102336</v>
      </c>
      <c r="F134" s="164" t="n">
        <v>1287</v>
      </c>
      <c r="G134" s="14">
        <f>ROUND(F134*E134,2)</f>
        <v/>
      </c>
      <c r="H134" s="158">
        <f>G134/$G$197</f>
        <v/>
      </c>
      <c r="I134" s="14">
        <f>ROUND(F134*Прил.10!$D$12,2)</f>
        <v/>
      </c>
      <c r="J134" s="14">
        <f>ROUND(I134*E134,2)</f>
        <v/>
      </c>
    </row>
    <row r="135" hidden="1" outlineLevel="1" ht="14.25" customFormat="1" customHeight="1" s="112">
      <c r="A135" s="146" t="n">
        <v>76</v>
      </c>
      <c r="B135" s="35" t="inlineStr">
        <is>
          <t>07.2.06.02-0002</t>
        </is>
      </c>
      <c r="C135" s="145" t="inlineStr">
        <is>
          <t>Ревизионный люк 30x30 см</t>
        </is>
      </c>
      <c r="D135" s="146" t="inlineStr">
        <is>
          <t>шт</t>
        </is>
      </c>
      <c r="E135" s="185" t="n">
        <v>3</v>
      </c>
      <c r="F135" s="164" t="n">
        <v>42</v>
      </c>
      <c r="G135" s="14">
        <f>ROUND(F135*E135,2)</f>
        <v/>
      </c>
      <c r="H135" s="158">
        <f>G135/$G$197</f>
        <v/>
      </c>
      <c r="I135" s="14">
        <f>ROUND(F135*Прил.10!$D$12,2)</f>
        <v/>
      </c>
      <c r="J135" s="14">
        <f>ROUND(I135*E135,2)</f>
        <v/>
      </c>
    </row>
    <row r="136" hidden="1" outlineLevel="1" ht="25.5" customFormat="1" customHeight="1" s="112">
      <c r="A136" s="146" t="n">
        <v>77</v>
      </c>
      <c r="B136" s="35" t="inlineStr">
        <is>
          <t>19.1.01.07-0003</t>
        </is>
      </c>
      <c r="C136" s="145" t="inlineStr">
        <is>
          <t>Врезка из оцинкованной стали, диаметр 200/100 мм</t>
        </is>
      </c>
      <c r="D136" s="146" t="inlineStr">
        <is>
          <t>шт</t>
        </is>
      </c>
      <c r="E136" s="185" t="n">
        <v>5</v>
      </c>
      <c r="F136" s="164" t="n">
        <v>20.87</v>
      </c>
      <c r="G136" s="14">
        <f>ROUND(F136*E136,2)</f>
        <v/>
      </c>
      <c r="H136" s="158">
        <f>G136/$G$197</f>
        <v/>
      </c>
      <c r="I136" s="14">
        <f>ROUND(F136*Прил.10!$D$12,2)</f>
        <v/>
      </c>
      <c r="J136" s="14">
        <f>ROUND(I136*E136,2)</f>
        <v/>
      </c>
    </row>
    <row r="137" hidden="1" outlineLevel="1" ht="25.5" customFormat="1" customHeight="1" s="112">
      <c r="A137" s="146" t="n">
        <v>78</v>
      </c>
      <c r="B137" s="35" t="inlineStr">
        <is>
          <t>08.3.05.05-0054</t>
        </is>
      </c>
      <c r="C137" s="145" t="inlineStr">
        <is>
          <t>Сталь листовая оцинкованная, толщина 0,8 мм</t>
        </is>
      </c>
      <c r="D137" s="146" t="inlineStr">
        <is>
          <t>т</t>
        </is>
      </c>
      <c r="E137" s="185" t="n">
        <v>0.0093154</v>
      </c>
      <c r="F137" s="164" t="n">
        <v>11000</v>
      </c>
      <c r="G137" s="14">
        <f>ROUND(F137*E137,2)</f>
        <v/>
      </c>
      <c r="H137" s="158">
        <f>G137/$G$197</f>
        <v/>
      </c>
      <c r="I137" s="14">
        <f>ROUND(F137*Прил.10!$D$12,2)</f>
        <v/>
      </c>
      <c r="J137" s="14">
        <f>ROUND(I137*E137,2)</f>
        <v/>
      </c>
    </row>
    <row r="138" hidden="1" outlineLevel="1" ht="38.25" customFormat="1" customHeight="1" s="112">
      <c r="A138" s="146" t="n">
        <v>79</v>
      </c>
      <c r="B138" s="35" t="inlineStr">
        <is>
          <t>11.1.03.06-0091</t>
        </is>
      </c>
      <c r="C138" s="145" t="inlineStr">
        <is>
          <t>Доска обрезная, хвойных пород, ширина 75-150 мм, толщина 32-40 мм, длина 4-6,5 м, сорт III</t>
        </is>
      </c>
      <c r="D138" s="146" t="inlineStr">
        <is>
          <t>м3</t>
        </is>
      </c>
      <c r="E138" s="185" t="n">
        <v>0.08856</v>
      </c>
      <c r="F138" s="164" t="n">
        <v>1155</v>
      </c>
      <c r="G138" s="14">
        <f>ROUND(F138*E138,2)</f>
        <v/>
      </c>
      <c r="H138" s="158">
        <f>G138/$G$197</f>
        <v/>
      </c>
      <c r="I138" s="14">
        <f>ROUND(F138*Прил.10!$D$12,2)</f>
        <v/>
      </c>
      <c r="J138" s="14">
        <f>ROUND(I138*E138,2)</f>
        <v/>
      </c>
    </row>
    <row r="139" hidden="1" outlineLevel="1" ht="14.25" customFormat="1" customHeight="1" s="112">
      <c r="A139" s="146" t="n">
        <v>80</v>
      </c>
      <c r="B139" s="35" t="inlineStr">
        <is>
          <t>01.7.15.02-0051</t>
        </is>
      </c>
      <c r="C139" s="145" t="inlineStr">
        <is>
          <t>Болты анкерные</t>
        </is>
      </c>
      <c r="D139" s="146" t="inlineStr">
        <is>
          <t>т</t>
        </is>
      </c>
      <c r="E139" s="185" t="n">
        <v>0.00988</v>
      </c>
      <c r="F139" s="164" t="n">
        <v>10068</v>
      </c>
      <c r="G139" s="14">
        <f>ROUND(F139*E139,2)</f>
        <v/>
      </c>
      <c r="H139" s="158">
        <f>G139/$G$197</f>
        <v/>
      </c>
      <c r="I139" s="14">
        <f>ROUND(F139*Прил.10!$D$12,2)</f>
        <v/>
      </c>
      <c r="J139" s="14">
        <f>ROUND(I139*E139,2)</f>
        <v/>
      </c>
    </row>
    <row r="140" hidden="1" outlineLevel="1" ht="25.5" customFormat="1" customHeight="1" s="112">
      <c r="A140" s="146" t="n">
        <v>81</v>
      </c>
      <c r="B140" s="35" t="inlineStr">
        <is>
          <t>01.1.01.09-0026</t>
        </is>
      </c>
      <c r="C140" s="145" t="inlineStr">
        <is>
          <t>Шнур асбестовый общего назначения ШАОН, диаметр 8-10 мм</t>
        </is>
      </c>
      <c r="D140" s="146" t="inlineStr">
        <is>
          <t>т</t>
        </is>
      </c>
      <c r="E140" s="185" t="n">
        <v>0.0034839</v>
      </c>
      <c r="F140" s="164" t="n">
        <v>26499</v>
      </c>
      <c r="G140" s="14">
        <f>ROUND(F140*E140,2)</f>
        <v/>
      </c>
      <c r="H140" s="158">
        <f>G140/$G$197</f>
        <v/>
      </c>
      <c r="I140" s="14">
        <f>ROUND(F140*Прил.10!$D$12,2)</f>
        <v/>
      </c>
      <c r="J140" s="14">
        <f>ROUND(I140*E140,2)</f>
        <v/>
      </c>
    </row>
    <row r="141" hidden="1" outlineLevel="1" ht="51" customFormat="1" customHeight="1" s="112">
      <c r="A141" s="146" t="n">
        <v>82</v>
      </c>
      <c r="B141" s="35" t="inlineStr">
        <is>
          <t>14.5.04.03-0002</t>
        </is>
      </c>
      <c r="C141" s="145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141" s="146" t="inlineStr">
        <is>
          <t>т</t>
        </is>
      </c>
      <c r="E141" s="185" t="n">
        <v>0.0053204</v>
      </c>
      <c r="F141" s="164" t="n">
        <v>17183</v>
      </c>
      <c r="G141" s="14">
        <f>ROUND(F141*E141,2)</f>
        <v/>
      </c>
      <c r="H141" s="158">
        <f>G141/$G$197</f>
        <v/>
      </c>
      <c r="I141" s="14">
        <f>ROUND(F141*Прил.10!$D$12,2)</f>
        <v/>
      </c>
      <c r="J141" s="14">
        <f>ROUND(I141*E141,2)</f>
        <v/>
      </c>
    </row>
    <row r="142" hidden="1" outlineLevel="1" ht="25.5" customFormat="1" customHeight="1" s="112">
      <c r="A142" s="146" t="n">
        <v>83</v>
      </c>
      <c r="B142" s="35" t="inlineStr">
        <is>
          <t>19.1.05.04-0009</t>
        </is>
      </c>
      <c r="C142" s="145" t="inlineStr">
        <is>
          <t>Диффузоры потолочные пластиковые универсальные, диаметр 200 мм</t>
        </is>
      </c>
      <c r="D142" s="146" t="inlineStr">
        <is>
          <t>шт</t>
        </is>
      </c>
      <c r="E142" s="185" t="n">
        <v>2.0000004</v>
      </c>
      <c r="F142" s="164" t="n">
        <v>45.19</v>
      </c>
      <c r="G142" s="14">
        <f>ROUND(F142*E142,2)</f>
        <v/>
      </c>
      <c r="H142" s="158">
        <f>G142/$G$197</f>
        <v/>
      </c>
      <c r="I142" s="14">
        <f>ROUND(F142*Прил.10!$D$12,2)</f>
        <v/>
      </c>
      <c r="J142" s="14">
        <f>ROUND(I142*E142,2)</f>
        <v/>
      </c>
    </row>
    <row r="143" hidden="1" outlineLevel="1" ht="25.5" customFormat="1" customHeight="1" s="112">
      <c r="A143" s="146" t="n">
        <v>84</v>
      </c>
      <c r="B143" s="35" t="inlineStr">
        <is>
          <t>19.1.01.07-0011</t>
        </is>
      </c>
      <c r="C143" s="145" t="inlineStr">
        <is>
          <t>Врезка из оцинкованной стали, диаметр 300/150 мм</t>
        </is>
      </c>
      <c r="D143" s="146" t="inlineStr">
        <is>
          <t>шт</t>
        </is>
      </c>
      <c r="E143" s="185" t="n">
        <v>3</v>
      </c>
      <c r="F143" s="164" t="n">
        <v>30.09</v>
      </c>
      <c r="G143" s="14">
        <f>ROUND(F143*E143,2)</f>
        <v/>
      </c>
      <c r="H143" s="158">
        <f>G143/$G$197</f>
        <v/>
      </c>
      <c r="I143" s="14">
        <f>ROUND(F143*Прил.10!$D$12,2)</f>
        <v/>
      </c>
      <c r="J143" s="14">
        <f>ROUND(I143*E143,2)</f>
        <v/>
      </c>
    </row>
    <row r="144" hidden="1" outlineLevel="1" ht="25.5" customFormat="1" customHeight="1" s="112">
      <c r="A144" s="146" t="n">
        <v>85</v>
      </c>
      <c r="B144" s="35" t="inlineStr">
        <is>
          <t>01.7.11.07-0045</t>
        </is>
      </c>
      <c r="C144" s="145" t="inlineStr">
        <is>
          <t>Электроды сварочные Э42А, диаметр 5 мм</t>
        </is>
      </c>
      <c r="D144" s="146" t="inlineStr">
        <is>
          <t>т</t>
        </is>
      </c>
      <c r="E144" s="185" t="n">
        <v>0.0086812</v>
      </c>
      <c r="F144" s="164" t="n">
        <v>10362</v>
      </c>
      <c r="G144" s="14">
        <f>ROUND(F144*E144,2)</f>
        <v/>
      </c>
      <c r="H144" s="158">
        <f>G144/$G$197</f>
        <v/>
      </c>
      <c r="I144" s="14">
        <f>ROUND(F144*Прил.10!$D$12,2)</f>
        <v/>
      </c>
      <c r="J144" s="14">
        <f>ROUND(I144*E144,2)</f>
        <v/>
      </c>
    </row>
    <row r="145" hidden="1" outlineLevel="1" ht="38.25" customFormat="1" customHeight="1" s="112">
      <c r="A145" s="146" t="n">
        <v>86</v>
      </c>
      <c r="B145" s="35" t="inlineStr">
        <is>
          <t>19.1.01.12-0014</t>
        </is>
      </c>
      <c r="C145" s="145" t="inlineStr">
        <is>
          <t>Фланец прямоугольный из угловой стали для воздуховодов, сечение 600х600 мм {фланец сеч.569х404}</t>
        </is>
      </c>
      <c r="D145" s="146" t="inlineStr">
        <is>
          <t>шт</t>
        </is>
      </c>
      <c r="E145" s="185" t="n">
        <v>1</v>
      </c>
      <c r="F145" s="164" t="n">
        <v>86.09999999999999</v>
      </c>
      <c r="G145" s="14">
        <f>ROUND(F145*E145,2)</f>
        <v/>
      </c>
      <c r="H145" s="158">
        <f>G145/$G$197</f>
        <v/>
      </c>
      <c r="I145" s="14">
        <f>ROUND(F145*Прил.10!$D$12,2)</f>
        <v/>
      </c>
      <c r="J145" s="14">
        <f>ROUND(I145*E145,2)</f>
        <v/>
      </c>
    </row>
    <row r="146" hidden="1" outlineLevel="1" ht="38.25" customFormat="1" customHeight="1" s="112">
      <c r="A146" s="146" t="n">
        <v>87</v>
      </c>
      <c r="B146" s="35" t="inlineStr">
        <is>
          <t>08.1.02.17-0031</t>
        </is>
      </c>
      <c r="C146" s="145" t="inlineStr">
        <is>
          <t>Сетка плетеная без покрытия из проволоки, диаметр проволоки 1,2 мм, размер ячейки 10х10 мм</t>
        </is>
      </c>
      <c r="D146" s="146" t="inlineStr">
        <is>
          <t>м2</t>
        </is>
      </c>
      <c r="E146" s="185" t="n">
        <v>3.13</v>
      </c>
      <c r="F146" s="164" t="n">
        <v>26.05</v>
      </c>
      <c r="G146" s="14">
        <f>ROUND(F146*E146,2)</f>
        <v/>
      </c>
      <c r="H146" s="158">
        <f>G146/$G$197</f>
        <v/>
      </c>
      <c r="I146" s="14">
        <f>ROUND(F146*Прил.10!$D$12,2)</f>
        <v/>
      </c>
      <c r="J146" s="14">
        <f>ROUND(I146*E146,2)</f>
        <v/>
      </c>
    </row>
    <row r="147" hidden="1" outlineLevel="1" ht="25.5" customFormat="1" customHeight="1" s="112">
      <c r="A147" s="146" t="n">
        <v>88</v>
      </c>
      <c r="B147" s="35" t="inlineStr">
        <is>
          <t>19.1.05.04-0008</t>
        </is>
      </c>
      <c r="C147" s="145" t="inlineStr">
        <is>
          <t>Диффузоры потолочные пластиковые универсальные, диаметр 160 мм</t>
        </is>
      </c>
      <c r="D147" s="146" t="inlineStr">
        <is>
          <t>шт</t>
        </is>
      </c>
      <c r="E147" s="185" t="n">
        <v>2.0000004</v>
      </c>
      <c r="F147" s="164" t="n">
        <v>37.96</v>
      </c>
      <c r="G147" s="14">
        <f>ROUND(F147*E147,2)</f>
        <v/>
      </c>
      <c r="H147" s="158">
        <f>G147/$G$197</f>
        <v/>
      </c>
      <c r="I147" s="14">
        <f>ROUND(F147*Прил.10!$D$12,2)</f>
        <v/>
      </c>
      <c r="J147" s="14">
        <f>ROUND(I147*E147,2)</f>
        <v/>
      </c>
    </row>
    <row r="148" hidden="1" outlineLevel="1" ht="25.5" customFormat="1" customHeight="1" s="112">
      <c r="A148" s="146" t="n">
        <v>89</v>
      </c>
      <c r="B148" s="35" t="inlineStr">
        <is>
          <t>19.1.01.07-0016</t>
        </is>
      </c>
      <c r="C148" s="145" t="inlineStr">
        <is>
          <t>Врезка из оцинкованной стали, диаметр 400/150 мм</t>
        </is>
      </c>
      <c r="D148" s="146" t="inlineStr">
        <is>
          <t>шт</t>
        </is>
      </c>
      <c r="E148" s="185" t="n">
        <v>2</v>
      </c>
      <c r="F148" s="164" t="n">
        <v>36.39</v>
      </c>
      <c r="G148" s="14">
        <f>ROUND(F148*E148,2)</f>
        <v/>
      </c>
      <c r="H148" s="158">
        <f>G148/$G$197</f>
        <v/>
      </c>
      <c r="I148" s="14">
        <f>ROUND(F148*Прил.10!$D$12,2)</f>
        <v/>
      </c>
      <c r="J148" s="14">
        <f>ROUND(I148*E148,2)</f>
        <v/>
      </c>
    </row>
    <row r="149" hidden="1" outlineLevel="1" ht="25.5" customFormat="1" customHeight="1" s="112">
      <c r="A149" s="146" t="n">
        <v>90</v>
      </c>
      <c r="B149" s="35" t="inlineStr">
        <is>
          <t>01.7.11.07-0034</t>
        </is>
      </c>
      <c r="C149" s="145" t="inlineStr">
        <is>
          <t>Электроды сварочные Э42А, диаметр 4 мм</t>
        </is>
      </c>
      <c r="D149" s="146" t="inlineStr">
        <is>
          <t>кг</t>
        </is>
      </c>
      <c r="E149" s="185" t="n">
        <v>6.813724</v>
      </c>
      <c r="F149" s="164" t="n">
        <v>10.57</v>
      </c>
      <c r="G149" s="14">
        <f>ROUND(F149*E149,2)</f>
        <v/>
      </c>
      <c r="H149" s="158">
        <f>G149/$G$197</f>
        <v/>
      </c>
      <c r="I149" s="14">
        <f>ROUND(F149*Прил.10!$D$12,2)</f>
        <v/>
      </c>
      <c r="J149" s="14">
        <f>ROUND(I149*E149,2)</f>
        <v/>
      </c>
    </row>
    <row r="150" hidden="1" outlineLevel="1" ht="14.25" customFormat="1" customHeight="1" s="112">
      <c r="A150" s="146" t="n">
        <v>91</v>
      </c>
      <c r="B150" s="35" t="inlineStr">
        <is>
          <t>14.4.03.03-0002</t>
        </is>
      </c>
      <c r="C150" s="145" t="inlineStr">
        <is>
          <t>Лак битумный БТ-123</t>
        </is>
      </c>
      <c r="D150" s="146" t="inlineStr">
        <is>
          <t>т</t>
        </is>
      </c>
      <c r="E150" s="185" t="n">
        <v>0.008676</v>
      </c>
      <c r="F150" s="164" t="n">
        <v>7826.9</v>
      </c>
      <c r="G150" s="14">
        <f>ROUND(F150*E150,2)</f>
        <v/>
      </c>
      <c r="H150" s="158">
        <f>G150/$G$197</f>
        <v/>
      </c>
      <c r="I150" s="14">
        <f>ROUND(F150*Прил.10!$D$12,2)</f>
        <v/>
      </c>
      <c r="J150" s="14">
        <f>ROUND(I150*E150,2)</f>
        <v/>
      </c>
    </row>
    <row r="151" hidden="1" outlineLevel="1" ht="25.5" customFormat="1" customHeight="1" s="112">
      <c r="A151" s="146" t="n">
        <v>92</v>
      </c>
      <c r="B151" s="35" t="inlineStr">
        <is>
          <t>01.7.15.03-0034</t>
        </is>
      </c>
      <c r="C151" s="145" t="inlineStr">
        <is>
          <t>Болты с гайками и шайбами оцинкованные, диаметр 12 мм</t>
        </is>
      </c>
      <c r="D151" s="146" t="inlineStr">
        <is>
          <t>кг</t>
        </is>
      </c>
      <c r="E151" s="185" t="n">
        <v>2.442</v>
      </c>
      <c r="F151" s="164" t="n">
        <v>25.76</v>
      </c>
      <c r="G151" s="14">
        <f>ROUND(F151*E151,2)</f>
        <v/>
      </c>
      <c r="H151" s="158">
        <f>G151/$G$197</f>
        <v/>
      </c>
      <c r="I151" s="14">
        <f>ROUND(F151*Прил.10!$D$12,2)</f>
        <v/>
      </c>
      <c r="J151" s="14">
        <f>ROUND(I151*E151,2)</f>
        <v/>
      </c>
    </row>
    <row r="152" hidden="1" outlineLevel="1" ht="14.25" customFormat="1" customHeight="1" s="112">
      <c r="A152" s="146" t="n">
        <v>93</v>
      </c>
      <c r="B152" s="35" t="inlineStr">
        <is>
          <t>14.5.09.07-0022</t>
        </is>
      </c>
      <c r="C152" s="145" t="inlineStr">
        <is>
          <t>Растворитель № 646</t>
        </is>
      </c>
      <c r="D152" s="146" t="inlineStr">
        <is>
          <t>т</t>
        </is>
      </c>
      <c r="E152" s="185" t="n">
        <v>0.0059995</v>
      </c>
      <c r="F152" s="164" t="n">
        <v>10465</v>
      </c>
      <c r="G152" s="14">
        <f>ROUND(F152*E152,2)</f>
        <v/>
      </c>
      <c r="H152" s="158">
        <f>G152/$G$197</f>
        <v/>
      </c>
      <c r="I152" s="14">
        <f>ROUND(F152*Прил.10!$D$12,2)</f>
        <v/>
      </c>
      <c r="J152" s="14">
        <f>ROUND(I152*E152,2)</f>
        <v/>
      </c>
    </row>
    <row r="153" hidden="1" outlineLevel="1" ht="25.5" customFormat="1" customHeight="1" s="112">
      <c r="A153" s="146" t="n">
        <v>94</v>
      </c>
      <c r="B153" s="35" t="inlineStr">
        <is>
          <t>999-9950</t>
        </is>
      </c>
      <c r="C153" s="145" t="inlineStr">
        <is>
          <t>Вспомогательные ненормируемые ресурсы (2% от Оплаты труда рабочих)</t>
        </is>
      </c>
      <c r="D153" s="146" t="inlineStr">
        <is>
          <t>руб</t>
        </is>
      </c>
      <c r="E153" s="185" t="n">
        <v>61.237236</v>
      </c>
      <c r="F153" s="164" t="n">
        <v>1</v>
      </c>
      <c r="G153" s="14">
        <f>ROUND(F153*E153,2)</f>
        <v/>
      </c>
      <c r="H153" s="158">
        <f>G153/$G$197</f>
        <v/>
      </c>
      <c r="I153" s="14">
        <f>ROUND(F153*Прил.10!$D$12,2)</f>
        <v/>
      </c>
      <c r="J153" s="14">
        <f>ROUND(I153*E153,2)</f>
        <v/>
      </c>
    </row>
    <row r="154" hidden="1" outlineLevel="1" ht="25.5" customFormat="1" customHeight="1" s="112">
      <c r="A154" s="146" t="n">
        <v>95</v>
      </c>
      <c r="B154" s="35" t="inlineStr">
        <is>
          <t>19.1.05.04-0007</t>
        </is>
      </c>
      <c r="C154" s="145" t="inlineStr">
        <is>
          <t>Диффузоры потолочные пластиковые универсальные, диаметр 125 мм</t>
        </is>
      </c>
      <c r="D154" s="146" t="inlineStr">
        <is>
          <t>шт</t>
        </is>
      </c>
      <c r="E154" s="185" t="n">
        <v>2.0000004</v>
      </c>
      <c r="F154" s="164" t="n">
        <v>29.2</v>
      </c>
      <c r="G154" s="14">
        <f>ROUND(F154*E154,2)</f>
        <v/>
      </c>
      <c r="H154" s="158">
        <f>G154/$G$197</f>
        <v/>
      </c>
      <c r="I154" s="14">
        <f>ROUND(F154*Прил.10!$D$12,2)</f>
        <v/>
      </c>
      <c r="J154" s="14">
        <f>ROUND(I154*E154,2)</f>
        <v/>
      </c>
    </row>
    <row r="155" hidden="1" outlineLevel="1" ht="25.5" customFormat="1" customHeight="1" s="112">
      <c r="A155" s="146" t="n">
        <v>96</v>
      </c>
      <c r="B155" s="35" t="inlineStr">
        <is>
          <t>08.4.03.02-0004</t>
        </is>
      </c>
      <c r="C155" s="145" t="inlineStr">
        <is>
          <t>Сталь арматурная, горячекатаная, гладкая, класс А-I, диаметр 12 мм</t>
        </is>
      </c>
      <c r="D155" s="146" t="inlineStr">
        <is>
          <t>т</t>
        </is>
      </c>
      <c r="E155" s="185" t="n">
        <v>0.00751</v>
      </c>
      <c r="F155" s="164" t="n">
        <v>6508.75</v>
      </c>
      <c r="G155" s="14">
        <f>ROUND(F155*E155,2)</f>
        <v/>
      </c>
      <c r="H155" s="158">
        <f>G155/$G$197</f>
        <v/>
      </c>
      <c r="I155" s="14">
        <f>ROUND(F155*Прил.10!$D$12,2)</f>
        <v/>
      </c>
      <c r="J155" s="14">
        <f>ROUND(I155*E155,2)</f>
        <v/>
      </c>
    </row>
    <row r="156" hidden="1" outlineLevel="1" ht="51" customFormat="1" customHeight="1" s="112">
      <c r="A156" s="146" t="n">
        <v>97</v>
      </c>
      <c r="B156" s="35" t="inlineStr">
        <is>
          <t>23.3.06.04-0008</t>
        </is>
      </c>
      <c r="C156" s="145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D156" s="146" t="inlineStr">
        <is>
          <t>м</t>
        </is>
      </c>
      <c r="E156" s="185" t="n">
        <v>3.12</v>
      </c>
      <c r="F156" s="164" t="n">
        <v>15.33</v>
      </c>
      <c r="G156" s="14">
        <f>ROUND(F156*E156,2)</f>
        <v/>
      </c>
      <c r="H156" s="158">
        <f>G156/$G$197</f>
        <v/>
      </c>
      <c r="I156" s="14">
        <f>ROUND(F156*Прил.10!$D$12,2)</f>
        <v/>
      </c>
      <c r="J156" s="14">
        <f>ROUND(I156*E156,2)</f>
        <v/>
      </c>
    </row>
    <row r="157" hidden="1" outlineLevel="1" ht="38.25" customFormat="1" customHeight="1" s="112">
      <c r="A157" s="146" t="n">
        <v>98</v>
      </c>
      <c r="B157" s="35" t="inlineStr">
        <is>
          <t>19.2.02.02-0011</t>
        </is>
      </c>
      <c r="C157" s="145" t="inlineStr">
        <is>
          <t>Зонт вентиляционных систем из листовой оцинкованной стали, круглый, диаметр шахты 200 мм</t>
        </is>
      </c>
      <c r="D157" s="146" t="inlineStr">
        <is>
          <t>шт</t>
        </is>
      </c>
      <c r="E157" s="185" t="n">
        <v>1</v>
      </c>
      <c r="F157" s="164" t="n">
        <v>45.4</v>
      </c>
      <c r="G157" s="14">
        <f>ROUND(F157*E157,2)</f>
        <v/>
      </c>
      <c r="H157" s="158">
        <f>G157/$G$197</f>
        <v/>
      </c>
      <c r="I157" s="14">
        <f>ROUND(F157*Прил.10!$D$12,2)</f>
        <v/>
      </c>
      <c r="J157" s="14">
        <f>ROUND(I157*E157,2)</f>
        <v/>
      </c>
    </row>
    <row r="158" hidden="1" outlineLevel="1" ht="25.5" customFormat="1" customHeight="1" s="112">
      <c r="A158" s="146" t="n">
        <v>99</v>
      </c>
      <c r="B158" s="35" t="inlineStr">
        <is>
          <t>20.2.10.03-0006</t>
        </is>
      </c>
      <c r="C158" s="145" t="inlineStr">
        <is>
          <t>Наконечники кабельные медные соединительные</t>
        </is>
      </c>
      <c r="D158" s="146" t="inlineStr">
        <is>
          <t>100 шт</t>
        </is>
      </c>
      <c r="E158" s="185" t="n">
        <v>0.12</v>
      </c>
      <c r="F158" s="164" t="n">
        <v>365</v>
      </c>
      <c r="G158" s="14">
        <f>ROUND(F158*E158,2)</f>
        <v/>
      </c>
      <c r="H158" s="158">
        <f>G158/$G$197</f>
        <v/>
      </c>
      <c r="I158" s="14">
        <f>ROUND(F158*Прил.10!$D$12,2)</f>
        <v/>
      </c>
      <c r="J158" s="14">
        <f>ROUND(I158*E158,2)</f>
        <v/>
      </c>
    </row>
    <row r="159" hidden="1" outlineLevel="1" ht="25.5" customFormat="1" customHeight="1" s="112">
      <c r="A159" s="146" t="n">
        <v>100</v>
      </c>
      <c r="B159" s="35" t="inlineStr">
        <is>
          <t>19.1.01.08-0006</t>
        </is>
      </c>
      <c r="C159" s="145" t="inlineStr">
        <is>
          <t>Заглушка торцевая оцинкованная для воздуховодов, сечение 200x300 мм</t>
        </is>
      </c>
      <c r="D159" s="146" t="inlineStr">
        <is>
          <t>шт</t>
        </is>
      </c>
      <c r="E159" s="185" t="n">
        <v>3</v>
      </c>
      <c r="F159" s="164" t="n">
        <v>13.97</v>
      </c>
      <c r="G159" s="14">
        <f>ROUND(F159*E159,2)</f>
        <v/>
      </c>
      <c r="H159" s="158">
        <f>G159/$G$197</f>
        <v/>
      </c>
      <c r="I159" s="14">
        <f>ROUND(F159*Прил.10!$D$12,2)</f>
        <v/>
      </c>
      <c r="J159" s="14">
        <f>ROUND(I159*E159,2)</f>
        <v/>
      </c>
    </row>
    <row r="160" hidden="1" outlineLevel="1" ht="38.25" customFormat="1" customHeight="1" s="112">
      <c r="A160" s="146" t="n">
        <v>101</v>
      </c>
      <c r="B160" s="35" t="inlineStr">
        <is>
          <t>19.1.01.08-0008</t>
        </is>
      </c>
      <c r="C160" s="145" t="inlineStr">
        <is>
          <t>Заглушка торцевая оцинкованная для воздуховодов, сечение 250x400 мм {300х400}</t>
        </is>
      </c>
      <c r="D160" s="146" t="inlineStr">
        <is>
          <t>шт</t>
        </is>
      </c>
      <c r="E160" s="185" t="n">
        <v>2</v>
      </c>
      <c r="F160" s="164" t="n">
        <v>20.69</v>
      </c>
      <c r="G160" s="14">
        <f>ROUND(F160*E160,2)</f>
        <v/>
      </c>
      <c r="H160" s="158">
        <f>G160/$G$197</f>
        <v/>
      </c>
      <c r="I160" s="14">
        <f>ROUND(F160*Прил.10!$D$12,2)</f>
        <v/>
      </c>
      <c r="J160" s="14">
        <f>ROUND(I160*E160,2)</f>
        <v/>
      </c>
    </row>
    <row r="161" hidden="1" outlineLevel="1" ht="25.5" customFormat="1" customHeight="1" s="112">
      <c r="A161" s="146" t="n">
        <v>102</v>
      </c>
      <c r="B161" s="35" t="inlineStr">
        <is>
          <t>19.1.01.07-0017</t>
        </is>
      </c>
      <c r="C161" s="145" t="inlineStr">
        <is>
          <t>Врезка из оцинкованной стали, диаметр 400/200 мм</t>
        </is>
      </c>
      <c r="D161" s="146" t="inlineStr">
        <is>
          <t>шт</t>
        </is>
      </c>
      <c r="E161" s="185" t="n">
        <v>1</v>
      </c>
      <c r="F161" s="164" t="n">
        <v>39.32</v>
      </c>
      <c r="G161" s="14">
        <f>ROUND(F161*E161,2)</f>
        <v/>
      </c>
      <c r="H161" s="158">
        <f>G161/$G$197</f>
        <v/>
      </c>
      <c r="I161" s="14">
        <f>ROUND(F161*Прил.10!$D$12,2)</f>
        <v/>
      </c>
      <c r="J161" s="14">
        <f>ROUND(I161*E161,2)</f>
        <v/>
      </c>
    </row>
    <row r="162" hidden="1" outlineLevel="1" ht="38.25" customFormat="1" customHeight="1" s="112">
      <c r="A162" s="146" t="n">
        <v>103</v>
      </c>
      <c r="B162" s="35" t="inlineStr">
        <is>
          <t>19.1.01.08-0007</t>
        </is>
      </c>
      <c r="C162" s="145" t="inlineStr">
        <is>
          <t>Заглушка торцевая оцинкованная для воздуховодов, сечение 200x400 мм {400х150}</t>
        </is>
      </c>
      <c r="D162" s="146" t="inlineStr">
        <is>
          <t>шт</t>
        </is>
      </c>
      <c r="E162" s="185" t="n">
        <v>2</v>
      </c>
      <c r="F162" s="164" t="n">
        <v>17.65</v>
      </c>
      <c r="G162" s="14">
        <f>ROUND(F162*E162,2)</f>
        <v/>
      </c>
      <c r="H162" s="158">
        <f>G162/$G$197</f>
        <v/>
      </c>
      <c r="I162" s="14">
        <f>ROUND(F162*Прил.10!$D$12,2)</f>
        <v/>
      </c>
      <c r="J162" s="14">
        <f>ROUND(I162*E162,2)</f>
        <v/>
      </c>
    </row>
    <row r="163" hidden="1" outlineLevel="1" ht="14.25" customFormat="1" customHeight="1" s="112">
      <c r="A163" s="146" t="n">
        <v>104</v>
      </c>
      <c r="B163" s="35" t="inlineStr">
        <is>
          <t>01.7.15.06-0111</t>
        </is>
      </c>
      <c r="C163" s="145" t="inlineStr">
        <is>
          <t>Гвозди строительные</t>
        </is>
      </c>
      <c r="D163" s="146" t="inlineStr">
        <is>
          <t>т</t>
        </is>
      </c>
      <c r="E163" s="185" t="n">
        <v>0.0029028</v>
      </c>
      <c r="F163" s="164" t="n">
        <v>11978</v>
      </c>
      <c r="G163" s="14">
        <f>ROUND(F163*E163,2)</f>
        <v/>
      </c>
      <c r="H163" s="158">
        <f>G163/$G$197</f>
        <v/>
      </c>
      <c r="I163" s="14">
        <f>ROUND(F163*Прил.10!$D$12,2)</f>
        <v/>
      </c>
      <c r="J163" s="14">
        <f>ROUND(I163*E163,2)</f>
        <v/>
      </c>
    </row>
    <row r="164" hidden="1" outlineLevel="1" ht="14.25" customFormat="1" customHeight="1" s="112">
      <c r="A164" s="146" t="n">
        <v>105</v>
      </c>
      <c r="B164" s="35" t="inlineStr">
        <is>
          <t>14.5.09.02-0002</t>
        </is>
      </c>
      <c r="C164" s="145" t="inlineStr">
        <is>
          <t>Ксилол нефтяной, марка А</t>
        </is>
      </c>
      <c r="D164" s="146" t="inlineStr">
        <is>
          <t>т</t>
        </is>
      </c>
      <c r="E164" s="185" t="n">
        <v>0.00448</v>
      </c>
      <c r="F164" s="164" t="n">
        <v>7640</v>
      </c>
      <c r="G164" s="14">
        <f>ROUND(F164*E164,2)</f>
        <v/>
      </c>
      <c r="H164" s="158">
        <f>G164/$G$197</f>
        <v/>
      </c>
      <c r="I164" s="14">
        <f>ROUND(F164*Прил.10!$D$12,2)</f>
        <v/>
      </c>
      <c r="J164" s="14">
        <f>ROUND(I164*E164,2)</f>
        <v/>
      </c>
    </row>
    <row r="165" hidden="1" outlineLevel="1" ht="25.5" customFormat="1" customHeight="1" s="112">
      <c r="A165" s="146" t="n">
        <v>106</v>
      </c>
      <c r="B165" s="35" t="inlineStr">
        <is>
          <t>14.4.02.04-0151</t>
        </is>
      </c>
      <c r="C165" s="145" t="inlineStr">
        <is>
          <t>Краска масляная и алкидная белила густотертые литопонные МА-021</t>
        </is>
      </c>
      <c r="D165" s="146" t="inlineStr">
        <is>
          <t>т</t>
        </is>
      </c>
      <c r="E165" s="185" t="n">
        <v>0.0015</v>
      </c>
      <c r="F165" s="164" t="n">
        <v>22533</v>
      </c>
      <c r="G165" s="14">
        <f>ROUND(F165*E165,2)</f>
        <v/>
      </c>
      <c r="H165" s="158">
        <f>G165/$G$197</f>
        <v/>
      </c>
      <c r="I165" s="14">
        <f>ROUND(F165*Прил.10!$D$12,2)</f>
        <v/>
      </c>
      <c r="J165" s="14">
        <f>ROUND(I165*E165,2)</f>
        <v/>
      </c>
    </row>
    <row r="166" hidden="1" outlineLevel="1" ht="14.25" customFormat="1" customHeight="1" s="112">
      <c r="A166" s="146" t="n">
        <v>107</v>
      </c>
      <c r="B166" s="35" t="inlineStr">
        <is>
          <t>Прайс из СД ОП</t>
        </is>
      </c>
      <c r="C166" s="145" t="inlineStr">
        <is>
          <t>Хомут Канал-МК-160</t>
        </is>
      </c>
      <c r="D166" s="146" t="inlineStr">
        <is>
          <t>шт</t>
        </is>
      </c>
      <c r="E166" s="185" t="n">
        <v>2</v>
      </c>
      <c r="F166" s="164" t="n">
        <v>15.65</v>
      </c>
      <c r="G166" s="14">
        <f>ROUND(F166*E166,2)</f>
        <v/>
      </c>
      <c r="H166" s="158">
        <f>G166/$G$197</f>
        <v/>
      </c>
      <c r="I166" s="14">
        <f>ROUND(F166*Прил.10!$D$12,2)</f>
        <v/>
      </c>
      <c r="J166" s="14">
        <f>ROUND(I166*E166,2)</f>
        <v/>
      </c>
    </row>
    <row r="167" hidden="1" outlineLevel="1" ht="25.5" customFormat="1" customHeight="1" s="112">
      <c r="A167" s="146" t="n">
        <v>108</v>
      </c>
      <c r="B167" s="35" t="inlineStr">
        <is>
          <t>19.1.01.08-0002</t>
        </is>
      </c>
      <c r="C167" s="145" t="inlineStr">
        <is>
          <t>Заглушка торцевая оцинкованная для воздуховодов, сечение 100x200 мм</t>
        </is>
      </c>
      <c r="D167" s="146" t="inlineStr">
        <is>
          <t>шт</t>
        </is>
      </c>
      <c r="E167" s="185" t="n">
        <v>4</v>
      </c>
      <c r="F167" s="164" t="n">
        <v>6.06</v>
      </c>
      <c r="G167" s="14">
        <f>ROUND(F167*E167,2)</f>
        <v/>
      </c>
      <c r="H167" s="158">
        <f>G167/$G$197</f>
        <v/>
      </c>
      <c r="I167" s="14">
        <f>ROUND(F167*Прил.10!$D$12,2)</f>
        <v/>
      </c>
      <c r="J167" s="14">
        <f>ROUND(I167*E167,2)</f>
        <v/>
      </c>
    </row>
    <row r="168" hidden="1" outlineLevel="1" ht="25.5" customFormat="1" customHeight="1" s="112">
      <c r="A168" s="146" t="n">
        <v>109</v>
      </c>
      <c r="B168" s="35" t="inlineStr">
        <is>
          <t>01.7.02.06-0017</t>
        </is>
      </c>
      <c r="C168" s="145" t="inlineStr">
        <is>
          <t>Картон строительный прокладочный, марка Б</t>
        </is>
      </c>
      <c r="D168" s="146" t="inlineStr">
        <is>
          <t>т</t>
        </is>
      </c>
      <c r="E168" s="185" t="n">
        <v>0.00114</v>
      </c>
      <c r="F168" s="164" t="n">
        <v>19800</v>
      </c>
      <c r="G168" s="14">
        <f>ROUND(F168*E168,2)</f>
        <v/>
      </c>
      <c r="H168" s="158">
        <f>G168/$G$197</f>
        <v/>
      </c>
      <c r="I168" s="14">
        <f>ROUND(F168*Прил.10!$D$12,2)</f>
        <v/>
      </c>
      <c r="J168" s="14">
        <f>ROUND(I168*E168,2)</f>
        <v/>
      </c>
    </row>
    <row r="169" hidden="1" outlineLevel="1" ht="25.5" customFormat="1" customHeight="1" s="112">
      <c r="A169" s="146" t="n">
        <v>110</v>
      </c>
      <c r="B169" s="35" t="inlineStr">
        <is>
          <t>01.7.15.03-0031</t>
        </is>
      </c>
      <c r="C169" s="145" t="inlineStr">
        <is>
          <t>Болты с гайками и шайбами оцинкованные, диаметр 6 мм</t>
        </is>
      </c>
      <c r="D169" s="146" t="inlineStr">
        <is>
          <t>кг</t>
        </is>
      </c>
      <c r="E169" s="185" t="n">
        <v>0.7552</v>
      </c>
      <c r="F169" s="164" t="n">
        <v>28.22</v>
      </c>
      <c r="G169" s="14">
        <f>ROUND(F169*E169,2)</f>
        <v/>
      </c>
      <c r="H169" s="158">
        <f>G169/$G$197</f>
        <v/>
      </c>
      <c r="I169" s="14">
        <f>ROUND(F169*Прил.10!$D$12,2)</f>
        <v/>
      </c>
      <c r="J169" s="14">
        <f>ROUND(I169*E169,2)</f>
        <v/>
      </c>
    </row>
    <row r="170" hidden="1" outlineLevel="1" ht="14.25" customFormat="1" customHeight="1" s="112">
      <c r="A170" s="146" t="n">
        <v>111</v>
      </c>
      <c r="B170" s="35" t="inlineStr">
        <is>
          <t>01.7.06.07-0002</t>
        </is>
      </c>
      <c r="C170" s="145" t="inlineStr">
        <is>
          <t>Лента монтажная, тип ЛМ-5</t>
        </is>
      </c>
      <c r="D170" s="146" t="inlineStr">
        <is>
          <t>10 м</t>
        </is>
      </c>
      <c r="E170" s="185" t="n">
        <v>3.04825</v>
      </c>
      <c r="F170" s="164" t="n">
        <v>6.9</v>
      </c>
      <c r="G170" s="14">
        <f>ROUND(F170*E170,2)</f>
        <v/>
      </c>
      <c r="H170" s="158">
        <f>G170/$G$197</f>
        <v/>
      </c>
      <c r="I170" s="14">
        <f>ROUND(F170*Прил.10!$D$12,2)</f>
        <v/>
      </c>
      <c r="J170" s="14">
        <f>ROUND(I170*E170,2)</f>
        <v/>
      </c>
    </row>
    <row r="171" hidden="1" outlineLevel="1" ht="25.5" customFormat="1" customHeight="1" s="112">
      <c r="A171" s="146" t="n">
        <v>112</v>
      </c>
      <c r="B171" s="35" t="inlineStr">
        <is>
          <t>08.3.03.06-0002</t>
        </is>
      </c>
      <c r="C171" s="145" t="inlineStr">
        <is>
          <t>Проволока горячекатаная в мотках, диаметр 6,3-6,5 мм</t>
        </is>
      </c>
      <c r="D171" s="146" t="inlineStr">
        <is>
          <t>т</t>
        </is>
      </c>
      <c r="E171" s="185" t="n">
        <v>0.004674</v>
      </c>
      <c r="F171" s="164" t="n">
        <v>4455.2</v>
      </c>
      <c r="G171" s="14">
        <f>ROUND(F171*E171,2)</f>
        <v/>
      </c>
      <c r="H171" s="158">
        <f>G171/$G$197</f>
        <v/>
      </c>
      <c r="I171" s="14">
        <f>ROUND(F171*Прил.10!$D$12,2)</f>
        <v/>
      </c>
      <c r="J171" s="14">
        <f>ROUND(I171*E171,2)</f>
        <v/>
      </c>
    </row>
    <row r="172" hidden="1" outlineLevel="1" ht="14.25" customFormat="1" customHeight="1" s="112">
      <c r="A172" s="146" t="n">
        <v>113</v>
      </c>
      <c r="B172" s="35" t="inlineStr">
        <is>
          <t>Прайс из СД ОП</t>
        </is>
      </c>
      <c r="C172" s="145" t="inlineStr">
        <is>
          <t>Клеящий состав Плазас</t>
        </is>
      </c>
      <c r="D172" s="146" t="inlineStr">
        <is>
          <t>кг</t>
        </is>
      </c>
      <c r="E172" s="185" t="n">
        <v>3.5</v>
      </c>
      <c r="F172" s="164" t="n">
        <v>5.83</v>
      </c>
      <c r="G172" s="14">
        <f>ROUND(F172*E172,2)</f>
        <v/>
      </c>
      <c r="H172" s="158">
        <f>G172/$G$197</f>
        <v/>
      </c>
      <c r="I172" s="14">
        <f>ROUND(F172*Прил.10!$D$12,2)</f>
        <v/>
      </c>
      <c r="J172" s="14">
        <f>ROUND(I172*E172,2)</f>
        <v/>
      </c>
    </row>
    <row r="173" hidden="1" outlineLevel="1" ht="14.25" customFormat="1" customHeight="1" s="112">
      <c r="A173" s="146" t="n">
        <v>114</v>
      </c>
      <c r="B173" s="35" t="inlineStr">
        <is>
          <t>01.7.02.09-0002</t>
        </is>
      </c>
      <c r="C173" s="145" t="inlineStr">
        <is>
          <t>Шпагат бумажный</t>
        </is>
      </c>
      <c r="D173" s="146" t="inlineStr">
        <is>
          <t>кг</t>
        </is>
      </c>
      <c r="E173" s="185" t="n">
        <v>1.6</v>
      </c>
      <c r="F173" s="164" t="n">
        <v>11.5</v>
      </c>
      <c r="G173" s="14">
        <f>ROUND(F173*E173,2)</f>
        <v/>
      </c>
      <c r="H173" s="158">
        <f>G173/$G$197</f>
        <v/>
      </c>
      <c r="I173" s="14">
        <f>ROUND(F173*Прил.10!$D$12,2)</f>
        <v/>
      </c>
      <c r="J173" s="14">
        <f>ROUND(I173*E173,2)</f>
        <v/>
      </c>
    </row>
    <row r="174" hidden="1" outlineLevel="1" ht="14.25" customFormat="1" customHeight="1" s="112">
      <c r="A174" s="146" t="n">
        <v>115</v>
      </c>
      <c r="B174" s="35" t="inlineStr">
        <is>
          <t>01.7.07.29-0101</t>
        </is>
      </c>
      <c r="C174" s="145" t="inlineStr">
        <is>
          <t>Очес льняной</t>
        </is>
      </c>
      <c r="D174" s="146" t="inlineStr">
        <is>
          <t>кг</t>
        </is>
      </c>
      <c r="E174" s="185" t="n">
        <v>0.450005</v>
      </c>
      <c r="F174" s="164" t="n">
        <v>37.29</v>
      </c>
      <c r="G174" s="14">
        <f>ROUND(F174*E174,2)</f>
        <v/>
      </c>
      <c r="H174" s="158">
        <f>G174/$G$197</f>
        <v/>
      </c>
      <c r="I174" s="14">
        <f>ROUND(F174*Прил.10!$D$12,2)</f>
        <v/>
      </c>
      <c r="J174" s="14">
        <f>ROUND(I174*E174,2)</f>
        <v/>
      </c>
    </row>
    <row r="175" hidden="1" outlineLevel="1" ht="14.25" customFormat="1" customHeight="1" s="112">
      <c r="A175" s="146" t="n">
        <v>116</v>
      </c>
      <c r="B175" s="35" t="inlineStr">
        <is>
          <t>01.7.15.14-0165</t>
        </is>
      </c>
      <c r="C175" s="145" t="inlineStr">
        <is>
          <t>Шурупы с полукруглой головкой 4х40 мм</t>
        </is>
      </c>
      <c r="D175" s="146" t="inlineStr">
        <is>
          <t>т</t>
        </is>
      </c>
      <c r="E175" s="185" t="n">
        <v>0.0013255</v>
      </c>
      <c r="F175" s="164" t="n">
        <v>12430</v>
      </c>
      <c r="G175" s="14">
        <f>ROUND(F175*E175,2)</f>
        <v/>
      </c>
      <c r="H175" s="158">
        <f>G175/$G$197</f>
        <v/>
      </c>
      <c r="I175" s="14">
        <f>ROUND(F175*Прил.10!$D$12,2)</f>
        <v/>
      </c>
      <c r="J175" s="14">
        <f>ROUND(I175*E175,2)</f>
        <v/>
      </c>
    </row>
    <row r="176" hidden="1" outlineLevel="1" ht="14.25" customFormat="1" customHeight="1" s="112">
      <c r="A176" s="146" t="n">
        <v>117</v>
      </c>
      <c r="B176" s="35" t="inlineStr">
        <is>
          <t>20.1.02.23-0082</t>
        </is>
      </c>
      <c r="C176" s="145" t="inlineStr">
        <is>
          <t>Перемычки гибкие, тип ПГС-50</t>
        </is>
      </c>
      <c r="D176" s="146" t="inlineStr">
        <is>
          <t>10 шт</t>
        </is>
      </c>
      <c r="E176" s="185" t="n">
        <v>0.4</v>
      </c>
      <c r="F176" s="164" t="n">
        <v>39</v>
      </c>
      <c r="G176" s="14">
        <f>ROUND(F176*E176,2)</f>
        <v/>
      </c>
      <c r="H176" s="158">
        <f>G176/$G$197</f>
        <v/>
      </c>
      <c r="I176" s="14">
        <f>ROUND(F176*Прил.10!$D$12,2)</f>
        <v/>
      </c>
      <c r="J176" s="14">
        <f>ROUND(I176*E176,2)</f>
        <v/>
      </c>
    </row>
    <row r="177" hidden="1" outlineLevel="1" ht="25.5" customFormat="1" customHeight="1" s="112">
      <c r="A177" s="146" t="n">
        <v>118</v>
      </c>
      <c r="B177" s="35" t="inlineStr">
        <is>
          <t>04.3.01.09-0014</t>
        </is>
      </c>
      <c r="C177" s="145" t="inlineStr">
        <is>
          <t>Раствор готовый кладочный, цементный, М100</t>
        </is>
      </c>
      <c r="D177" s="146" t="inlineStr">
        <is>
          <t>м3</t>
        </is>
      </c>
      <c r="E177" s="185" t="n">
        <v>0.0297</v>
      </c>
      <c r="F177" s="164" t="n">
        <v>519.8</v>
      </c>
      <c r="G177" s="14">
        <f>ROUND(F177*E177,2)</f>
        <v/>
      </c>
      <c r="H177" s="158">
        <f>G177/$G$197</f>
        <v/>
      </c>
      <c r="I177" s="14">
        <f>ROUND(F177*Прил.10!$D$12,2)</f>
        <v/>
      </c>
      <c r="J177" s="14">
        <f>ROUND(I177*E177,2)</f>
        <v/>
      </c>
    </row>
    <row r="178" hidden="1" outlineLevel="1" ht="25.5" customFormat="1" customHeight="1" s="112">
      <c r="A178" s="146" t="n">
        <v>119</v>
      </c>
      <c r="B178" s="35" t="inlineStr">
        <is>
          <t>14.4.02.04-0142</t>
        </is>
      </c>
      <c r="C178" s="145" t="inlineStr">
        <is>
          <t>Краска масляная земляная МА-0115, мумия, сурик железный</t>
        </is>
      </c>
      <c r="D178" s="146" t="inlineStr">
        <is>
          <t>кг</t>
        </is>
      </c>
      <c r="E178" s="185" t="n">
        <v>0.875</v>
      </c>
      <c r="F178" s="164" t="n">
        <v>15.12</v>
      </c>
      <c r="G178" s="14">
        <f>ROUND(F178*E178,2)</f>
        <v/>
      </c>
      <c r="H178" s="158">
        <f>G178/$G$197</f>
        <v/>
      </c>
      <c r="I178" s="14">
        <f>ROUND(F178*Прил.10!$D$12,2)</f>
        <v/>
      </c>
      <c r="J178" s="14">
        <f>ROUND(I178*E178,2)</f>
        <v/>
      </c>
    </row>
    <row r="179" hidden="1" outlineLevel="1" ht="25.5" customFormat="1" customHeight="1" s="112">
      <c r="A179" s="146" t="n">
        <v>120</v>
      </c>
      <c r="B179" s="35" t="inlineStr">
        <is>
          <t>01.7.15.04-0054</t>
        </is>
      </c>
      <c r="C179" s="145" t="inlineStr">
        <is>
          <t>Винты самонарезающие, оцинкованные, размер 4х12 мм</t>
        </is>
      </c>
      <c r="D179" s="146" t="inlineStr">
        <is>
          <t>т</t>
        </is>
      </c>
      <c r="E179" s="185" t="n">
        <v>0.0003703</v>
      </c>
      <c r="F179" s="164" t="n">
        <v>33180</v>
      </c>
      <c r="G179" s="14">
        <f>ROUND(F179*E179,2)</f>
        <v/>
      </c>
      <c r="H179" s="158">
        <f>G179/$G$197</f>
        <v/>
      </c>
      <c r="I179" s="14">
        <f>ROUND(F179*Прил.10!$D$12,2)</f>
        <v/>
      </c>
      <c r="J179" s="14">
        <f>ROUND(I179*E179,2)</f>
        <v/>
      </c>
    </row>
    <row r="180" hidden="1" outlineLevel="1" ht="25.5" customFormat="1" customHeight="1" s="112">
      <c r="A180" s="146" t="n">
        <v>121</v>
      </c>
      <c r="B180" s="35" t="inlineStr">
        <is>
          <t>01.3.01.06-0050</t>
        </is>
      </c>
      <c r="C180" s="145" t="inlineStr">
        <is>
          <t>Смазка универсальная тугоплавкая УТ (консталин жировой)</t>
        </is>
      </c>
      <c r="D180" s="146" t="inlineStr">
        <is>
          <t>т</t>
        </is>
      </c>
      <c r="E180" s="185" t="n">
        <v>0.00062</v>
      </c>
      <c r="F180" s="164" t="n">
        <v>17500</v>
      </c>
      <c r="G180" s="14">
        <f>ROUND(F180*E180,2)</f>
        <v/>
      </c>
      <c r="H180" s="158">
        <f>G180/$G$197</f>
        <v/>
      </c>
      <c r="I180" s="14">
        <f>ROUND(F180*Прил.10!$D$12,2)</f>
        <v/>
      </c>
      <c r="J180" s="14">
        <f>ROUND(I180*E180,2)</f>
        <v/>
      </c>
    </row>
    <row r="181" hidden="1" outlineLevel="1" ht="14.25" customFormat="1" customHeight="1" s="112">
      <c r="A181" s="146" t="n">
        <v>122</v>
      </c>
      <c r="B181" s="35" t="inlineStr">
        <is>
          <t>01.7.20.08-0051</t>
        </is>
      </c>
      <c r="C181" s="145" t="inlineStr">
        <is>
          <t>Ветошь</t>
        </is>
      </c>
      <c r="D181" s="146" t="inlineStr">
        <is>
          <t>кг</t>
        </is>
      </c>
      <c r="E181" s="185" t="n">
        <v>4.615</v>
      </c>
      <c r="F181" s="164" t="n">
        <v>1.82</v>
      </c>
      <c r="G181" s="14">
        <f>ROUND(F181*E181,2)</f>
        <v/>
      </c>
      <c r="H181" s="158">
        <f>G181/$G$197</f>
        <v/>
      </c>
      <c r="I181" s="14">
        <f>ROUND(F181*Прил.10!$D$12,2)</f>
        <v/>
      </c>
      <c r="J181" s="14">
        <f>ROUND(I181*E181,2)</f>
        <v/>
      </c>
    </row>
    <row r="182" hidden="1" outlineLevel="1" ht="51" customFormat="1" customHeight="1" s="112">
      <c r="A182" s="146" t="n">
        <v>123</v>
      </c>
      <c r="B182" s="35" t="inlineStr">
        <is>
          <t>14.5.05.01-0012</t>
        </is>
      </c>
      <c r="C182" s="145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182" s="146" t="inlineStr">
        <is>
          <t>т</t>
        </is>
      </c>
      <c r="E182" s="185" t="n">
        <v>0.00042</v>
      </c>
      <c r="F182" s="164" t="n">
        <v>16950</v>
      </c>
      <c r="G182" s="14">
        <f>ROUND(F182*E182,2)</f>
        <v/>
      </c>
      <c r="H182" s="158">
        <f>G182/$G$197</f>
        <v/>
      </c>
      <c r="I182" s="14">
        <f>ROUND(F182*Прил.10!$D$12,2)</f>
        <v/>
      </c>
      <c r="J182" s="14">
        <f>ROUND(I182*E182,2)</f>
        <v/>
      </c>
    </row>
    <row r="183" hidden="1" outlineLevel="1" ht="25.5" customFormat="1" customHeight="1" s="112">
      <c r="A183" s="146" t="n">
        <v>124</v>
      </c>
      <c r="B183" s="35" t="inlineStr">
        <is>
          <t>01.7.15.04-0012</t>
        </is>
      </c>
      <c r="C183" s="145" t="inlineStr">
        <is>
          <t>Винты с полукруглой головкой, длина 55-120 мм</t>
        </is>
      </c>
      <c r="D183" s="146" t="inlineStr">
        <is>
          <t>т</t>
        </is>
      </c>
      <c r="E183" s="185" t="n">
        <v>0.00056</v>
      </c>
      <c r="F183" s="164" t="n">
        <v>12430</v>
      </c>
      <c r="G183" s="14">
        <f>ROUND(F183*E183,2)</f>
        <v/>
      </c>
      <c r="H183" s="158">
        <f>G183/$G$197</f>
        <v/>
      </c>
      <c r="I183" s="14">
        <f>ROUND(F183*Прил.10!$D$12,2)</f>
        <v/>
      </c>
      <c r="J183" s="14">
        <f>ROUND(I183*E183,2)</f>
        <v/>
      </c>
    </row>
    <row r="184" hidden="1" outlineLevel="1" ht="25.5" customFormat="1" customHeight="1" s="112">
      <c r="A184" s="146" t="n">
        <v>125</v>
      </c>
      <c r="B184" s="35" t="inlineStr">
        <is>
          <t>10.3.02.03-0013</t>
        </is>
      </c>
      <c r="C184" s="145" t="inlineStr">
        <is>
          <t>Припои оловянно-свинцовые бессурьмянистые, марка ПОС61</t>
        </is>
      </c>
      <c r="D184" s="146" t="inlineStr">
        <is>
          <t>т</t>
        </is>
      </c>
      <c r="E184" s="185" t="n">
        <v>6e-05</v>
      </c>
      <c r="F184" s="164" t="n">
        <v>114220</v>
      </c>
      <c r="G184" s="14">
        <f>ROUND(F184*E184,2)</f>
        <v/>
      </c>
      <c r="H184" s="158">
        <f>G184/$G$197</f>
        <v/>
      </c>
      <c r="I184" s="14">
        <f>ROUND(F184*Прил.10!$D$12,2)</f>
        <v/>
      </c>
      <c r="J184" s="14">
        <f>ROUND(I184*E184,2)</f>
        <v/>
      </c>
    </row>
    <row r="185" hidden="1" outlineLevel="1" ht="14.25" customFormat="1" customHeight="1" s="112">
      <c r="A185" s="146" t="n">
        <v>126</v>
      </c>
      <c r="B185" s="35" t="inlineStr">
        <is>
          <t>01.7.15.11-0062</t>
        </is>
      </c>
      <c r="C185" s="145" t="inlineStr">
        <is>
          <t>Шайбы стальные</t>
        </is>
      </c>
      <c r="D185" s="146" t="inlineStr">
        <is>
          <t>т</t>
        </is>
      </c>
      <c r="E185" s="185" t="n">
        <v>0.00054</v>
      </c>
      <c r="F185" s="164" t="n">
        <v>10208</v>
      </c>
      <c r="G185" s="14">
        <f>ROUND(F185*E185,2)</f>
        <v/>
      </c>
      <c r="H185" s="158">
        <f>G185/$G$197</f>
        <v/>
      </c>
      <c r="I185" s="14">
        <f>ROUND(F185*Прил.10!$D$12,2)</f>
        <v/>
      </c>
      <c r="J185" s="14">
        <f>ROUND(I185*E185,2)</f>
        <v/>
      </c>
    </row>
    <row r="186" hidden="1" outlineLevel="1" ht="14.25" customFormat="1" customHeight="1" s="112">
      <c r="A186" s="146" t="n">
        <v>127</v>
      </c>
      <c r="B186" s="35" t="inlineStr">
        <is>
          <t>03.1.01.01-0002</t>
        </is>
      </c>
      <c r="C186" s="145" t="inlineStr">
        <is>
          <t>Гипс строительный Г-3</t>
        </is>
      </c>
      <c r="D186" s="146" t="inlineStr">
        <is>
          <t>т</t>
        </is>
      </c>
      <c r="E186" s="185" t="n">
        <v>0.003</v>
      </c>
      <c r="F186" s="164" t="n">
        <v>729.98</v>
      </c>
      <c r="G186" s="14">
        <f>ROUND(F186*E186,2)</f>
        <v/>
      </c>
      <c r="H186" s="158">
        <f>G186/$G$197</f>
        <v/>
      </c>
      <c r="I186" s="14">
        <f>ROUND(F186*Прил.10!$D$12,2)</f>
        <v/>
      </c>
      <c r="J186" s="14">
        <f>ROUND(I186*E186,2)</f>
        <v/>
      </c>
    </row>
    <row r="187" hidden="1" outlineLevel="1" ht="25.5" customFormat="1" customHeight="1" s="112">
      <c r="A187" s="146" t="n">
        <v>128</v>
      </c>
      <c r="B187" s="35" t="inlineStr">
        <is>
          <t>03.1.02.03-0011</t>
        </is>
      </c>
      <c r="C187" s="145" t="inlineStr">
        <is>
          <t>Известь строительная негашеная комовая, сорт I</t>
        </is>
      </c>
      <c r="D187" s="146" t="inlineStr">
        <is>
          <t>т</t>
        </is>
      </c>
      <c r="E187" s="185" t="n">
        <v>0.0024108</v>
      </c>
      <c r="F187" s="164" t="n">
        <v>734.5</v>
      </c>
      <c r="G187" s="14">
        <f>ROUND(F187*E187,2)</f>
        <v/>
      </c>
      <c r="H187" s="158">
        <f>G187/$G$197</f>
        <v/>
      </c>
      <c r="I187" s="14">
        <f>ROUND(F187*Прил.10!$D$12,2)</f>
        <v/>
      </c>
      <c r="J187" s="14">
        <f>ROUND(I187*E187,2)</f>
        <v/>
      </c>
    </row>
    <row r="188" hidden="1" outlineLevel="1" ht="14.25" customFormat="1" customHeight="1" s="112">
      <c r="A188" s="146" t="n">
        <v>129</v>
      </c>
      <c r="B188" s="35" t="inlineStr">
        <is>
          <t>14.4.04.09-0017</t>
        </is>
      </c>
      <c r="C188" s="145" t="inlineStr">
        <is>
          <t>Эмаль ХВ-124, защитная, зеленая</t>
        </is>
      </c>
      <c r="D188" s="146" t="inlineStr">
        <is>
          <t>т</t>
        </is>
      </c>
      <c r="E188" s="185" t="n">
        <v>6e-05</v>
      </c>
      <c r="F188" s="164" t="n">
        <v>28300.4</v>
      </c>
      <c r="G188" s="14">
        <f>ROUND(F188*E188,2)</f>
        <v/>
      </c>
      <c r="H188" s="158">
        <f>G188/$G$197</f>
        <v/>
      </c>
      <c r="I188" s="14">
        <f>ROUND(F188*Прил.10!$D$12,2)</f>
        <v/>
      </c>
      <c r="J188" s="14">
        <f>ROUND(I188*E188,2)</f>
        <v/>
      </c>
    </row>
    <row r="189" hidden="1" outlineLevel="1" ht="25.5" customFormat="1" customHeight="1" s="112">
      <c r="A189" s="146" t="n">
        <v>130</v>
      </c>
      <c r="B189" s="35" t="inlineStr">
        <is>
          <t>ОП ФЕР 20- 1% от ОТ</t>
        </is>
      </c>
      <c r="C189" s="145" t="inlineStr">
        <is>
          <t>Затраты на электроэнергию, потребляемую ручным инструментом - 1%</t>
        </is>
      </c>
      <c r="D189" s="146" t="inlineStr">
        <is>
          <t>руб.</t>
        </is>
      </c>
      <c r="E189" s="185" t="n">
        <v>152.7</v>
      </c>
      <c r="F189" s="164" t="n">
        <v>0.01</v>
      </c>
      <c r="G189" s="14">
        <f>ROUND(F189*E189,2)</f>
        <v/>
      </c>
      <c r="H189" s="158">
        <f>G189/$G$197</f>
        <v/>
      </c>
      <c r="I189" s="14">
        <f>ROUND(F189*Прил.10!$D$12,2)</f>
        <v/>
      </c>
      <c r="J189" s="14">
        <f>ROUND(I189*E189,2)</f>
        <v/>
      </c>
    </row>
    <row r="190" hidden="1" outlineLevel="1" ht="14.25" customFormat="1" customHeight="1" s="112">
      <c r="A190" s="146" t="n">
        <v>131</v>
      </c>
      <c r="B190" s="35" t="inlineStr">
        <is>
          <t>24.3.01.01-0001</t>
        </is>
      </c>
      <c r="C190" s="145" t="inlineStr">
        <is>
          <t>Трубка ХВТ</t>
        </is>
      </c>
      <c r="D190" s="146" t="inlineStr">
        <is>
          <t>кг</t>
        </is>
      </c>
      <c r="E190" s="185" t="n">
        <v>0.032</v>
      </c>
      <c r="F190" s="164" t="n">
        <v>41.7</v>
      </c>
      <c r="G190" s="14">
        <f>ROUND(F190*E190,2)</f>
        <v/>
      </c>
      <c r="H190" s="158">
        <f>G190/$G$197</f>
        <v/>
      </c>
      <c r="I190" s="14">
        <f>ROUND(F190*Прил.10!$D$12,2)</f>
        <v/>
      </c>
      <c r="J190" s="14">
        <f>ROUND(I190*E190,2)</f>
        <v/>
      </c>
    </row>
    <row r="191" hidden="1" outlineLevel="1" ht="25.5" customFormat="1" customHeight="1" s="112">
      <c r="A191" s="146" t="n">
        <v>132</v>
      </c>
      <c r="B191" s="35" t="inlineStr">
        <is>
          <t>08.3.05.05-0051</t>
        </is>
      </c>
      <c r="C191" s="145" t="inlineStr">
        <is>
          <t>Сталь листовая оцинкованная, толщина 0,5 мм</t>
        </is>
      </c>
      <c r="D191" s="146" t="inlineStr">
        <is>
          <t>т</t>
        </is>
      </c>
      <c r="E191" s="185" t="n">
        <v>0.0001025</v>
      </c>
      <c r="F191" s="164" t="n">
        <v>11200</v>
      </c>
      <c r="G191" s="14">
        <f>ROUND(F191*E191,2)</f>
        <v/>
      </c>
      <c r="H191" s="158">
        <f>G191/$G$197</f>
        <v/>
      </c>
      <c r="I191" s="14">
        <f>ROUND(F191*Прил.10!$D$12,2)</f>
        <v/>
      </c>
      <c r="J191" s="14">
        <f>ROUND(I191*E191,2)</f>
        <v/>
      </c>
    </row>
    <row r="192" hidden="1" outlineLevel="1" ht="14.25" customFormat="1" customHeight="1" s="112">
      <c r="A192" s="146" t="n">
        <v>133</v>
      </c>
      <c r="B192" s="35" t="inlineStr">
        <is>
          <t>14.4.02.09-0001</t>
        </is>
      </c>
      <c r="C192" s="145" t="inlineStr">
        <is>
          <t>Краска</t>
        </is>
      </c>
      <c r="D192" s="146" t="inlineStr">
        <is>
          <t>кг</t>
        </is>
      </c>
      <c r="E192" s="185" t="n">
        <v>0.02</v>
      </c>
      <c r="F192" s="164" t="n">
        <v>28.6</v>
      </c>
      <c r="G192" s="14">
        <f>ROUND(F192*E192,2)</f>
        <v/>
      </c>
      <c r="H192" s="158">
        <f>G192/$G$197</f>
        <v/>
      </c>
      <c r="I192" s="14">
        <f>ROUND(F192*Прил.10!$D$12,2)</f>
        <v/>
      </c>
      <c r="J192" s="14">
        <f>ROUND(I192*E192,2)</f>
        <v/>
      </c>
    </row>
    <row r="193" hidden="1" outlineLevel="1" ht="38.25" customFormat="1" customHeight="1" s="112">
      <c r="A193" s="146" t="n">
        <v>134</v>
      </c>
      <c r="B193" s="35" t="inlineStr">
        <is>
          <t>01.7.06.05-0041</t>
        </is>
      </c>
      <c r="C193" s="145" t="inlineStr">
        <is>
          <t>Лента изоляционная прорезиненная односторонняя, ширина 20 мм, толщина 0,25-0,35 мм</t>
        </is>
      </c>
      <c r="D193" s="146" t="inlineStr">
        <is>
          <t>кг</t>
        </is>
      </c>
      <c r="E193" s="185" t="n">
        <v>0.008</v>
      </c>
      <c r="F193" s="164" t="n">
        <v>30.4</v>
      </c>
      <c r="G193" s="14">
        <f>ROUND(F193*E193,2)</f>
        <v/>
      </c>
      <c r="H193" s="158">
        <f>G193/$G$197</f>
        <v/>
      </c>
      <c r="I193" s="14">
        <f>ROUND(F193*Прил.10!$D$12,2)</f>
        <v/>
      </c>
      <c r="J193" s="14">
        <f>ROUND(I193*E193,2)</f>
        <v/>
      </c>
    </row>
    <row r="194" hidden="1" outlineLevel="1" ht="14.25" customFormat="1" customHeight="1" s="112">
      <c r="A194" s="146" t="n">
        <v>135</v>
      </c>
      <c r="B194" s="35" t="inlineStr">
        <is>
          <t>14.5.05.02-0001</t>
        </is>
      </c>
      <c r="C194" s="145" t="inlineStr">
        <is>
          <t>Олифа натуральная</t>
        </is>
      </c>
      <c r="D194" s="146" t="inlineStr">
        <is>
          <t>кг</t>
        </is>
      </c>
      <c r="E194" s="185" t="n">
        <v>0.005</v>
      </c>
      <c r="F194" s="164" t="n">
        <v>32.6</v>
      </c>
      <c r="G194" s="14">
        <f>ROUND(F194*E194,2)</f>
        <v/>
      </c>
      <c r="H194" s="158">
        <f>G194/$G$197</f>
        <v/>
      </c>
      <c r="I194" s="14">
        <f>ROUND(F194*Прил.10!$D$12,2)</f>
        <v/>
      </c>
      <c r="J194" s="14">
        <f>ROUND(I194*E194,2)</f>
        <v/>
      </c>
    </row>
    <row r="195" hidden="1" outlineLevel="1" ht="14.25" customFormat="1" customHeight="1" s="112">
      <c r="A195" s="146" t="n">
        <v>136</v>
      </c>
      <c r="B195" s="35" t="inlineStr">
        <is>
          <t>01.7.03.01-0001</t>
        </is>
      </c>
      <c r="C195" s="145" t="inlineStr">
        <is>
          <t>Вода</t>
        </is>
      </c>
      <c r="D195" s="146" t="inlineStr">
        <is>
          <t>м3</t>
        </is>
      </c>
      <c r="E195" s="185" t="n">
        <v>0.0113554</v>
      </c>
      <c r="F195" s="164" t="n">
        <v>2.44</v>
      </c>
      <c r="G195" s="14">
        <f>ROUND(F195*E195,2)</f>
        <v/>
      </c>
      <c r="H195" s="158">
        <f>G195/$G$197</f>
        <v/>
      </c>
      <c r="I195" s="14">
        <f>ROUND(F195*Прил.10!$D$12,2)</f>
        <v/>
      </c>
      <c r="J195" s="14">
        <f>ROUND(I195*E195,2)</f>
        <v/>
      </c>
    </row>
    <row r="196" collapsed="1" customFormat="1" s="112">
      <c r="A196" s="146" t="n"/>
      <c r="B196" s="146" t="n"/>
      <c r="C196" s="145" t="inlineStr">
        <is>
          <t>Итого прочие материалы</t>
        </is>
      </c>
      <c r="D196" s="146" t="n"/>
      <c r="E196" s="147" t="n"/>
      <c r="F196" s="148" t="n"/>
      <c r="G196" s="14">
        <f>SUM(G98:G195)+G90</f>
        <v/>
      </c>
      <c r="H196" s="158">
        <f>G196/G197</f>
        <v/>
      </c>
      <c r="I196" s="14" t="n"/>
      <c r="J196" s="14">
        <f>SUM(J90:J195)</f>
        <v/>
      </c>
      <c r="L196" s="191" t="n"/>
    </row>
    <row r="197" ht="14.25" customFormat="1" customHeight="1" s="112">
      <c r="A197" s="146" t="n"/>
      <c r="B197" s="146" t="n"/>
      <c r="C197" s="157" t="inlineStr">
        <is>
          <t>Итого по разделу «Материалы»</t>
        </is>
      </c>
      <c r="D197" s="146" t="n"/>
      <c r="E197" s="147" t="n"/>
      <c r="F197" s="148" t="n"/>
      <c r="G197" s="14">
        <f>G89+G196</f>
        <v/>
      </c>
      <c r="H197" s="158" t="n">
        <v>1</v>
      </c>
      <c r="I197" s="148" t="n"/>
      <c r="J197" s="14">
        <f>J89+J196</f>
        <v/>
      </c>
      <c r="K197" s="188" t="n"/>
    </row>
    <row r="198" ht="14.25" customFormat="1" customHeight="1" s="112">
      <c r="A198" s="146" t="n"/>
      <c r="B198" s="146" t="n"/>
      <c r="C198" s="145" t="inlineStr">
        <is>
          <t>ИТОГО ПО РМ</t>
        </is>
      </c>
      <c r="D198" s="146" t="n"/>
      <c r="E198" s="147" t="n"/>
      <c r="F198" s="148" t="n"/>
      <c r="G198" s="14">
        <f>G14+G38+G197</f>
        <v/>
      </c>
      <c r="H198" s="158" t="n"/>
      <c r="I198" s="148" t="n"/>
      <c r="J198" s="14">
        <f>J14+J38+J197</f>
        <v/>
      </c>
    </row>
    <row r="199" ht="14.25" customFormat="1" customHeight="1" s="112">
      <c r="A199" s="146" t="n"/>
      <c r="B199" s="146" t="n"/>
      <c r="C199" s="145" t="inlineStr">
        <is>
          <t>Накладные расходы</t>
        </is>
      </c>
      <c r="D199" s="146" t="inlineStr">
        <is>
          <t>%</t>
        </is>
      </c>
      <c r="E199" s="43">
        <f>ROUND(G199/(G14+G16),2)</f>
        <v/>
      </c>
      <c r="F199" s="148" t="n"/>
      <c r="G199" s="14" t="n">
        <v>12390.89</v>
      </c>
      <c r="H199" s="158" t="n"/>
      <c r="I199" s="148" t="n"/>
      <c r="J199" s="14">
        <f>ROUND(E199*(J14+J16),2)</f>
        <v/>
      </c>
      <c r="K199" s="44" t="n"/>
    </row>
    <row r="200" ht="14.25" customFormat="1" customHeight="1" s="112">
      <c r="A200" s="146" t="n"/>
      <c r="B200" s="146" t="n"/>
      <c r="C200" s="145" t="inlineStr">
        <is>
          <t>Сметная прибыль</t>
        </is>
      </c>
      <c r="D200" s="146" t="inlineStr">
        <is>
          <t>%</t>
        </is>
      </c>
      <c r="E200" s="43">
        <f>ROUND(G200/(G14+G16),2)</f>
        <v/>
      </c>
      <c r="F200" s="148" t="n"/>
      <c r="G200" s="14" t="n">
        <v>7079.5</v>
      </c>
      <c r="H200" s="158" t="n"/>
      <c r="I200" s="148" t="n"/>
      <c r="J200" s="14">
        <f>ROUND(E200*(J14+J16),2)</f>
        <v/>
      </c>
      <c r="K200" s="44" t="n"/>
    </row>
    <row r="201" ht="14.25" customFormat="1" customHeight="1" s="112">
      <c r="A201" s="146" t="n"/>
      <c r="B201" s="146" t="n"/>
      <c r="C201" s="145" t="inlineStr">
        <is>
          <t>Итого СМР (с НР и СП)</t>
        </is>
      </c>
      <c r="D201" s="146" t="n"/>
      <c r="E201" s="147" t="n"/>
      <c r="F201" s="148" t="n"/>
      <c r="G201" s="14">
        <f>G14+G38+G197+G199+G200</f>
        <v/>
      </c>
      <c r="H201" s="158" t="n"/>
      <c r="I201" s="148" t="n"/>
      <c r="J201" s="14">
        <f>J14+J38+J197+J199+J200</f>
        <v/>
      </c>
      <c r="L201" s="45" t="n"/>
    </row>
    <row r="202" ht="14.25" customFormat="1" customHeight="1" s="112">
      <c r="A202" s="146" t="n"/>
      <c r="B202" s="146" t="n"/>
      <c r="C202" s="145" t="inlineStr">
        <is>
          <t>ВСЕГО СМР + ОБОРУДОВАНИЕ</t>
        </is>
      </c>
      <c r="D202" s="146" t="n"/>
      <c r="E202" s="147" t="n"/>
      <c r="F202" s="148" t="n"/>
      <c r="G202" s="14">
        <f>G201+G60</f>
        <v/>
      </c>
      <c r="H202" s="158" t="n"/>
      <c r="I202" s="148" t="n"/>
      <c r="J202" s="14">
        <f>J201+J60</f>
        <v/>
      </c>
      <c r="L202" s="44" t="n"/>
    </row>
    <row r="203" ht="14.25" customFormat="1" customHeight="1" s="112">
      <c r="A203" s="146" t="n"/>
      <c r="B203" s="146" t="n"/>
      <c r="C203" s="145" t="inlineStr">
        <is>
          <t>ИТОГО ПОКАЗАТЕЛЬ НА ЕД. ИЗМ.</t>
        </is>
      </c>
      <c r="D203" s="146" t="inlineStr">
        <is>
          <t>ед.</t>
        </is>
      </c>
      <c r="E203" s="46" t="n">
        <v>577.25</v>
      </c>
      <c r="F203" s="148" t="n"/>
      <c r="G203" s="14">
        <f>G202/E203</f>
        <v/>
      </c>
      <c r="H203" s="158" t="n"/>
      <c r="I203" s="148" t="n"/>
      <c r="J203" s="14">
        <f>J202/E203</f>
        <v/>
      </c>
      <c r="L203" s="184" t="n"/>
    </row>
    <row r="205" ht="14.25" customFormat="1" customHeight="1" s="112">
      <c r="A205" s="113" t="n"/>
    </row>
    <row r="206" ht="14.25" customFormat="1" customHeight="1" s="112">
      <c r="A206" s="111" t="inlineStr">
        <is>
          <t>Составил ______________________        Е.А. Князева</t>
        </is>
      </c>
    </row>
    <row r="207" ht="14.25" customFormat="1" customHeight="1" s="112">
      <c r="A207" s="114" t="inlineStr">
        <is>
          <t xml:space="preserve">                         (подпись, инициалы, фамилия)</t>
        </is>
      </c>
    </row>
    <row r="208" ht="14.25" customFormat="1" customHeight="1" s="112">
      <c r="A208" s="111" t="n"/>
    </row>
    <row r="209" ht="14.25" customFormat="1" customHeight="1" s="112">
      <c r="A209" s="111" t="inlineStr">
        <is>
          <t>Проверил ______________________        А.В. Костянецкая</t>
        </is>
      </c>
    </row>
    <row r="210" ht="14.25" customFormat="1" customHeight="1" s="112">
      <c r="A210" s="11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63:H6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B62:J62"/>
    <mergeCell ref="A4:H4"/>
    <mergeCell ref="B17:H17"/>
    <mergeCell ref="A9:A10"/>
    <mergeCell ref="B39:J39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8"/>
  <sheetViews>
    <sheetView view="pageBreakPreview" topLeftCell="A28" workbookViewId="0">
      <selection activeCell="J62" sqref="J62"/>
    </sheetView>
  </sheetViews>
  <sheetFormatPr baseColWidth="8" defaultRowHeight="15"/>
  <cols>
    <col width="5.7109375" customWidth="1" style="115" min="1" max="1"/>
    <col width="14.85546875" customWidth="1" style="115" min="2" max="2"/>
    <col width="39.140625" customWidth="1" style="115" min="3" max="3"/>
    <col width="8.28515625" customWidth="1" style="115" min="4" max="4"/>
    <col width="13.5703125" customWidth="1" style="115" min="5" max="5"/>
    <col width="12.42578125" customWidth="1" style="115" min="6" max="6"/>
    <col width="14.140625" customWidth="1" style="115" min="7" max="7"/>
  </cols>
  <sheetData>
    <row r="1">
      <c r="A1" s="165" t="inlineStr">
        <is>
          <t>Приложение №6</t>
        </is>
      </c>
    </row>
    <row r="2">
      <c r="A2" s="165" t="n"/>
      <c r="B2" s="165" t="n"/>
      <c r="C2" s="165" t="n"/>
      <c r="D2" s="165" t="n"/>
      <c r="E2" s="165" t="n"/>
      <c r="F2" s="165" t="n"/>
      <c r="G2" s="165" t="n"/>
    </row>
    <row r="3">
      <c r="A3" s="165" t="n"/>
      <c r="B3" s="165" t="n"/>
      <c r="C3" s="165" t="n"/>
      <c r="D3" s="165" t="n"/>
      <c r="E3" s="165" t="n"/>
      <c r="F3" s="165" t="n"/>
      <c r="G3" s="165" t="n"/>
    </row>
    <row r="4">
      <c r="A4" s="165" t="n"/>
      <c r="B4" s="165" t="n"/>
      <c r="C4" s="165" t="n"/>
      <c r="D4" s="165" t="n"/>
      <c r="E4" s="165" t="n"/>
      <c r="F4" s="165" t="n"/>
      <c r="G4" s="165" t="n"/>
    </row>
    <row r="5">
      <c r="A5" s="142" t="inlineStr">
        <is>
          <t>Расчет стоимости оборудования</t>
        </is>
      </c>
    </row>
    <row r="6" ht="64.5" customHeight="1" s="115">
      <c r="A6" s="167">
        <f>'Прил.1 Сравнит табл'!B7</f>
        <v/>
      </c>
    </row>
    <row r="7">
      <c r="A7" s="111" t="n"/>
      <c r="B7" s="111" t="n"/>
      <c r="C7" s="111" t="n"/>
      <c r="D7" s="111" t="n"/>
      <c r="E7" s="111" t="n"/>
      <c r="F7" s="111" t="n"/>
      <c r="G7" s="111" t="n"/>
    </row>
    <row r="8" ht="30.2" customHeight="1" s="115">
      <c r="A8" s="166" t="inlineStr">
        <is>
          <t>№ пп.</t>
        </is>
      </c>
      <c r="B8" s="166" t="inlineStr">
        <is>
          <t>Код ресурса</t>
        </is>
      </c>
      <c r="C8" s="166" t="inlineStr">
        <is>
          <t>Наименование</t>
        </is>
      </c>
      <c r="D8" s="166" t="inlineStr">
        <is>
          <t>Ед. изм.</t>
        </is>
      </c>
      <c r="E8" s="146" t="inlineStr">
        <is>
          <t>Кол-во единиц по проектным данным</t>
        </is>
      </c>
      <c r="F8" s="166" t="inlineStr">
        <is>
          <t>Сметная стоимость в ценах на 01.01.2000 (руб.)</t>
        </is>
      </c>
      <c r="G8" s="177" t="n"/>
    </row>
    <row r="9">
      <c r="A9" s="179" t="n"/>
      <c r="B9" s="179" t="n"/>
      <c r="C9" s="179" t="n"/>
      <c r="D9" s="179" t="n"/>
      <c r="E9" s="179" t="n"/>
      <c r="F9" s="146" t="inlineStr">
        <is>
          <t>на ед. изм.</t>
        </is>
      </c>
      <c r="G9" s="146" t="inlineStr">
        <is>
          <t>общая</t>
        </is>
      </c>
    </row>
    <row r="10">
      <c r="A10" s="146" t="n">
        <v>1</v>
      </c>
      <c r="B10" s="146" t="n">
        <v>2</v>
      </c>
      <c r="C10" s="146" t="n">
        <v>3</v>
      </c>
      <c r="D10" s="146" t="n">
        <v>4</v>
      </c>
      <c r="E10" s="146" t="n">
        <v>5</v>
      </c>
      <c r="F10" s="146" t="n">
        <v>6</v>
      </c>
      <c r="G10" s="146" t="n">
        <v>7</v>
      </c>
    </row>
    <row r="11" ht="15" customHeight="1" s="115">
      <c r="A11" s="7" t="n"/>
      <c r="B11" s="145" t="inlineStr">
        <is>
          <t>ИНЖЕНЕРНОЕ ОБОРУДОВАНИЕ</t>
        </is>
      </c>
      <c r="C11" s="176" t="n"/>
      <c r="D11" s="176" t="n"/>
      <c r="E11" s="176" t="n"/>
      <c r="F11" s="176" t="n"/>
      <c r="G11" s="177" t="n"/>
    </row>
    <row r="12" ht="27" customHeight="1" s="115">
      <c r="A12" s="146" t="n"/>
      <c r="B12" s="157" t="n"/>
      <c r="C12" s="145" t="inlineStr">
        <is>
          <t>ИТОГО ИНЖЕНЕРНОЕ ОБОРУДОВАНИЕ</t>
        </is>
      </c>
      <c r="D12" s="157" t="n"/>
      <c r="E12" s="8" t="n"/>
      <c r="F12" s="148" t="n"/>
      <c r="G12" s="148" t="n">
        <v>0</v>
      </c>
    </row>
    <row r="13">
      <c r="A13" s="146" t="n"/>
      <c r="B13" s="145" t="inlineStr">
        <is>
          <t>ТЕХНОЛОГИЧЕСКОЕ ОБОРУДОВАНИЕ</t>
        </is>
      </c>
      <c r="C13" s="176" t="n"/>
      <c r="D13" s="176" t="n"/>
      <c r="E13" s="176" t="n"/>
      <c r="F13" s="176" t="n"/>
      <c r="G13" s="177" t="n"/>
    </row>
    <row r="14" ht="25.5" customHeight="1" s="115">
      <c r="A14" s="146" t="n">
        <v>1</v>
      </c>
      <c r="B14" s="46">
        <f>'Прил.5 Расчет СМР и ОБ'!B41</f>
        <v/>
      </c>
      <c r="C14" s="89">
        <f>'Прил.5 Расчет СМР и ОБ'!C41</f>
        <v/>
      </c>
      <c r="D14" s="46">
        <f>'Прил.5 Расчет СМР и ОБ'!D41</f>
        <v/>
      </c>
      <c r="E14" s="46">
        <f>'Прил.5 Расчет СМР и ОБ'!E41</f>
        <v/>
      </c>
      <c r="F14" s="14">
        <f>'Прил.5 Расчет СМР и ОБ'!F41</f>
        <v/>
      </c>
      <c r="G14" s="14">
        <f>ROUND(E14*F14,2)</f>
        <v/>
      </c>
    </row>
    <row r="15" ht="38.25" customHeight="1" s="115">
      <c r="A15" s="146" t="n">
        <v>2</v>
      </c>
      <c r="B15" s="46">
        <f>'Прил.5 Расчет СМР и ОБ'!B42</f>
        <v/>
      </c>
      <c r="C15" s="89">
        <f>'Прил.5 Расчет СМР и ОБ'!C42</f>
        <v/>
      </c>
      <c r="D15" s="46">
        <f>'Прил.5 Расчет СМР и ОБ'!D42</f>
        <v/>
      </c>
      <c r="E15" s="46">
        <f>'Прил.5 Расчет СМР и ОБ'!E42</f>
        <v/>
      </c>
      <c r="F15" s="14">
        <f>'Прил.5 Расчет СМР и ОБ'!F42</f>
        <v/>
      </c>
      <c r="G15" s="14">
        <f>ROUND(E15*F15,2)</f>
        <v/>
      </c>
    </row>
    <row r="16" ht="25.5" customHeight="1" s="115">
      <c r="A16" s="146" t="n">
        <v>3</v>
      </c>
      <c r="B16" s="46">
        <f>'Прил.5 Расчет СМР и ОБ'!B43</f>
        <v/>
      </c>
      <c r="C16" s="89">
        <f>'Прил.5 Расчет СМР и ОБ'!C43</f>
        <v/>
      </c>
      <c r="D16" s="46">
        <f>'Прил.5 Расчет СМР и ОБ'!D43</f>
        <v/>
      </c>
      <c r="E16" s="46">
        <f>'Прил.5 Расчет СМР и ОБ'!E43</f>
        <v/>
      </c>
      <c r="F16" s="14">
        <f>'Прил.5 Расчет СМР и ОБ'!F43</f>
        <v/>
      </c>
      <c r="G16" s="14">
        <f>ROUND(E16*F16,2)</f>
        <v/>
      </c>
    </row>
    <row r="17" ht="25.5" customHeight="1" s="115">
      <c r="A17" s="146" t="n">
        <v>4</v>
      </c>
      <c r="B17" s="46">
        <f>'Прил.5 Расчет СМР и ОБ'!B44</f>
        <v/>
      </c>
      <c r="C17" s="89">
        <f>'Прил.5 Расчет СМР и ОБ'!C44</f>
        <v/>
      </c>
      <c r="D17" s="46">
        <f>'Прил.5 Расчет СМР и ОБ'!D44</f>
        <v/>
      </c>
      <c r="E17" s="46">
        <f>'Прил.5 Расчет СМР и ОБ'!E44</f>
        <v/>
      </c>
      <c r="F17" s="14">
        <f>'Прил.5 Расчет СМР и ОБ'!F44</f>
        <v/>
      </c>
      <c r="G17" s="14">
        <f>ROUND(E17*F17,2)</f>
        <v/>
      </c>
    </row>
    <row r="18" ht="25.5" customHeight="1" s="115">
      <c r="A18" s="146" t="n">
        <v>5</v>
      </c>
      <c r="B18" s="46">
        <f>'Прил.5 Расчет СМР и ОБ'!B45</f>
        <v/>
      </c>
      <c r="C18" s="89">
        <f>'Прил.5 Расчет СМР и ОБ'!C45</f>
        <v/>
      </c>
      <c r="D18" s="46">
        <f>'Прил.5 Расчет СМР и ОБ'!D45</f>
        <v/>
      </c>
      <c r="E18" s="46">
        <f>'Прил.5 Расчет СМР и ОБ'!E45</f>
        <v/>
      </c>
      <c r="F18" s="14">
        <f>'Прил.5 Расчет СМР и ОБ'!F45</f>
        <v/>
      </c>
      <c r="G18" s="14">
        <f>ROUND(E18*F18,2)</f>
        <v/>
      </c>
    </row>
    <row r="19" ht="25.5" customHeight="1" s="115">
      <c r="A19" s="146" t="n">
        <v>6</v>
      </c>
      <c r="B19" s="46">
        <f>'Прил.5 Расчет СМР и ОБ'!B47</f>
        <v/>
      </c>
      <c r="C19" s="89">
        <f>'Прил.5 Расчет СМР и ОБ'!C47</f>
        <v/>
      </c>
      <c r="D19" s="46">
        <f>'Прил.5 Расчет СМР и ОБ'!D47</f>
        <v/>
      </c>
      <c r="E19" s="46">
        <f>'Прил.5 Расчет СМР и ОБ'!E47</f>
        <v/>
      </c>
      <c r="F19" s="14">
        <f>'Прил.5 Расчет СМР и ОБ'!F47</f>
        <v/>
      </c>
      <c r="G19" s="14">
        <f>ROUND(E19*F19,2)</f>
        <v/>
      </c>
    </row>
    <row r="20" ht="38.25" customHeight="1" s="115">
      <c r="A20" s="146" t="n">
        <v>7</v>
      </c>
      <c r="B20" s="46">
        <f>'Прил.5 Расчет СМР и ОБ'!B48</f>
        <v/>
      </c>
      <c r="C20" s="89">
        <f>'Прил.5 Расчет СМР и ОБ'!C48</f>
        <v/>
      </c>
      <c r="D20" s="46">
        <f>'Прил.5 Расчет СМР и ОБ'!D48</f>
        <v/>
      </c>
      <c r="E20" s="46">
        <f>'Прил.5 Расчет СМР и ОБ'!E48</f>
        <v/>
      </c>
      <c r="F20" s="14">
        <f>'Прил.5 Расчет СМР и ОБ'!F48</f>
        <v/>
      </c>
      <c r="G20" s="14">
        <f>ROUND(E20*F20,2)</f>
        <v/>
      </c>
    </row>
    <row r="21" ht="38.25" customHeight="1" s="115">
      <c r="A21" s="146" t="n">
        <v>8</v>
      </c>
      <c r="B21" s="46">
        <f>'Прил.5 Расчет СМР и ОБ'!B49</f>
        <v/>
      </c>
      <c r="C21" s="89">
        <f>'Прил.5 Расчет СМР и ОБ'!C49</f>
        <v/>
      </c>
      <c r="D21" s="46">
        <f>'Прил.5 Расчет СМР и ОБ'!D49</f>
        <v/>
      </c>
      <c r="E21" s="46">
        <f>'Прил.5 Расчет СМР и ОБ'!E49</f>
        <v/>
      </c>
      <c r="F21" s="14">
        <f>'Прил.5 Расчет СМР и ОБ'!F49</f>
        <v/>
      </c>
      <c r="G21" s="14">
        <f>ROUND(E21*F21,2)</f>
        <v/>
      </c>
    </row>
    <row r="22" ht="38.25" customHeight="1" s="115">
      <c r="A22" s="146" t="n">
        <v>9</v>
      </c>
      <c r="B22" s="46">
        <f>'Прил.5 Расчет СМР и ОБ'!B50</f>
        <v/>
      </c>
      <c r="C22" s="89">
        <f>'Прил.5 Расчет СМР и ОБ'!C50</f>
        <v/>
      </c>
      <c r="D22" s="46">
        <f>'Прил.5 Расчет СМР и ОБ'!D50</f>
        <v/>
      </c>
      <c r="E22" s="46">
        <f>'Прил.5 Расчет СМР и ОБ'!E50</f>
        <v/>
      </c>
      <c r="F22" s="14">
        <f>'Прил.5 Расчет СМР и ОБ'!F50</f>
        <v/>
      </c>
      <c r="G22" s="14">
        <f>ROUND(E22*F22,2)</f>
        <v/>
      </c>
    </row>
    <row r="23" ht="25.5" customHeight="1" s="115">
      <c r="A23" s="146" t="n">
        <v>10</v>
      </c>
      <c r="B23" s="46">
        <f>'Прил.5 Расчет СМР и ОБ'!B51</f>
        <v/>
      </c>
      <c r="C23" s="89">
        <f>'Прил.5 Расчет СМР и ОБ'!C51</f>
        <v/>
      </c>
      <c r="D23" s="46">
        <f>'Прил.5 Расчет СМР и ОБ'!D51</f>
        <v/>
      </c>
      <c r="E23" s="46">
        <f>'Прил.5 Расчет СМР и ОБ'!E51</f>
        <v/>
      </c>
      <c r="F23" s="14">
        <f>'Прил.5 Расчет СМР и ОБ'!F51</f>
        <v/>
      </c>
      <c r="G23" s="14">
        <f>ROUND(E23*F23,2)</f>
        <v/>
      </c>
    </row>
    <row r="24" ht="38.25" customHeight="1" s="115">
      <c r="A24" s="146" t="n">
        <v>11</v>
      </c>
      <c r="B24" s="46">
        <f>'Прил.5 Расчет СМР и ОБ'!B52</f>
        <v/>
      </c>
      <c r="C24" s="89">
        <f>'Прил.5 Расчет СМР и ОБ'!C52</f>
        <v/>
      </c>
      <c r="D24" s="46">
        <f>'Прил.5 Расчет СМР и ОБ'!D52</f>
        <v/>
      </c>
      <c r="E24" s="46">
        <f>'Прил.5 Расчет СМР и ОБ'!E52</f>
        <v/>
      </c>
      <c r="F24" s="14">
        <f>'Прил.5 Расчет СМР и ОБ'!F52</f>
        <v/>
      </c>
      <c r="G24" s="14">
        <f>ROUND(E24*F24,2)</f>
        <v/>
      </c>
    </row>
    <row r="25" ht="38.25" customHeight="1" s="115">
      <c r="A25" s="146" t="n">
        <v>12</v>
      </c>
      <c r="B25" s="46">
        <f>'Прил.5 Расчет СМР и ОБ'!B53</f>
        <v/>
      </c>
      <c r="C25" s="89">
        <f>'Прил.5 Расчет СМР и ОБ'!C53</f>
        <v/>
      </c>
      <c r="D25" s="46">
        <f>'Прил.5 Расчет СМР и ОБ'!D53</f>
        <v/>
      </c>
      <c r="E25" s="46">
        <f>'Прил.5 Расчет СМР и ОБ'!E53</f>
        <v/>
      </c>
      <c r="F25" s="14">
        <f>'Прил.5 Расчет СМР и ОБ'!F53</f>
        <v/>
      </c>
      <c r="G25" s="14">
        <f>ROUND(E25*F25,2)</f>
        <v/>
      </c>
    </row>
    <row r="26" ht="38.25" customHeight="1" s="115">
      <c r="A26" s="146" t="n">
        <v>13</v>
      </c>
      <c r="B26" s="46">
        <f>'Прил.5 Расчет СМР и ОБ'!B54</f>
        <v/>
      </c>
      <c r="C26" s="89">
        <f>'Прил.5 Расчет СМР и ОБ'!C54</f>
        <v/>
      </c>
      <c r="D26" s="46">
        <f>'Прил.5 Расчет СМР и ОБ'!D54</f>
        <v/>
      </c>
      <c r="E26" s="46">
        <f>'Прил.5 Расчет СМР и ОБ'!E54</f>
        <v/>
      </c>
      <c r="F26" s="14">
        <f>'Прил.5 Расчет СМР и ОБ'!F54</f>
        <v/>
      </c>
      <c r="G26" s="14">
        <f>ROUND(E26*F26,2)</f>
        <v/>
      </c>
    </row>
    <row r="27" ht="38.25" customHeight="1" s="115">
      <c r="A27" s="146" t="n">
        <v>14</v>
      </c>
      <c r="B27" s="46">
        <f>'Прил.5 Расчет СМР и ОБ'!B55</f>
        <v/>
      </c>
      <c r="C27" s="89">
        <f>'Прил.5 Расчет СМР и ОБ'!C55</f>
        <v/>
      </c>
      <c r="D27" s="46">
        <f>'Прил.5 Расчет СМР и ОБ'!D55</f>
        <v/>
      </c>
      <c r="E27" s="46">
        <f>'Прил.5 Расчет СМР и ОБ'!E55</f>
        <v/>
      </c>
      <c r="F27" s="14">
        <f>'Прил.5 Расчет СМР и ОБ'!F55</f>
        <v/>
      </c>
      <c r="G27" s="14">
        <f>ROUND(E27*F27,2)</f>
        <v/>
      </c>
    </row>
    <row r="28" ht="25.5" customHeight="1" s="115">
      <c r="A28" s="146" t="n">
        <v>15</v>
      </c>
      <c r="B28" s="46">
        <f>'Прил.5 Расчет СМР и ОБ'!B56</f>
        <v/>
      </c>
      <c r="C28" s="89">
        <f>'Прил.5 Расчет СМР и ОБ'!C56</f>
        <v/>
      </c>
      <c r="D28" s="46">
        <f>'Прил.5 Расчет СМР и ОБ'!D56</f>
        <v/>
      </c>
      <c r="E28" s="46">
        <f>'Прил.5 Расчет СМР и ОБ'!E56</f>
        <v/>
      </c>
      <c r="F28" s="14">
        <f>'Прил.5 Расчет СМР и ОБ'!F56</f>
        <v/>
      </c>
      <c r="G28" s="14">
        <f>ROUND(E28*F28,2)</f>
        <v/>
      </c>
    </row>
    <row r="29" ht="25.5" customHeight="1" s="115">
      <c r="A29" s="146" t="n">
        <v>16</v>
      </c>
      <c r="B29" s="46">
        <f>'Прил.5 Расчет СМР и ОБ'!B57</f>
        <v/>
      </c>
      <c r="C29" s="89">
        <f>'Прил.5 Расчет СМР и ОБ'!C57</f>
        <v/>
      </c>
      <c r="D29" s="46">
        <f>'Прил.5 Расчет СМР и ОБ'!D57</f>
        <v/>
      </c>
      <c r="E29" s="46">
        <f>'Прил.5 Расчет СМР и ОБ'!E57</f>
        <v/>
      </c>
      <c r="F29" s="14">
        <f>'Прил.5 Расчет СМР и ОБ'!F57</f>
        <v/>
      </c>
      <c r="G29" s="14">
        <f>ROUND(E29*F29,2)</f>
        <v/>
      </c>
    </row>
    <row r="30" ht="25.5" customHeight="1" s="115">
      <c r="A30" s="146" t="n">
        <v>17</v>
      </c>
      <c r="B30" s="46">
        <f>'Прил.5 Расчет СМР и ОБ'!B58</f>
        <v/>
      </c>
      <c r="C30" s="89">
        <f>'Прил.5 Расчет СМР и ОБ'!C58</f>
        <v/>
      </c>
      <c r="D30" s="46">
        <f>'Прил.5 Расчет СМР и ОБ'!D58</f>
        <v/>
      </c>
      <c r="E30" s="46">
        <f>'Прил.5 Расчет СМР и ОБ'!E58</f>
        <v/>
      </c>
      <c r="F30" s="14">
        <f>'Прил.5 Расчет СМР и ОБ'!F58</f>
        <v/>
      </c>
      <c r="G30" s="14">
        <f>ROUND(E30*F30,2)</f>
        <v/>
      </c>
    </row>
    <row r="31" ht="25.5" customHeight="1" s="115">
      <c r="A31" s="146" t="n"/>
      <c r="B31" s="12" t="n"/>
      <c r="C31" s="12" t="inlineStr">
        <is>
          <t>ИТОГО ТЕХНОЛОГИЧЕСКОЕ ОБОРУДОВАНИЕ</t>
        </is>
      </c>
      <c r="D31" s="12" t="n"/>
      <c r="E31" s="13" t="n"/>
      <c r="F31" s="148" t="n"/>
      <c r="G31" s="14">
        <f>SUM(G14:G30)</f>
        <v/>
      </c>
    </row>
    <row r="32" ht="19.5" customHeight="1" s="115">
      <c r="A32" s="146" t="n"/>
      <c r="B32" s="145" t="n"/>
      <c r="C32" s="145" t="inlineStr">
        <is>
          <t>Всего по разделу «Оборудование»</t>
        </is>
      </c>
      <c r="D32" s="145" t="n"/>
      <c r="E32" s="164" t="n"/>
      <c r="F32" s="148" t="n"/>
      <c r="G32" s="14">
        <f>G12+G31</f>
        <v/>
      </c>
    </row>
    <row r="33">
      <c r="A33" s="113" t="n"/>
      <c r="B33" s="11" t="n"/>
      <c r="C33" s="113" t="n"/>
      <c r="D33" s="113" t="n"/>
      <c r="E33" s="113" t="n"/>
      <c r="F33" s="113" t="n"/>
      <c r="G33" s="113" t="n"/>
    </row>
    <row r="34">
      <c r="A34" s="111" t="inlineStr">
        <is>
          <t>Составил ______________________        Е.А. Князева</t>
        </is>
      </c>
      <c r="B34" s="112" t="n"/>
      <c r="C34" s="112" t="n"/>
      <c r="D34" s="113" t="n"/>
      <c r="E34" s="113" t="n"/>
      <c r="F34" s="113" t="n"/>
      <c r="G34" s="113" t="n"/>
    </row>
    <row r="35">
      <c r="A35" s="114" t="inlineStr">
        <is>
          <t xml:space="preserve">                         (подпись, инициалы, фамилия)</t>
        </is>
      </c>
      <c r="B35" s="112" t="n"/>
      <c r="C35" s="112" t="n"/>
      <c r="D35" s="113" t="n"/>
      <c r="E35" s="113" t="n"/>
      <c r="F35" s="113" t="n"/>
      <c r="G35" s="113" t="n"/>
    </row>
    <row r="36">
      <c r="A36" s="111" t="n"/>
      <c r="B36" s="112" t="n"/>
      <c r="C36" s="112" t="n"/>
      <c r="D36" s="113" t="n"/>
      <c r="E36" s="113" t="n"/>
      <c r="F36" s="113" t="n"/>
      <c r="G36" s="113" t="n"/>
    </row>
    <row r="37">
      <c r="A37" s="111" t="inlineStr">
        <is>
          <t>Проверил ______________________        А.В. Костянецкая</t>
        </is>
      </c>
      <c r="B37" s="112" t="n"/>
      <c r="C37" s="112" t="n"/>
      <c r="D37" s="113" t="n"/>
      <c r="E37" s="113" t="n"/>
      <c r="F37" s="113" t="n"/>
      <c r="G37" s="113" t="n"/>
    </row>
    <row r="38">
      <c r="A38" s="114" t="inlineStr">
        <is>
          <t xml:space="preserve">                        (подпись, инициалы, фамилия)</t>
        </is>
      </c>
      <c r="B38" s="112" t="n"/>
      <c r="C38" s="112" t="n"/>
      <c r="D38" s="113" t="n"/>
      <c r="E38" s="113" t="n"/>
      <c r="F38" s="113" t="n"/>
      <c r="G38" s="11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style="115" min="1" max="1"/>
    <col width="16.42578125" customWidth="1" style="115" min="2" max="2"/>
    <col width="37.140625" customWidth="1" style="115" min="3" max="3"/>
    <col width="49" customWidth="1" style="115" min="4" max="4"/>
    <col width="9.140625" customWidth="1" style="115" min="5" max="5"/>
  </cols>
  <sheetData>
    <row r="1" ht="15.75" customHeight="1" s="115">
      <c r="A1" s="117" t="n"/>
      <c r="B1" s="117" t="n"/>
      <c r="C1" s="117" t="n"/>
      <c r="D1" s="117" t="inlineStr">
        <is>
          <t>Приложение №7</t>
        </is>
      </c>
    </row>
    <row r="2" ht="15.75" customHeight="1" s="115">
      <c r="A2" s="117" t="n"/>
      <c r="B2" s="117" t="n"/>
      <c r="C2" s="117" t="n"/>
      <c r="D2" s="117" t="n"/>
    </row>
    <row r="3" ht="15.75" customHeight="1" s="115">
      <c r="A3" s="117" t="n"/>
      <c r="B3" s="106" t="inlineStr">
        <is>
          <t>Расчет показателя УНЦ</t>
        </is>
      </c>
      <c r="C3" s="117" t="n"/>
      <c r="D3" s="117" t="n"/>
    </row>
    <row r="4" ht="15.75" customHeight="1" s="115">
      <c r="A4" s="117" t="n"/>
      <c r="B4" s="117" t="n"/>
      <c r="C4" s="117" t="n"/>
      <c r="D4" s="117" t="n"/>
    </row>
    <row r="5" ht="15.75" customHeight="1" s="115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 s="115">
      <c r="A6" s="117" t="inlineStr">
        <is>
          <t>Единица измерения  — м2</t>
        </is>
      </c>
      <c r="B6" s="117" t="n"/>
      <c r="C6" s="117" t="n"/>
      <c r="D6" s="117" t="n"/>
    </row>
    <row r="7" ht="15.75" customHeight="1" s="115">
      <c r="A7" s="117" t="n"/>
      <c r="B7" s="117" t="n"/>
      <c r="C7" s="117" t="n"/>
      <c r="D7" s="117" t="n"/>
    </row>
    <row r="8">
      <c r="A8" s="138" t="inlineStr">
        <is>
          <t>Код показателя</t>
        </is>
      </c>
      <c r="B8" s="138" t="inlineStr">
        <is>
          <t>Наименование показателя</t>
        </is>
      </c>
      <c r="C8" s="138" t="inlineStr">
        <is>
          <t>Наименование РМ, входящих в состав показателя</t>
        </is>
      </c>
      <c r="D8" s="138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 s="115">
      <c r="A10" s="138" t="n">
        <v>1</v>
      </c>
      <c r="B10" s="138" t="n">
        <v>2</v>
      </c>
      <c r="C10" s="138" t="n">
        <v>3</v>
      </c>
      <c r="D10" s="138" t="n">
        <v>4</v>
      </c>
    </row>
    <row r="11" ht="47.25" customHeight="1" s="115">
      <c r="A11" s="138" t="inlineStr">
        <is>
          <t>И16-03</t>
        </is>
      </c>
      <c r="B11" s="138" t="inlineStr">
        <is>
          <t>УНЦ инжененых систем зданий</t>
        </is>
      </c>
      <c r="C11" s="109">
        <f>D5</f>
        <v/>
      </c>
      <c r="D11" s="123">
        <f>'Прил.4 РМ'!C41/1000</f>
        <v/>
      </c>
    </row>
    <row r="13">
      <c r="A13" s="111" t="inlineStr">
        <is>
          <t>Составил ______________________       Е.А. Князева</t>
        </is>
      </c>
      <c r="B13" s="112" t="n"/>
      <c r="C13" s="112" t="n"/>
      <c r="D13" s="113" t="n"/>
    </row>
    <row r="14">
      <c r="A14" s="114" t="inlineStr">
        <is>
          <t xml:space="preserve">                         (подпись, инициалы, фамилия)</t>
        </is>
      </c>
      <c r="B14" s="112" t="n"/>
      <c r="C14" s="112" t="n"/>
      <c r="D14" s="113" t="n"/>
    </row>
    <row r="15">
      <c r="A15" s="111" t="n"/>
      <c r="B15" s="112" t="n"/>
      <c r="C15" s="112" t="n"/>
      <c r="D15" s="113" t="n"/>
    </row>
    <row r="16">
      <c r="A16" s="111" t="inlineStr">
        <is>
          <t>Проверил ______________________        А.В. Костянецкая</t>
        </is>
      </c>
      <c r="B16" s="112" t="n"/>
      <c r="C16" s="112" t="n"/>
      <c r="D16" s="113" t="n"/>
    </row>
    <row r="17">
      <c r="A17" s="114" t="inlineStr">
        <is>
          <t xml:space="preserve">                        (подпись, инициалы, фамилия)</t>
        </is>
      </c>
      <c r="B17" s="112" t="n"/>
      <c r="C17" s="112" t="n"/>
      <c r="D17" s="1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100" workbookViewId="0">
      <selection activeCell="B21" sqref="B21"/>
    </sheetView>
  </sheetViews>
  <sheetFormatPr baseColWidth="8" defaultRowHeight="15"/>
  <cols>
    <col width="40.7109375" customWidth="1" style="115" min="2" max="2"/>
    <col width="37" customWidth="1" style="115" min="3" max="3"/>
    <col width="32" customWidth="1" style="115" min="4" max="4"/>
  </cols>
  <sheetData>
    <row r="4" ht="15.75" customHeight="1" s="115">
      <c r="B4" s="134" t="inlineStr">
        <is>
          <t>Приложение № 10</t>
        </is>
      </c>
    </row>
    <row r="5" ht="18.75" customHeight="1" s="115">
      <c r="B5" s="20" t="n"/>
    </row>
    <row r="6" ht="15.75" customHeight="1" s="115">
      <c r="B6" s="135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 s="115">
      <c r="B8" s="138" t="inlineStr">
        <is>
          <t>Наименование индекса / норм сопутствующих затрат</t>
        </is>
      </c>
      <c r="C8" s="138" t="inlineStr">
        <is>
          <t>Дата применения и обоснование индекса / норм сопутствующих затрат</t>
        </is>
      </c>
      <c r="D8" s="138" t="inlineStr">
        <is>
          <t>Размер индекса / норма сопутствующих затрат</t>
        </is>
      </c>
    </row>
    <row r="9" ht="15.75" customHeight="1" s="115">
      <c r="B9" s="138" t="n">
        <v>1</v>
      </c>
      <c r="C9" s="138" t="n">
        <v>2</v>
      </c>
      <c r="D9" s="138" t="n">
        <v>3</v>
      </c>
    </row>
    <row r="10" ht="31.5" customHeight="1" s="115">
      <c r="B10" s="138" t="inlineStr">
        <is>
          <t xml:space="preserve">Индекс изменения сметной стоимости на 1 квартал 2023 года. ОЗП </t>
        </is>
      </c>
      <c r="C10" s="138" t="inlineStr">
        <is>
          <t>Письмо Минстроя России от 30.03.2023г. №17106-ИФ/09  прил.1</t>
        </is>
      </c>
      <c r="D10" s="138" t="n">
        <v>44.29</v>
      </c>
    </row>
    <row r="11" ht="31.5" customHeight="1" s="115">
      <c r="B11" s="138" t="inlineStr">
        <is>
          <t>Индекс изменения сметной стоимости на 1 квартал 2023 года. ЭМ</t>
        </is>
      </c>
      <c r="C11" s="138" t="inlineStr">
        <is>
          <t>Письмо Минстроя России от 30.03.2023г. №17106-ИФ/09  прил.1</t>
        </is>
      </c>
      <c r="D11" s="138" t="n">
        <v>13.47</v>
      </c>
    </row>
    <row r="12" ht="31.5" customHeight="1" s="115">
      <c r="B12" s="138" t="inlineStr">
        <is>
          <t>Индекс изменения сметной стоимости на 1 квартал 2023 года. МАТ</t>
        </is>
      </c>
      <c r="C12" s="138" t="inlineStr">
        <is>
          <t>Письмо Минстроя России от 30.03.2023г. №17106-ИФ/09  прил.1</t>
        </is>
      </c>
      <c r="D12" s="138" t="n">
        <v>8.039999999999999</v>
      </c>
    </row>
    <row r="13" ht="31.5" customHeight="1" s="115">
      <c r="B13" s="138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38" t="n">
        <v>6.26</v>
      </c>
    </row>
    <row r="14" ht="78.75" customHeight="1" s="115">
      <c r="B14" s="138" t="inlineStr">
        <is>
          <t>Временные здания и сооружения</t>
        </is>
      </c>
      <c r="C14" s="13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15">
      <c r="B15" s="138" t="inlineStr">
        <is>
          <t>Дополнительные затраты при производстве строительно-монтажных работ в зимнее время</t>
        </is>
      </c>
      <c r="C15" s="13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15">
      <c r="B16" s="138" t="inlineStr">
        <is>
          <t xml:space="preserve">Пусконаладочные работы </t>
        </is>
      </c>
      <c r="C16" s="138" t="n"/>
      <c r="D16" s="138" t="n"/>
    </row>
    <row r="17" ht="31.5" customHeight="1" s="115">
      <c r="B17" s="138" t="inlineStr">
        <is>
          <t>Строительный контроль</t>
        </is>
      </c>
      <c r="C17" s="138" t="inlineStr">
        <is>
          <t>Постановление Правительства РФ от 21.06.10 г. № 468</t>
        </is>
      </c>
      <c r="D17" s="24" t="n">
        <v>0.0214</v>
      </c>
    </row>
    <row r="18" ht="31.7" customHeight="1" s="115">
      <c r="B18" s="138" t="inlineStr">
        <is>
          <t>Авторский надзор - 0,2%</t>
        </is>
      </c>
      <c r="C18" s="138" t="inlineStr">
        <is>
          <t>Приказ от 4.08.2020 № 421/пр п.173</t>
        </is>
      </c>
      <c r="D18" s="24" t="n">
        <v>0.002</v>
      </c>
    </row>
    <row r="19" ht="24" customHeight="1" s="115">
      <c r="B19" s="138" t="inlineStr">
        <is>
          <t>Непредвиденные расходы</t>
        </is>
      </c>
      <c r="C19" s="138" t="inlineStr">
        <is>
          <t>Приказ от 4.08.2020 № 421/пр п.179</t>
        </is>
      </c>
      <c r="D19" s="24" t="n">
        <v>0.03</v>
      </c>
    </row>
    <row r="20" ht="18.75" customHeight="1" s="115">
      <c r="B20" s="21" t="n"/>
    </row>
    <row r="21" ht="18.75" customHeight="1" s="115">
      <c r="B21" s="21" t="n"/>
    </row>
    <row r="22" ht="18.75" customHeight="1" s="115">
      <c r="B22" s="21" t="n"/>
    </row>
    <row r="23" ht="18.75" customHeight="1" s="115">
      <c r="B23" s="21" t="n"/>
    </row>
    <row r="26">
      <c r="B26" s="111" t="inlineStr">
        <is>
          <t>Составил ______________________        Е.А. Князева</t>
        </is>
      </c>
      <c r="C26" s="112" t="n"/>
    </row>
    <row r="27">
      <c r="B27" s="114" t="inlineStr">
        <is>
          <t xml:space="preserve">                         (подпись, инициалы, фамилия)</t>
        </is>
      </c>
      <c r="C27" s="112" t="n"/>
    </row>
    <row r="28">
      <c r="B28" s="111" t="n"/>
      <c r="C28" s="112" t="n"/>
    </row>
    <row r="29">
      <c r="B29" s="111" t="inlineStr">
        <is>
          <t>Проверил ______________________        А.В. Костянецкая</t>
        </is>
      </c>
      <c r="C29" s="112" t="n"/>
    </row>
    <row r="30">
      <c r="B30" s="114" t="inlineStr">
        <is>
          <t xml:space="preserve">                        (подпись, инициалы, фамилия)</t>
        </is>
      </c>
      <c r="C30" s="1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5" min="2" max="2"/>
    <col width="13" customWidth="1" style="115" min="3" max="3"/>
    <col width="22.85546875" customWidth="1" style="115" min="4" max="4"/>
    <col width="21.5703125" customWidth="1" style="115" min="5" max="5"/>
    <col width="43.85546875" customWidth="1" style="115" min="6" max="6"/>
  </cols>
  <sheetData>
    <row r="1" s="115"/>
    <row r="2" ht="17.25" customHeight="1" s="115">
      <c r="A2" s="135" t="inlineStr">
        <is>
          <t>Расчет размера средств на оплату труда рабочих-строителей в текущем уровне цен (ФОТр.тек.)</t>
        </is>
      </c>
    </row>
    <row r="3" s="115"/>
    <row r="4" ht="18" customHeight="1" s="115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 s="115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 s="115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 s="115">
      <c r="A7" s="119" t="inlineStr">
        <is>
          <t>1.1</t>
        </is>
      </c>
      <c r="B7" s="1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8" t="inlineStr">
        <is>
          <t>С1ср</t>
        </is>
      </c>
      <c r="D7" s="138" t="inlineStr">
        <is>
          <t>-</t>
        </is>
      </c>
      <c r="E7" s="122" t="n">
        <v>47872.94</v>
      </c>
      <c r="F7" s="1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 s="115">
      <c r="A8" s="119" t="inlineStr">
        <is>
          <t>1.2</t>
        </is>
      </c>
      <c r="B8" s="124" t="inlineStr">
        <is>
          <t>Среднегодовое нормативное число часов работы одного рабочего в месяц, часы (ч.)</t>
        </is>
      </c>
      <c r="C8" s="138" t="inlineStr">
        <is>
          <t>tср</t>
        </is>
      </c>
      <c r="D8" s="138" t="inlineStr">
        <is>
          <t>1973ч/12мес.</t>
        </is>
      </c>
      <c r="E8" s="123">
        <f>1973/12</f>
        <v/>
      </c>
      <c r="F8" s="124" t="inlineStr">
        <is>
          <t>Производственный календарь 2023 год
(40-часов.неделя)</t>
        </is>
      </c>
      <c r="G8" s="126" t="n"/>
    </row>
    <row r="9" ht="15.75" customHeight="1" s="115">
      <c r="A9" s="119" t="inlineStr">
        <is>
          <t>1.3</t>
        </is>
      </c>
      <c r="B9" s="124" t="inlineStr">
        <is>
          <t>Коэффициент увеличения</t>
        </is>
      </c>
      <c r="C9" s="138" t="inlineStr">
        <is>
          <t>Кув</t>
        </is>
      </c>
      <c r="D9" s="138" t="inlineStr">
        <is>
          <t>-</t>
        </is>
      </c>
      <c r="E9" s="123" t="n">
        <v>1</v>
      </c>
      <c r="F9" s="124" t="n"/>
      <c r="G9" s="126" t="n"/>
    </row>
    <row r="10" ht="15.75" customHeight="1" s="115">
      <c r="A10" s="119" t="inlineStr">
        <is>
          <t>1.4</t>
        </is>
      </c>
      <c r="B10" s="124" t="inlineStr">
        <is>
          <t>Средний разряд работ</t>
        </is>
      </c>
      <c r="C10" s="138" t="n"/>
      <c r="D10" s="138" t="n"/>
      <c r="E10" s="194" t="n">
        <v>3.4</v>
      </c>
      <c r="F10" s="124" t="inlineStr">
        <is>
          <t>РТМ</t>
        </is>
      </c>
      <c r="G10" s="126" t="n"/>
    </row>
    <row r="11" ht="78.75" customHeight="1" s="115">
      <c r="A11" s="119" t="inlineStr">
        <is>
          <t>1.5</t>
        </is>
      </c>
      <c r="B11" s="124" t="inlineStr">
        <is>
          <t>Тарифный коэффициент среднего разряда работ</t>
        </is>
      </c>
      <c r="C11" s="138" t="inlineStr">
        <is>
          <t>КТ</t>
        </is>
      </c>
      <c r="D11" s="138" t="inlineStr">
        <is>
          <t>-</t>
        </is>
      </c>
      <c r="E11" s="195" t="n">
        <v>1.247</v>
      </c>
      <c r="F11" s="1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 s="115">
      <c r="A12" s="119" t="inlineStr">
        <is>
          <t>1.6</t>
        </is>
      </c>
      <c r="B12" s="129" t="inlineStr">
        <is>
          <t>Коэффициент инфляции, определяемый поквартально</t>
        </is>
      </c>
      <c r="C12" s="138" t="inlineStr">
        <is>
          <t>Кинф</t>
        </is>
      </c>
      <c r="D12" s="138" t="inlineStr">
        <is>
          <t>-</t>
        </is>
      </c>
      <c r="E12" s="196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n"/>
    </row>
    <row r="13" ht="63" customHeight="1" s="115">
      <c r="A13" s="170" t="inlineStr">
        <is>
          <t>1.7</t>
        </is>
      </c>
      <c r="B13" s="171" t="inlineStr">
        <is>
          <t>Размер средств на оплату труда рабочих-строителей в текущем уровне цен (ФОТр.тек.), руб/чел.-ч</t>
        </is>
      </c>
      <c r="C13" s="172" t="inlineStr">
        <is>
          <t>ФОТр.тек.</t>
        </is>
      </c>
      <c r="D13" s="172" t="inlineStr">
        <is>
          <t>(С1ср/tср*КТ*Т*Кув)*Кинф</t>
        </is>
      </c>
      <c r="E13" s="17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2025-01-24T12:02:00Z</dcterms:modified>
  <cp:lastModifiedBy>Nikolay Ivanov</cp:lastModifiedBy>
  <cp:lastPrinted>2023-11-30T14:20:37Z</cp:lastPrinted>
</cp:coreProperties>
</file>