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ОБ'!$A$1:$J$133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#,##0.00_ ;\-#,##0.00\ "/>
    <numFmt numFmtId="167" formatCode="0.0000"/>
    <numFmt numFmtId="168" formatCode="#,##0.000"/>
    <numFmt numFmtId="169" formatCode="0.000"/>
    <numFmt numFmtId="170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8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9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1" fillId="0" borderId="1" applyAlignment="1" pivotButton="0" quotePrefix="0" xfId="0">
      <alignment vertical="top"/>
    </xf>
    <xf numFmtId="0" fontId="11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1" fillId="0" borderId="1" applyAlignment="1" pivotButton="0" quotePrefix="0" xfId="0">
      <alignment vertical="top"/>
    </xf>
    <xf numFmtId="0" fontId="6" fillId="0" borderId="1" pivotButton="0" quotePrefix="0" xfId="0"/>
    <xf numFmtId="0" fontId="1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0" applyAlignment="1" pivotButton="0" quotePrefix="1" xfId="0">
      <alignment horizontal="center" vertical="center"/>
    </xf>
    <xf numFmtId="168" fontId="6" fillId="0" borderId="1" applyAlignment="1" pivotButton="0" quotePrefix="0" xfId="0">
      <alignment horizontal="right" vertical="center"/>
    </xf>
    <xf numFmtId="168" fontId="6" fillId="0" borderId="1" applyAlignment="1" pivotButton="0" quotePrefix="0" xfId="0">
      <alignment horizontal="right" vertical="center" wrapText="1"/>
    </xf>
    <xf numFmtId="168" fontId="1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7" fontId="13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9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4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1" fontId="6" fillId="0" borderId="1" applyAlignment="1" pivotButton="0" quotePrefix="0" xfId="0">
      <alignment vertical="top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1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4" fontId="6" fillId="0" borderId="0" applyAlignment="1" pivotButton="0" quotePrefix="0" xfId="0">
      <alignment horizontal="justify" vertical="center"/>
    </xf>
    <xf numFmtId="49" fontId="6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1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9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8" fontId="6" fillId="0" borderId="1" applyAlignment="1" pivotButton="0" quotePrefix="0" xfId="0">
      <alignment horizontal="right" vertical="center"/>
    </xf>
    <xf numFmtId="168" fontId="6" fillId="0" borderId="1" applyAlignment="1" pivotButton="0" quotePrefix="0" xfId="0">
      <alignment horizontal="right" vertical="center" wrapText="1"/>
    </xf>
    <xf numFmtId="168" fontId="11" fillId="0" borderId="1" applyAlignment="1" pivotButton="0" quotePrefix="0" xfId="0">
      <alignment vertical="center" wrapText="1"/>
    </xf>
    <xf numFmtId="166" fontId="8" fillId="0" borderId="0" pivotButton="0" quotePrefix="0" xfId="0"/>
    <xf numFmtId="43" fontId="0" fillId="0" borderId="0" pivotButton="0" quotePrefix="0" xfId="0"/>
    <xf numFmtId="167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7" fontId="13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4" fontId="14" fillId="0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7" sqref="C27"/>
    </sheetView>
  </sheetViews>
  <sheetFormatPr baseColWidth="8" defaultRowHeight="15.75"/>
  <cols>
    <col width="9.140625" customWidth="1" style="118" min="1" max="2"/>
    <col width="36.85546875" customWidth="1" style="118" min="3" max="3"/>
    <col width="48.28515625" customWidth="1" style="118" min="4" max="4"/>
    <col width="14.28515625" customWidth="1" style="116" min="5" max="5"/>
    <col width="12.140625" customWidth="1" style="116" min="6" max="6"/>
    <col width="12.28515625" customWidth="1" style="116" min="7" max="7"/>
    <col width="15" customWidth="1" style="116" min="8" max="8"/>
    <col width="9.140625" customWidth="1" style="116" min="9" max="9"/>
  </cols>
  <sheetData>
    <row r="1">
      <c r="E1" s="118" t="n"/>
      <c r="F1" s="118" t="n"/>
      <c r="G1" s="118" t="n"/>
      <c r="H1" s="118" t="n"/>
      <c r="I1" s="118" t="n"/>
    </row>
    <row r="2">
      <c r="E2" s="118" t="n"/>
      <c r="F2" s="118" t="n"/>
      <c r="G2" s="118" t="n"/>
      <c r="H2" s="118" t="n"/>
      <c r="I2" s="118" t="n"/>
    </row>
    <row r="3">
      <c r="B3" s="135" t="inlineStr">
        <is>
          <t>Приложение № 1</t>
        </is>
      </c>
      <c r="E3" s="118" t="n"/>
      <c r="F3" s="118" t="n"/>
      <c r="G3" s="118" t="n"/>
      <c r="H3" s="118" t="n"/>
      <c r="I3" s="118" t="n"/>
    </row>
    <row r="4">
      <c r="B4" s="136" t="inlineStr">
        <is>
          <t>Сравнительная таблица отбора объекта-представителя</t>
        </is>
      </c>
      <c r="E4" s="118" t="n"/>
      <c r="F4" s="118" t="n"/>
      <c r="G4" s="118" t="n"/>
      <c r="H4" s="118" t="n"/>
      <c r="I4" s="118" t="n"/>
    </row>
    <row r="5">
      <c r="B5" s="59" t="n"/>
      <c r="C5" s="59" t="n"/>
      <c r="D5" s="59" t="n"/>
      <c r="E5" s="118" t="n"/>
      <c r="F5" s="118" t="n"/>
      <c r="G5" s="118" t="n"/>
      <c r="H5" s="118" t="n"/>
      <c r="I5" s="118" t="n"/>
    </row>
    <row r="6">
      <c r="B6" s="59" t="n"/>
      <c r="C6" s="59" t="n"/>
      <c r="D6" s="59" t="n"/>
      <c r="E6" s="118" t="n"/>
      <c r="F6" s="118" t="n"/>
      <c r="G6" s="118" t="n"/>
      <c r="H6" s="118" t="n"/>
      <c r="I6" s="118" t="n"/>
    </row>
    <row r="7" ht="31.5" customHeight="1" s="116">
      <c r="B7" s="171">
        <f>'Прил.5 Расчет СМР и ОБ'!D6</f>
        <v/>
      </c>
      <c r="E7" s="60" t="n"/>
      <c r="F7" s="118" t="n"/>
      <c r="G7" s="118" t="n"/>
      <c r="H7" s="118" t="n"/>
      <c r="I7" s="118" t="n"/>
    </row>
    <row r="8" ht="15.75" customHeight="1" s="116">
      <c r="B8" s="58" t="inlineStr">
        <is>
          <t xml:space="preserve">Сопоставимый уровень цен: </t>
        </is>
      </c>
      <c r="C8" s="58" t="n"/>
      <c r="D8" s="58">
        <f>D22</f>
        <v/>
      </c>
      <c r="E8" s="118" t="n"/>
      <c r="F8" s="118" t="n"/>
      <c r="G8" s="118" t="n"/>
      <c r="H8" s="118" t="n"/>
      <c r="I8" s="118" t="n"/>
    </row>
    <row r="9" ht="15.75" customHeight="1" s="116">
      <c r="B9" s="134" t="inlineStr">
        <is>
          <t>Единица измерения  — 1 м2</t>
        </is>
      </c>
      <c r="E9" s="60" t="n"/>
      <c r="F9" s="118" t="n"/>
      <c r="G9" s="118" t="n"/>
      <c r="H9" s="118" t="n"/>
      <c r="I9" s="118" t="n"/>
    </row>
    <row r="10">
      <c r="B10" s="134" t="n"/>
      <c r="E10" s="118" t="n"/>
      <c r="F10" s="118" t="n"/>
      <c r="G10" s="118" t="n"/>
      <c r="H10" s="118" t="n"/>
      <c r="I10" s="118" t="n"/>
    </row>
    <row r="11">
      <c r="B11" s="139" t="inlineStr">
        <is>
          <t>№ п/п</t>
        </is>
      </c>
      <c r="C11" s="139" t="inlineStr">
        <is>
          <t>Параметр</t>
        </is>
      </c>
      <c r="D11" s="139" t="inlineStr">
        <is>
          <t>Объект-представитель 1</t>
        </is>
      </c>
      <c r="E11" s="60" t="n"/>
      <c r="F11" s="118" t="n"/>
      <c r="G11" s="118" t="n"/>
      <c r="H11" s="118" t="n"/>
      <c r="I11" s="118" t="n"/>
    </row>
    <row r="12" ht="31.5" customHeight="1" s="116">
      <c r="B12" s="139" t="n">
        <v>1</v>
      </c>
      <c r="C12" s="130" t="inlineStr">
        <is>
          <t>Наименование объекта-представителя</t>
        </is>
      </c>
      <c r="D12" s="139" t="inlineStr">
        <is>
          <t xml:space="preserve">Строительство ПС 220 кВ Налдинская с заходами ВЛ 220 кВ </t>
        </is>
      </c>
      <c r="E12" s="118" t="n"/>
      <c r="F12" s="118" t="n"/>
      <c r="G12" s="118" t="n"/>
      <c r="H12" s="118" t="n"/>
      <c r="I12" s="118" t="n"/>
    </row>
    <row r="13" ht="31.5" customHeight="1" s="116">
      <c r="B13" s="139" t="n">
        <v>2</v>
      </c>
      <c r="C13" s="130" t="inlineStr">
        <is>
          <t>Наименование субъекта Российской Федерации</t>
        </is>
      </c>
      <c r="D13" s="139" t="inlineStr">
        <is>
          <t>Республика Саха (Якутия)</t>
        </is>
      </c>
      <c r="E13" s="118" t="n"/>
      <c r="F13" s="118" t="n"/>
      <c r="G13" s="118" t="n"/>
      <c r="H13" s="118" t="n"/>
      <c r="I13" s="118" t="n"/>
    </row>
    <row r="14">
      <c r="B14" s="139" t="n">
        <v>3</v>
      </c>
      <c r="C14" s="130" t="inlineStr">
        <is>
          <t>Климатический район и подрайон</t>
        </is>
      </c>
      <c r="D14" s="139" t="inlineStr">
        <is>
          <t>IД</t>
        </is>
      </c>
      <c r="E14" s="118" t="n"/>
      <c r="F14" s="118" t="n"/>
      <c r="G14" s="118" t="n"/>
      <c r="H14" s="118" t="n"/>
      <c r="I14" s="118" t="n"/>
    </row>
    <row r="15">
      <c r="B15" s="139" t="n">
        <v>4</v>
      </c>
      <c r="C15" s="130" t="inlineStr">
        <is>
          <t>Мощность объекта</t>
        </is>
      </c>
      <c r="D15" s="96" t="n">
        <v>577.25</v>
      </c>
      <c r="E15" s="118" t="n"/>
      <c r="F15" s="118" t="n"/>
      <c r="G15" s="118" t="n"/>
      <c r="H15" s="118" t="n"/>
      <c r="I15" s="118" t="n"/>
    </row>
    <row r="16" ht="94.5" customHeight="1" s="116">
      <c r="B16" s="13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9" t="inlineStr">
        <is>
          <t>Щиток рабочего освещения, щиток аварийного освещения, светильники светодиодные взрывозащищенные</t>
        </is>
      </c>
      <c r="E16" s="118" t="n"/>
      <c r="F16" s="118" t="n"/>
      <c r="G16" s="118" t="n"/>
      <c r="H16" s="118" t="n"/>
      <c r="I16" s="118" t="n"/>
    </row>
    <row r="17" ht="82.5" customHeight="1" s="116">
      <c r="B17" s="13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2">
        <f>SUM(D18:D21)</f>
        <v/>
      </c>
      <c r="E17" s="63" t="n"/>
      <c r="F17" s="118" t="n"/>
      <c r="G17" s="118" t="n"/>
      <c r="H17" s="118" t="n"/>
      <c r="I17" s="118" t="n"/>
    </row>
    <row r="18">
      <c r="B18" s="64" t="inlineStr">
        <is>
          <t>6.1</t>
        </is>
      </c>
      <c r="C18" s="130" t="inlineStr">
        <is>
          <t>строительно-монтажные работы</t>
        </is>
      </c>
      <c r="D18" s="62">
        <f>'Прил.2 Расч стоим'!F13+'Прил.2 Расч стоим'!G13</f>
        <v/>
      </c>
      <c r="E18" s="118" t="n"/>
      <c r="F18" s="118" t="n"/>
      <c r="G18" s="118" t="n"/>
      <c r="H18" s="118" t="n"/>
      <c r="I18" s="118" t="n"/>
    </row>
    <row r="19">
      <c r="B19" s="64" t="inlineStr">
        <is>
          <t>6.2</t>
        </is>
      </c>
      <c r="C19" s="130" t="inlineStr">
        <is>
          <t>оборудование и инвентарь</t>
        </is>
      </c>
      <c r="D19" s="62">
        <f>'Прил.2 Расч стоим'!H13</f>
        <v/>
      </c>
      <c r="E19" s="118" t="n"/>
      <c r="F19" s="118" t="n"/>
      <c r="G19" s="118" t="n"/>
      <c r="H19" s="118" t="n"/>
      <c r="I19" s="118" t="n"/>
    </row>
    <row r="20">
      <c r="B20" s="64" t="inlineStr">
        <is>
          <t>6.3</t>
        </is>
      </c>
      <c r="C20" s="130" t="inlineStr">
        <is>
          <t>пусконаладочные работы</t>
        </is>
      </c>
      <c r="D20" s="62">
        <f>104918.2*D19/991165.92</f>
        <v/>
      </c>
      <c r="E20" s="118" t="n"/>
      <c r="F20" s="118" t="n"/>
      <c r="G20" s="118" t="n"/>
      <c r="H20" s="118" t="n"/>
      <c r="I20" s="118" t="n"/>
    </row>
    <row r="21" ht="31.5" customHeight="1" s="116">
      <c r="B21" s="64" t="inlineStr">
        <is>
          <t>6.4</t>
        </is>
      </c>
      <c r="C21" s="65" t="inlineStr">
        <is>
          <t>прочие и лимитированные затраты</t>
        </is>
      </c>
      <c r="D21" s="177">
        <f>D18*3.9%+(D18+D18*3.9%)*7%</f>
        <v/>
      </c>
      <c r="E21" s="118" t="n"/>
      <c r="F21" s="118" t="n"/>
      <c r="G21" s="118" t="n"/>
      <c r="H21" s="118" t="n"/>
      <c r="I21" s="118" t="n"/>
    </row>
    <row r="22">
      <c r="B22" s="139" t="n">
        <v>7</v>
      </c>
      <c r="C22" s="65" t="inlineStr">
        <is>
          <t>Сопоставимый уровень цен</t>
        </is>
      </c>
      <c r="D22" s="139" t="inlineStr">
        <is>
          <t>3 квартал 2021г</t>
        </is>
      </c>
      <c r="E22" s="63" t="n"/>
      <c r="F22" s="118" t="n"/>
      <c r="G22" s="118" t="n"/>
      <c r="H22" s="118" t="n"/>
      <c r="I22" s="118" t="n"/>
    </row>
    <row r="23" ht="119.25" customHeight="1" s="116">
      <c r="B23" s="139" t="n">
        <v>8</v>
      </c>
      <c r="C23" s="6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7">
        <f>D17</f>
        <v/>
      </c>
      <c r="E23" s="118" t="n"/>
      <c r="F23" s="118" t="n"/>
      <c r="G23" s="118" t="n"/>
      <c r="H23" s="118" t="n"/>
      <c r="I23" s="118" t="n"/>
    </row>
    <row r="24" ht="47.25" customHeight="1" s="116">
      <c r="B24" s="13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67">
        <f>D23/D15</f>
        <v/>
      </c>
      <c r="E24" s="63" t="n"/>
      <c r="F24" s="118" t="n"/>
      <c r="G24" s="118" t="n"/>
      <c r="H24" s="118" t="n"/>
      <c r="I24" s="118" t="n"/>
    </row>
    <row r="25">
      <c r="B25" s="139" t="n">
        <v>10</v>
      </c>
      <c r="C25" s="130" t="inlineStr">
        <is>
          <t>Примечание</t>
        </is>
      </c>
      <c r="D25" s="130" t="n"/>
      <c r="E25" s="118" t="n"/>
      <c r="F25" s="118" t="n"/>
      <c r="G25" s="118" t="n"/>
      <c r="H25" s="118" t="n"/>
      <c r="I25" s="118" t="n"/>
    </row>
    <row r="26">
      <c r="B26" s="168" t="n"/>
      <c r="C26" s="69" t="n"/>
      <c r="D26" s="69" t="n"/>
      <c r="E26" s="118" t="n"/>
      <c r="F26" s="118" t="n"/>
      <c r="G26" s="118" t="n"/>
      <c r="H26" s="118" t="n"/>
      <c r="I26" s="118" t="n"/>
    </row>
    <row r="27">
      <c r="B27" s="58" t="n"/>
      <c r="E27" s="118" t="n"/>
      <c r="F27" s="118" t="n"/>
      <c r="G27" s="118" t="n"/>
      <c r="H27" s="118" t="n"/>
      <c r="I27" s="118" t="n"/>
    </row>
    <row r="28">
      <c r="B28" s="118" t="inlineStr">
        <is>
          <t>Составил ______________________        Е.А. Князева</t>
        </is>
      </c>
      <c r="E28" s="118" t="n"/>
      <c r="F28" s="118" t="n"/>
      <c r="G28" s="118" t="n"/>
      <c r="H28" s="118" t="n"/>
      <c r="I28" s="118" t="n"/>
    </row>
    <row r="29" ht="22.5" customHeight="1" s="116">
      <c r="B29" s="80" t="inlineStr">
        <is>
          <t xml:space="preserve">                         (подпись, инициалы, фамилия)</t>
        </is>
      </c>
      <c r="E29" s="118" t="n"/>
      <c r="F29" s="118" t="n"/>
      <c r="G29" s="118" t="n"/>
      <c r="H29" s="118" t="n"/>
      <c r="I29" s="118" t="n"/>
    </row>
    <row r="30">
      <c r="E30" s="118" t="n"/>
      <c r="F30" s="118" t="n"/>
      <c r="G30" s="118" t="n"/>
      <c r="H30" s="118" t="n"/>
      <c r="I30" s="118" t="n"/>
    </row>
    <row r="31">
      <c r="B31" s="118" t="inlineStr">
        <is>
          <t>Проверил ______________________        А.В. Костянецкая</t>
        </is>
      </c>
      <c r="E31" s="118" t="n"/>
      <c r="F31" s="118" t="n"/>
      <c r="G31" s="118" t="n"/>
      <c r="H31" s="118" t="n"/>
      <c r="I31" s="118" t="n"/>
    </row>
    <row r="32" ht="22.5" customHeight="1" s="116">
      <c r="B32" s="80" t="inlineStr">
        <is>
          <t xml:space="preserve">                        (подпись, инициалы, фамилия)</t>
        </is>
      </c>
      <c r="E32" s="118" t="n"/>
      <c r="F32" s="118" t="n"/>
      <c r="G32" s="118" t="n"/>
      <c r="H32" s="118" t="n"/>
      <c r="I32" s="118" t="n"/>
    </row>
    <row r="33">
      <c r="E33" s="118" t="n"/>
      <c r="F33" s="118" t="n"/>
      <c r="G33" s="118" t="n"/>
      <c r="H33" s="118" t="n"/>
      <c r="I33" s="118" t="n"/>
    </row>
    <row r="34">
      <c r="E34" s="118" t="n"/>
      <c r="F34" s="118" t="n"/>
      <c r="G34" s="118" t="n"/>
      <c r="H34" s="118" t="n"/>
      <c r="I34" s="118" t="n"/>
    </row>
    <row r="35">
      <c r="E35" s="118" t="n"/>
      <c r="F35" s="118" t="n"/>
      <c r="G35" s="118" t="n"/>
      <c r="H35" s="118" t="n"/>
      <c r="I35" s="118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view="pageBreakPreview" zoomScale="60" zoomScaleNormal="100" workbookViewId="0">
      <selection activeCell="C18" sqref="C17:C18"/>
    </sheetView>
  </sheetViews>
  <sheetFormatPr baseColWidth="8" defaultRowHeight="1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2.710937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1" ht="15.75" customHeight="1" s="116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 s="116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 s="116">
      <c r="A3" s="118" t="n"/>
      <c r="B3" s="135" t="inlineStr">
        <is>
          <t>Приложение № 2</t>
        </is>
      </c>
    </row>
    <row r="4" ht="15.75" customHeight="1" s="116">
      <c r="A4" s="118" t="n"/>
      <c r="B4" s="136" t="inlineStr">
        <is>
          <t>Расчет стоимости основных видов работ для выбора объекта-представителя</t>
        </is>
      </c>
    </row>
    <row r="5" ht="15.75" customHeight="1" s="116">
      <c r="A5" s="118" t="n"/>
      <c r="B5" s="59" t="n"/>
      <c r="C5" s="59" t="n"/>
      <c r="D5" s="59" t="n"/>
      <c r="E5" s="59" t="n"/>
      <c r="F5" s="59" t="n"/>
      <c r="G5" s="59" t="n"/>
      <c r="H5" s="59" t="n"/>
      <c r="I5" s="59" t="n"/>
      <c r="J5" s="59" t="n"/>
    </row>
    <row r="6" ht="15.75" customHeight="1" s="116">
      <c r="A6" s="118" t="n"/>
      <c r="B6" s="137">
        <f>'Прил.1 Сравнит табл'!B7</f>
        <v/>
      </c>
    </row>
    <row r="7" ht="15.75" customHeight="1" s="116">
      <c r="A7" s="118" t="n"/>
      <c r="B7" s="134">
        <f>'Прил.1 Сравнит табл'!B9</f>
        <v/>
      </c>
    </row>
    <row r="8" ht="15.75" customHeight="1" s="116">
      <c r="A8" s="118" t="n"/>
      <c r="B8" s="134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 s="116">
      <c r="A9" s="118" t="n"/>
      <c r="B9" s="139" t="inlineStr">
        <is>
          <t>№ п/п</t>
        </is>
      </c>
      <c r="C9" s="1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9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 s="116">
      <c r="A10" s="118" t="n"/>
      <c r="B10" s="180" t="n"/>
      <c r="C10" s="180" t="n"/>
      <c r="D10" s="139" t="inlineStr">
        <is>
          <t>Номер сметы</t>
        </is>
      </c>
      <c r="E10" s="139" t="inlineStr">
        <is>
          <t>Наименование сметы</t>
        </is>
      </c>
      <c r="F10" s="139" t="inlineStr">
        <is>
          <t>Сметная стоимость в уровне цен 2 кв. 2014 г., тыс. руб.</t>
        </is>
      </c>
      <c r="G10" s="178" t="n"/>
      <c r="H10" s="178" t="n"/>
      <c r="I10" s="178" t="n"/>
      <c r="J10" s="179" t="n"/>
    </row>
    <row r="11" ht="64.5" customHeight="1" s="116">
      <c r="A11" s="118" t="n"/>
      <c r="B11" s="181" t="n"/>
      <c r="C11" s="181" t="n"/>
      <c r="D11" s="181" t="n"/>
      <c r="E11" s="181" t="n"/>
      <c r="F11" s="139" t="inlineStr">
        <is>
          <t>Строительные работы</t>
        </is>
      </c>
      <c r="G11" s="139" t="inlineStr">
        <is>
          <t>Монтажные работы</t>
        </is>
      </c>
      <c r="H11" s="139" t="inlineStr">
        <is>
          <t>Оборудование</t>
        </is>
      </c>
      <c r="I11" s="139" t="inlineStr">
        <is>
          <t>Прочее</t>
        </is>
      </c>
      <c r="J11" s="139" t="inlineStr">
        <is>
          <t>Всего</t>
        </is>
      </c>
    </row>
    <row r="12" ht="47.25" customHeight="1" s="116">
      <c r="A12" s="118" t="n"/>
      <c r="B12" s="79" t="n">
        <v>1</v>
      </c>
      <c r="C12" s="130" t="inlineStr">
        <is>
          <t>Монтаж освещения</t>
        </is>
      </c>
      <c r="D12" s="84" t="inlineStr">
        <is>
          <t>02-07-10</t>
        </is>
      </c>
      <c r="E12" s="130" t="inlineStr">
        <is>
          <t>ОПУ. Электротехнические решения</t>
        </is>
      </c>
      <c r="F12" s="182" t="n"/>
      <c r="G12" s="182">
        <f>2692369.4/1000</f>
        <v/>
      </c>
      <c r="H12" s="182" t="n">
        <v>113.746</v>
      </c>
      <c r="I12" s="182" t="n"/>
      <c r="J12" s="183">
        <f>SUM(F12:I12)</f>
        <v/>
      </c>
    </row>
    <row r="13" ht="15" customHeight="1" s="116">
      <c r="A13" s="118" t="n"/>
      <c r="B13" s="138" t="inlineStr">
        <is>
          <t>Всего по объекту:</t>
        </is>
      </c>
      <c r="C13" s="178" t="n"/>
      <c r="D13" s="178" t="n"/>
      <c r="E13" s="179" t="n"/>
      <c r="F13" s="184">
        <f>SUM(F12)</f>
        <v/>
      </c>
      <c r="G13" s="184">
        <f>SUM(G12)</f>
        <v/>
      </c>
      <c r="H13" s="184">
        <f>SUM(H12)</f>
        <v/>
      </c>
      <c r="I13" s="184">
        <f>SUM(I12)</f>
        <v/>
      </c>
      <c r="J13" s="184">
        <f>SUM(F13:I13)</f>
        <v/>
      </c>
    </row>
    <row r="14" ht="15.75" customHeight="1" s="116">
      <c r="A14" s="118" t="n"/>
      <c r="B14" s="138" t="inlineStr">
        <is>
          <t>Всего по объекту в сопоставимом уровне цен 2 кв. 2014г:</t>
        </is>
      </c>
      <c r="C14" s="178" t="n"/>
      <c r="D14" s="178" t="n"/>
      <c r="E14" s="179" t="n"/>
      <c r="F14" s="184">
        <f>F13</f>
        <v/>
      </c>
      <c r="G14" s="184">
        <f>G13</f>
        <v/>
      </c>
      <c r="H14" s="184">
        <f>H13</f>
        <v/>
      </c>
      <c r="I14" s="184">
        <f>I13</f>
        <v/>
      </c>
      <c r="J14" s="184">
        <f>SUM(F14:I14)</f>
        <v/>
      </c>
    </row>
    <row r="15" ht="15.75" customHeight="1" s="116">
      <c r="A15" s="118" t="n"/>
      <c r="B15" s="134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 s="116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 s="116">
      <c r="A17" s="118" t="n"/>
      <c r="B17" s="118" t="inlineStr">
        <is>
          <t>Составил ______________________        Е.А. Князева</t>
        </is>
      </c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22.5" customHeight="1" s="116">
      <c r="A18" s="118" t="n"/>
      <c r="B18" s="80" t="inlineStr">
        <is>
          <t xml:space="preserve">                         (подпись, инициалы, фамилия)</t>
        </is>
      </c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 s="116">
      <c r="A19" s="118" t="n"/>
      <c r="B19" s="118" t="n"/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15.75" customHeight="1" s="116">
      <c r="A20" s="118" t="n"/>
      <c r="B20" s="118" t="inlineStr">
        <is>
          <t>Проверил ______________________        А.В. Костянецкая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22.5" customHeight="1" s="116">
      <c r="A21" s="118" t="n"/>
      <c r="B21" s="80" t="inlineStr">
        <is>
          <t xml:space="preserve">                        (подпись, инициалы, фамилия)</t>
        </is>
      </c>
      <c r="C21" s="118" t="n"/>
      <c r="D21" s="118" t="n"/>
      <c r="E21" s="118" t="n"/>
      <c r="F21" s="118" t="n"/>
      <c r="G21" s="118" t="n"/>
      <c r="H21" s="118" t="n"/>
      <c r="I21" s="118" t="n"/>
      <c r="J21" s="11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4"/>
  <sheetViews>
    <sheetView view="pageBreakPreview" topLeftCell="A103" workbookViewId="0">
      <selection activeCell="B108" sqref="B108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style="116" min="11" max="11"/>
    <col width="9.140625" customWidth="1" style="116" min="12" max="13"/>
  </cols>
  <sheetData>
    <row r="1">
      <c r="K1" s="118" t="n"/>
    </row>
    <row r="2">
      <c r="A2" s="135" t="inlineStr">
        <is>
          <t xml:space="preserve">Приложение № 3 </t>
        </is>
      </c>
      <c r="K2" s="118" t="n"/>
    </row>
    <row r="3">
      <c r="A3" s="136" t="inlineStr">
        <is>
          <t>Объектная ресурсная ведомость</t>
        </is>
      </c>
      <c r="K3" s="118" t="n"/>
    </row>
    <row r="4" ht="18.75" customHeight="1" s="116">
      <c r="A4" s="134" t="n"/>
      <c r="K4" s="118" t="n"/>
    </row>
    <row r="5">
      <c r="A5" s="137">
        <f>'Прил.1 Сравнит табл'!B7</f>
        <v/>
      </c>
      <c r="K5" s="118" t="n"/>
    </row>
    <row r="6" s="116">
      <c r="A6" s="137" t="n"/>
      <c r="B6" s="137" t="n"/>
      <c r="C6" s="137" t="n"/>
      <c r="D6" s="137" t="n"/>
      <c r="E6" s="137" t="n"/>
      <c r="F6" s="137" t="n"/>
      <c r="G6" s="137" t="n"/>
      <c r="H6" s="137" t="n"/>
      <c r="I6" s="118" t="n"/>
      <c r="J6" s="118" t="n"/>
      <c r="K6" s="118" t="n"/>
    </row>
    <row r="7" s="116">
      <c r="A7" s="137" t="n"/>
      <c r="B7" s="137" t="n"/>
      <c r="C7" s="137" t="n"/>
      <c r="D7" s="137" t="n"/>
      <c r="E7" s="137" t="n"/>
      <c r="F7" s="137" t="n"/>
      <c r="G7" s="137" t="n"/>
      <c r="H7" s="137" t="n"/>
      <c r="I7" s="118" t="n"/>
      <c r="J7" s="118" t="n"/>
      <c r="K7" s="118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118" t="n"/>
    </row>
    <row r="9" ht="15.75" customHeight="1" s="116">
      <c r="A9" s="139" t="inlineStr">
        <is>
          <t>п/п</t>
        </is>
      </c>
      <c r="B9" s="139" t="inlineStr">
        <is>
          <t>№ЛСР</t>
        </is>
      </c>
      <c r="C9" s="139" t="inlineStr">
        <is>
          <t>Код ресурса</t>
        </is>
      </c>
      <c r="D9" s="139" t="inlineStr">
        <is>
          <t>Наименование ресурса</t>
        </is>
      </c>
      <c r="E9" s="139" t="inlineStr">
        <is>
          <t>Ед. изм.</t>
        </is>
      </c>
      <c r="F9" s="139" t="inlineStr">
        <is>
          <t>Кол-во единиц по данным объекта-представителя</t>
        </is>
      </c>
      <c r="G9" s="139" t="inlineStr">
        <is>
          <t>Сметная стоимость в ценах на 01.01.2000 (руб.)</t>
        </is>
      </c>
      <c r="H9" s="179" t="n"/>
      <c r="K9" s="118" t="n"/>
    </row>
    <row r="10">
      <c r="A10" s="181" t="n"/>
      <c r="B10" s="181" t="n"/>
      <c r="C10" s="181" t="n"/>
      <c r="D10" s="181" t="n"/>
      <c r="E10" s="181" t="n"/>
      <c r="F10" s="181" t="n"/>
      <c r="G10" s="139" t="inlineStr">
        <is>
          <t>на ед.изм.</t>
        </is>
      </c>
      <c r="H10" s="139" t="inlineStr">
        <is>
          <t>общая</t>
        </is>
      </c>
      <c r="K10" s="118" t="n"/>
    </row>
    <row r="11">
      <c r="A11" s="71" t="n">
        <v>1</v>
      </c>
      <c r="B11" s="71" t="n"/>
      <c r="C11" s="71" t="n">
        <v>2</v>
      </c>
      <c r="D11" s="71" t="inlineStr">
        <is>
          <t>З</t>
        </is>
      </c>
      <c r="E11" s="71" t="n">
        <v>4</v>
      </c>
      <c r="F11" s="71" t="n">
        <v>5</v>
      </c>
      <c r="G11" s="71" t="n">
        <v>6</v>
      </c>
      <c r="H11" s="71" t="n">
        <v>7</v>
      </c>
      <c r="K11" s="118" t="n"/>
    </row>
    <row r="12">
      <c r="A12" s="140" t="inlineStr">
        <is>
          <t>Затраты труда рабочих</t>
        </is>
      </c>
      <c r="B12" s="178" t="n"/>
      <c r="C12" s="178" t="n"/>
      <c r="D12" s="178" t="n"/>
      <c r="E12" s="179" t="n"/>
      <c r="F12" s="72" t="n">
        <v>955.4</v>
      </c>
      <c r="G12" s="72" t="n"/>
      <c r="H12" s="72">
        <f>SUM(H13:H19)</f>
        <v/>
      </c>
      <c r="I12" s="107" t="n"/>
      <c r="J12" s="107" t="n"/>
      <c r="K12" s="107" t="n"/>
    </row>
    <row r="13">
      <c r="A13" s="141" t="n">
        <v>1</v>
      </c>
      <c r="B13" s="94" t="inlineStr">
        <is>
          <t>02-07-10</t>
        </is>
      </c>
      <c r="C13" s="75" t="inlineStr">
        <is>
          <t>1-4-0</t>
        </is>
      </c>
      <c r="D13" s="142" t="inlineStr">
        <is>
          <t>Затраты труда рабочих (ср 4)</t>
        </is>
      </c>
      <c r="E13" s="141" t="inlineStr">
        <is>
          <t>чел.-ч</t>
        </is>
      </c>
      <c r="F13" s="141" t="n">
        <v>347.6</v>
      </c>
      <c r="G13" s="77" t="n">
        <v>9.619999999999999</v>
      </c>
      <c r="H13" s="77">
        <f>ROUND(F13*G13,2)</f>
        <v/>
      </c>
      <c r="K13" s="118" t="n"/>
    </row>
    <row r="14" ht="15" customHeight="1" s="116">
      <c r="A14" s="141" t="n">
        <v>2</v>
      </c>
      <c r="B14" s="94" t="inlineStr">
        <is>
          <t>02-07-10</t>
        </is>
      </c>
      <c r="C14" s="75" t="inlineStr">
        <is>
          <t>1-4-2</t>
        </is>
      </c>
      <c r="D14" s="142" t="inlineStr">
        <is>
          <t>Затраты труда рабочих (ср 4,2)</t>
        </is>
      </c>
      <c r="E14" s="141" t="inlineStr">
        <is>
          <t>чел.-ч</t>
        </is>
      </c>
      <c r="F14" s="141" t="n">
        <v>183.79</v>
      </c>
      <c r="G14" s="77" t="n">
        <v>9.92</v>
      </c>
      <c r="H14" s="77">
        <f>ROUND(F14*G14,2)</f>
        <v/>
      </c>
      <c r="K14" s="118" t="n"/>
    </row>
    <row r="15">
      <c r="A15" s="141" t="n">
        <v>3</v>
      </c>
      <c r="B15" s="94" t="inlineStr">
        <is>
          <t>02-07-10</t>
        </is>
      </c>
      <c r="C15" s="75" t="inlineStr">
        <is>
          <t>1-3-0</t>
        </is>
      </c>
      <c r="D15" s="142" t="inlineStr">
        <is>
          <t>Затраты труда рабочих (ср 3)</t>
        </is>
      </c>
      <c r="E15" s="141" t="inlineStr">
        <is>
          <t>чел.-ч</t>
        </is>
      </c>
      <c r="F15" s="141" t="n">
        <v>180</v>
      </c>
      <c r="G15" s="77" t="n">
        <v>8.529999999999999</v>
      </c>
      <c r="H15" s="77">
        <f>ROUND(F15*G15,2)</f>
        <v/>
      </c>
      <c r="K15" s="118" t="n"/>
    </row>
    <row r="16">
      <c r="A16" s="141" t="n">
        <v>4</v>
      </c>
      <c r="B16" s="94" t="inlineStr">
        <is>
          <t>02-07-10</t>
        </is>
      </c>
      <c r="C16" s="75" t="inlineStr">
        <is>
          <t>1-3-8</t>
        </is>
      </c>
      <c r="D16" s="142" t="inlineStr">
        <is>
          <t>Затраты труда рабочих (ср 3,8)</t>
        </is>
      </c>
      <c r="E16" s="141" t="inlineStr">
        <is>
          <t>чел.-ч</t>
        </is>
      </c>
      <c r="F16" s="141" t="n">
        <v>170.84</v>
      </c>
      <c r="G16" s="77" t="n">
        <v>9.4</v>
      </c>
      <c r="H16" s="77">
        <f>ROUND(F16*G16,2)</f>
        <v/>
      </c>
      <c r="K16" s="118" t="n"/>
    </row>
    <row r="17">
      <c r="A17" s="141" t="n">
        <v>5</v>
      </c>
      <c r="B17" s="94" t="inlineStr">
        <is>
          <t>02-07-10</t>
        </is>
      </c>
      <c r="C17" s="75" t="inlineStr">
        <is>
          <t>1-3-6</t>
        </is>
      </c>
      <c r="D17" s="142" t="inlineStr">
        <is>
          <t>Затраты труда рабочих (ср 3,6)</t>
        </is>
      </c>
      <c r="E17" s="141" t="inlineStr">
        <is>
          <t>чел.-ч</t>
        </is>
      </c>
      <c r="F17" s="141" t="n">
        <v>53.2</v>
      </c>
      <c r="G17" s="77" t="n">
        <v>9.18</v>
      </c>
      <c r="H17" s="77">
        <f>ROUND(F17*G17,2)</f>
        <v/>
      </c>
      <c r="K17" s="118" t="n"/>
    </row>
    <row r="18">
      <c r="A18" s="141" t="n">
        <v>6</v>
      </c>
      <c r="B18" s="94" t="inlineStr">
        <is>
          <t>02-07-10</t>
        </is>
      </c>
      <c r="C18" s="75" t="inlineStr">
        <is>
          <t>1-3-9</t>
        </is>
      </c>
      <c r="D18" s="142" t="inlineStr">
        <is>
          <t>Затраты труда рабочих (ср 3,9)</t>
        </is>
      </c>
      <c r="E18" s="141" t="inlineStr">
        <is>
          <t>чел.-ч</t>
        </is>
      </c>
      <c r="F18" s="141" t="n">
        <v>16.29</v>
      </c>
      <c r="G18" s="77" t="n">
        <v>9.51</v>
      </c>
      <c r="H18" s="77">
        <f>ROUND(F18*G18,2)</f>
        <v/>
      </c>
      <c r="K18" s="118" t="n"/>
    </row>
    <row r="19">
      <c r="A19" s="141" t="n">
        <v>7</v>
      </c>
      <c r="B19" s="94" t="inlineStr">
        <is>
          <t>02-07-10</t>
        </is>
      </c>
      <c r="C19" s="75" t="inlineStr">
        <is>
          <t>1-4-6</t>
        </is>
      </c>
      <c r="D19" s="142" t="inlineStr">
        <is>
          <t>Затраты труда рабочих (ср 4,6)</t>
        </is>
      </c>
      <c r="E19" s="141" t="inlineStr">
        <is>
          <t>чел.-ч</t>
        </is>
      </c>
      <c r="F19" s="141" t="n">
        <v>3.68</v>
      </c>
      <c r="G19" s="77" t="n">
        <v>10.5</v>
      </c>
      <c r="H19" s="77">
        <f>ROUND(F19*G19,2)</f>
        <v/>
      </c>
      <c r="K19" s="118" t="n"/>
    </row>
    <row r="20">
      <c r="A20" s="140" t="inlineStr">
        <is>
          <t>Затраты труда машинистов</t>
        </is>
      </c>
      <c r="B20" s="178" t="n"/>
      <c r="C20" s="178" t="n"/>
      <c r="D20" s="178" t="n"/>
      <c r="E20" s="179" t="n"/>
      <c r="F20" s="140" t="n">
        <v>15.985</v>
      </c>
      <c r="G20" s="72" t="n"/>
      <c r="H20" s="72">
        <f>H21</f>
        <v/>
      </c>
      <c r="K20" s="118" t="n"/>
    </row>
    <row r="21">
      <c r="A21" s="141" t="n">
        <v>8</v>
      </c>
      <c r="B21" s="94" t="inlineStr">
        <is>
          <t>02-07-10</t>
        </is>
      </c>
      <c r="C21" s="88" t="n">
        <v>2</v>
      </c>
      <c r="D21" s="142" t="inlineStr">
        <is>
          <t>Затраты труда машинистов</t>
        </is>
      </c>
      <c r="E21" s="141" t="inlineStr">
        <is>
          <t>чел.-ч</t>
        </is>
      </c>
      <c r="F21" s="141" t="n">
        <v>15.985</v>
      </c>
      <c r="G21" s="77" t="n"/>
      <c r="H21" s="77" t="n">
        <v>204.54</v>
      </c>
      <c r="K21" s="118" t="n"/>
    </row>
    <row r="22">
      <c r="A22" s="140" t="inlineStr">
        <is>
          <t>Машины и механизмы</t>
        </is>
      </c>
      <c r="B22" s="178" t="n"/>
      <c r="C22" s="178" t="n"/>
      <c r="D22" s="178" t="n"/>
      <c r="E22" s="179" t="n"/>
      <c r="F22" s="140" t="n"/>
      <c r="G22" s="72" t="n"/>
      <c r="H22" s="72">
        <f>SUM(H23:H31)</f>
        <v/>
      </c>
      <c r="I22" s="107" t="n"/>
      <c r="J22" s="107" t="n"/>
      <c r="K22" s="107" t="n"/>
    </row>
    <row r="23" ht="31.5" customHeight="1" s="116">
      <c r="A23" s="141" t="n">
        <v>9</v>
      </c>
      <c r="B23" s="94" t="inlineStr">
        <is>
          <t>02-07-10</t>
        </is>
      </c>
      <c r="C23" s="142" t="inlineStr">
        <is>
          <t>91.05.05-015</t>
        </is>
      </c>
      <c r="D23" s="142" t="inlineStr">
        <is>
          <t>Краны на автомобильном ходу, грузоподъемность 16 т</t>
        </is>
      </c>
      <c r="E23" s="141" t="inlineStr">
        <is>
          <t>маш.час</t>
        </is>
      </c>
      <c r="F23" s="141" t="n">
        <v>6.6642</v>
      </c>
      <c r="G23" s="77" t="n">
        <v>115.4</v>
      </c>
      <c r="H23" s="77">
        <f>ROUND(F23*G23,2)</f>
        <v/>
      </c>
      <c r="K23" s="118" t="n"/>
    </row>
    <row r="24">
      <c r="A24" s="141" t="n">
        <v>10</v>
      </c>
      <c r="B24" s="94" t="inlineStr">
        <is>
          <t>02-07-10</t>
        </is>
      </c>
      <c r="C24" s="142" t="inlineStr">
        <is>
          <t>91.14.02-001</t>
        </is>
      </c>
      <c r="D24" s="142" t="inlineStr">
        <is>
          <t>Автомобили бортовые, грузоподъемность до 5 т</t>
        </is>
      </c>
      <c r="E24" s="141" t="inlineStr">
        <is>
          <t>маш.час</t>
        </is>
      </c>
      <c r="F24" s="141" t="n">
        <v>6.655</v>
      </c>
      <c r="G24" s="77" t="n">
        <v>65.70999999999999</v>
      </c>
      <c r="H24" s="77">
        <f>ROUND(F24*G24,2)</f>
        <v/>
      </c>
      <c r="I24" s="107" t="n"/>
      <c r="J24" s="107" t="n"/>
      <c r="K24" s="107" t="n"/>
    </row>
    <row r="25" ht="31.5" customHeight="1" s="116">
      <c r="A25" s="141" t="n">
        <v>11</v>
      </c>
      <c r="B25" s="94" t="inlineStr">
        <is>
          <t>02-07-10</t>
        </is>
      </c>
      <c r="C25" s="142" t="inlineStr">
        <is>
          <t>91.05.04-010</t>
        </is>
      </c>
      <c r="D25" s="142" t="inlineStr">
        <is>
          <t>Краны мостовые электрические, грузоподъемность 50 т</t>
        </is>
      </c>
      <c r="E25" s="141" t="inlineStr">
        <is>
          <t>маш.час</t>
        </is>
      </c>
      <c r="F25" s="141" t="n">
        <v>1.616</v>
      </c>
      <c r="G25" s="77" t="n">
        <v>197.01</v>
      </c>
      <c r="H25" s="77">
        <f>ROUND(F25*G25,2)</f>
        <v/>
      </c>
      <c r="K25" s="118" t="n"/>
    </row>
    <row r="26">
      <c r="A26" s="141" t="n">
        <v>12</v>
      </c>
      <c r="B26" s="94" t="inlineStr">
        <is>
          <t>02-07-10</t>
        </is>
      </c>
      <c r="C26" s="142" t="inlineStr">
        <is>
          <t>91.06.09-001</t>
        </is>
      </c>
      <c r="D26" s="142" t="inlineStr">
        <is>
          <t>Вышки телескопические 25 м</t>
        </is>
      </c>
      <c r="E26" s="141" t="inlineStr">
        <is>
          <t>маш.час</t>
        </is>
      </c>
      <c r="F26" s="141" t="n">
        <v>1.04</v>
      </c>
      <c r="G26" s="77" t="n">
        <v>142.7</v>
      </c>
      <c r="H26" s="77">
        <f>ROUND(F26*G26,2)</f>
        <v/>
      </c>
      <c r="K26" s="118" t="n"/>
    </row>
    <row r="27" ht="31.5" customHeight="1" s="116">
      <c r="A27" s="141" t="n">
        <v>13</v>
      </c>
      <c r="B27" s="94" t="inlineStr">
        <is>
          <t>02-07-10</t>
        </is>
      </c>
      <c r="C27" s="142" t="inlineStr">
        <is>
          <t>91.06.03-061</t>
        </is>
      </c>
      <c r="D27" s="142" t="inlineStr">
        <is>
          <t>Лебедки электрические тяговым усилием до 12,26 кН (1,25 т)</t>
        </is>
      </c>
      <c r="E27" s="141" t="inlineStr">
        <is>
          <t>маш.час</t>
        </is>
      </c>
      <c r="F27" s="141" t="n">
        <v>40.502</v>
      </c>
      <c r="G27" s="77" t="n">
        <v>3.28</v>
      </c>
      <c r="H27" s="77">
        <f>ROUND(F27*G27,2)</f>
        <v/>
      </c>
      <c r="K27" s="118" t="n"/>
    </row>
    <row r="28" ht="31.5" customHeight="1" s="116">
      <c r="A28" s="141" t="n">
        <v>14</v>
      </c>
      <c r="B28" s="94" t="inlineStr">
        <is>
          <t>02-07-10</t>
        </is>
      </c>
      <c r="C28" s="142" t="inlineStr">
        <is>
          <t>91.17.04-233</t>
        </is>
      </c>
      <c r="D28" s="142" t="inlineStr">
        <is>
          <t>Установки для сварки ручной дуговой (постоянного тока)</t>
        </is>
      </c>
      <c r="E28" s="141" t="inlineStr">
        <is>
          <t>маш.час</t>
        </is>
      </c>
      <c r="F28" s="141" t="n">
        <v>6.4849</v>
      </c>
      <c r="G28" s="77" t="n">
        <v>8.1</v>
      </c>
      <c r="H28" s="77">
        <f>ROUND(F28*G28,2)</f>
        <v/>
      </c>
      <c r="K28" s="118" t="n"/>
    </row>
    <row r="29" ht="31.5" customHeight="1" s="116">
      <c r="A29" s="141" t="n">
        <v>15</v>
      </c>
      <c r="B29" s="94" t="inlineStr">
        <is>
          <t>02-07-10</t>
        </is>
      </c>
      <c r="C29" s="142" t="inlineStr">
        <is>
          <t>91.06.01-003</t>
        </is>
      </c>
      <c r="D29" s="142" t="inlineStr">
        <is>
          <t>Домкраты гидравлические, грузоподъемность 63-100 т</t>
        </is>
      </c>
      <c r="E29" s="141" t="inlineStr">
        <is>
          <t>маш.час</t>
        </is>
      </c>
      <c r="F29" s="141" t="n">
        <v>40.502</v>
      </c>
      <c r="G29" s="77" t="n">
        <v>0.9</v>
      </c>
      <c r="H29" s="77">
        <f>ROUND(F29*G29,2)</f>
        <v/>
      </c>
      <c r="K29" s="118" t="n"/>
    </row>
    <row r="30" ht="31.5" customHeight="1" s="116">
      <c r="A30" s="141" t="n">
        <v>16</v>
      </c>
      <c r="B30" s="94" t="inlineStr">
        <is>
          <t>02-07-10</t>
        </is>
      </c>
      <c r="C30" s="142" t="inlineStr">
        <is>
          <t>91.17.04-161</t>
        </is>
      </c>
      <c r="D30" s="142" t="inlineStr">
        <is>
          <t>Полуавтоматы сварочные номинальным сварочным током 40-500 А</t>
        </is>
      </c>
      <c r="E30" s="141" t="inlineStr">
        <is>
          <t>маш.час</t>
        </is>
      </c>
      <c r="F30" s="141" t="n">
        <v>0.528</v>
      </c>
      <c r="G30" s="77" t="n">
        <v>16.44</v>
      </c>
      <c r="H30" s="77">
        <f>ROUND(F30*G30,2)</f>
        <v/>
      </c>
      <c r="K30" s="118" t="n"/>
    </row>
    <row r="31" ht="31.5" customHeight="1" s="116">
      <c r="A31" s="141" t="n">
        <v>17</v>
      </c>
      <c r="B31" s="94" t="inlineStr">
        <is>
          <t>02-07-10</t>
        </is>
      </c>
      <c r="C31" s="142" t="inlineStr">
        <is>
          <t>91.06.06-048</t>
        </is>
      </c>
      <c r="D31" s="142" t="inlineStr">
        <is>
          <t>Подъемники одномачтовые, грузоподъемность до 500 кг, высота подъема 45 м</t>
        </is>
      </c>
      <c r="E31" s="141" t="inlineStr">
        <is>
          <t>маш.час</t>
        </is>
      </c>
      <c r="F31" s="141" t="n">
        <v>0.01</v>
      </c>
      <c r="G31" s="77" t="n">
        <v>31.26</v>
      </c>
      <c r="H31" s="77">
        <f>ROUND(F31*G31,2)</f>
        <v/>
      </c>
      <c r="K31" s="118" t="n"/>
    </row>
    <row r="32">
      <c r="A32" s="140" t="inlineStr">
        <is>
          <t>Оборудование</t>
        </is>
      </c>
      <c r="B32" s="178" t="n"/>
      <c r="C32" s="178" t="n"/>
      <c r="D32" s="178" t="n"/>
      <c r="E32" s="179" t="n"/>
      <c r="F32" s="140" t="n"/>
      <c r="G32" s="72" t="n"/>
      <c r="H32" s="72">
        <f>SUM(H33:H37)</f>
        <v/>
      </c>
      <c r="J32" s="90" t="n"/>
    </row>
    <row r="33" ht="63" customHeight="1" s="116">
      <c r="A33" s="141" t="n">
        <v>18</v>
      </c>
      <c r="B33" s="94" t="inlineStr">
        <is>
          <t>02-07-10</t>
        </is>
      </c>
      <c r="C33" s="142" t="inlineStr">
        <is>
          <t>62.1.02.23-1022</t>
        </is>
      </c>
      <c r="D33" s="142" t="inlineStr">
        <is>
          <t>Устройство распределительное высоковольтное катодной защиты, класс напряжения 6,10 кВ, выходная мощность 3 кВ, тип регулировки-автоматическая</t>
        </is>
      </c>
      <c r="E33" s="141" t="inlineStr">
        <is>
          <t>шт</t>
        </is>
      </c>
      <c r="F33" s="141" t="n">
        <v>1</v>
      </c>
      <c r="G33" s="77" t="n">
        <v>28001.41</v>
      </c>
      <c r="H33" s="77">
        <f>ROUND(F33*G33,2)</f>
        <v/>
      </c>
    </row>
    <row r="34" ht="31.5" customHeight="1" s="116">
      <c r="A34" s="141" t="n">
        <v>19</v>
      </c>
      <c r="B34" s="94" t="inlineStr">
        <is>
          <t>02-07-10</t>
        </is>
      </c>
      <c r="C34" s="142" t="inlineStr">
        <is>
          <t>62.3.02.01-0043</t>
        </is>
      </c>
      <c r="D34" s="142" t="inlineStr">
        <is>
          <t>Выключатели и переключатели защитные (степень защиты: IP56, IP67) ПП2-250/Н2 М3</t>
        </is>
      </c>
      <c r="E34" s="141" t="inlineStr">
        <is>
          <t>шт</t>
        </is>
      </c>
      <c r="F34" s="141" t="n">
        <v>8</v>
      </c>
      <c r="G34" s="77" t="n">
        <v>772.64</v>
      </c>
      <c r="H34" s="77">
        <f>ROUND(F34*G34,2)</f>
        <v/>
      </c>
    </row>
    <row r="35" ht="31.5" customHeight="1" s="116">
      <c r="A35" s="141" t="n">
        <v>20</v>
      </c>
      <c r="B35" s="94" t="inlineStr">
        <is>
          <t>02-07-10</t>
        </is>
      </c>
      <c r="C35" s="142" t="inlineStr">
        <is>
          <t>62.1.02.19-0015</t>
        </is>
      </c>
      <c r="D35" s="142" t="inlineStr">
        <is>
          <t>Щиты автоматического переключения на резерв: ЩАП-53, трехфазные на ток 100 А</t>
        </is>
      </c>
      <c r="E35" s="141" t="inlineStr">
        <is>
          <t>шт</t>
        </is>
      </c>
      <c r="F35" s="141" t="n">
        <v>1</v>
      </c>
      <c r="G35" s="77" t="n">
        <v>3916.51</v>
      </c>
      <c r="H35" s="77">
        <f>ROUND(F35*G35,2)</f>
        <v/>
      </c>
    </row>
    <row r="36">
      <c r="A36" s="141" t="n">
        <v>21</v>
      </c>
      <c r="B36" s="94" t="inlineStr">
        <is>
          <t>02-07-10</t>
        </is>
      </c>
      <c r="C36" s="142" t="inlineStr">
        <is>
          <t>62.3.04.02-0001</t>
        </is>
      </c>
      <c r="D36" s="142" t="inlineStr">
        <is>
          <t>Переключатели: клавишные ПК12-23-2-3 УХЛ4</t>
        </is>
      </c>
      <c r="E36" s="141" t="inlineStr">
        <is>
          <t>10 шт</t>
        </is>
      </c>
      <c r="F36" s="141" t="n">
        <v>0.8</v>
      </c>
      <c r="G36" s="77" t="n">
        <v>364.5</v>
      </c>
      <c r="H36" s="77">
        <f>ROUND(F36*G36,2)</f>
        <v/>
      </c>
    </row>
    <row r="37" ht="31.5" customHeight="1" s="116">
      <c r="A37" s="141" t="n">
        <v>22</v>
      </c>
      <c r="B37" s="94" t="inlineStr">
        <is>
          <t>02-07-10</t>
        </is>
      </c>
      <c r="C37" s="142" t="inlineStr">
        <is>
          <t>62.3.02.02-0022</t>
        </is>
      </c>
      <c r="D37" s="142" t="inlineStr">
        <is>
          <t>Выключатели пакетные открытого исполнения, тип ПВ2-16МЗ</t>
        </is>
      </c>
      <c r="E37" s="141" t="inlineStr">
        <is>
          <t>шт</t>
        </is>
      </c>
      <c r="F37" s="141" t="n">
        <v>9</v>
      </c>
      <c r="G37" s="77" t="n">
        <v>31.62</v>
      </c>
      <c r="H37" s="77">
        <f>ROUND(F37*G37,2)</f>
        <v/>
      </c>
    </row>
    <row r="38">
      <c r="A38" s="140" t="inlineStr">
        <is>
          <t>Материалы</t>
        </is>
      </c>
      <c r="B38" s="178" t="n"/>
      <c r="C38" s="178" t="n"/>
      <c r="D38" s="178" t="n"/>
      <c r="E38" s="179" t="n"/>
      <c r="F38" s="140" t="n"/>
      <c r="G38" s="72" t="n"/>
      <c r="H38" s="72">
        <f>SUM(H39:H107)</f>
        <v/>
      </c>
      <c r="J38" s="90" t="n"/>
    </row>
    <row r="39" ht="63" customHeight="1" s="116">
      <c r="A39" s="141" t="n">
        <v>23</v>
      </c>
      <c r="B39" s="94" t="inlineStr">
        <is>
          <t>02-07-10</t>
        </is>
      </c>
      <c r="C39" s="142" t="inlineStr">
        <is>
          <t>20.3.03.03-0011</t>
        </is>
      </c>
      <c r="D39" s="142" t="inlineStr">
        <is>
          <t>Светильник взрывозащищенный под лампу мощностью до 100 Вт, с металлическим отражателем и защитной решеткой, цоколь E27, напряжение 220 В, частота 50/60 Гц, IP66</t>
        </is>
      </c>
      <c r="E39" s="141" t="inlineStr">
        <is>
          <t>шт</t>
        </is>
      </c>
      <c r="F39" s="141" t="n">
        <v>15</v>
      </c>
      <c r="G39" s="77" t="n">
        <v>2682.79</v>
      </c>
      <c r="H39" s="77">
        <f>ROUND(F39*G39,2)</f>
        <v/>
      </c>
    </row>
    <row r="40" ht="31.5" customHeight="1" s="116">
      <c r="A40" s="141" t="n">
        <v>24</v>
      </c>
      <c r="B40" s="94" t="inlineStr">
        <is>
          <t>02-07-10</t>
        </is>
      </c>
      <c r="C40" s="142" t="inlineStr">
        <is>
          <t>20.3.03.04-0193</t>
        </is>
      </c>
      <c r="D40" s="142" t="inlineStr">
        <is>
          <t>Светильники люминесцентные направленного света встраиваемые типа: DLG 118 с ЭМПРА</t>
        </is>
      </c>
      <c r="E40" s="141" t="inlineStr">
        <is>
          <t>шт</t>
        </is>
      </c>
      <c r="F40" s="141" t="n">
        <v>82</v>
      </c>
      <c r="G40" s="77" t="n">
        <v>278.8</v>
      </c>
      <c r="H40" s="77">
        <f>ROUND(F40*G40,2)</f>
        <v/>
      </c>
    </row>
    <row r="41" ht="31.5" customHeight="1" s="116">
      <c r="A41" s="141" t="n">
        <v>25</v>
      </c>
      <c r="B41" s="94" t="inlineStr">
        <is>
          <t>02-07-10</t>
        </is>
      </c>
      <c r="C41" s="142" t="inlineStr">
        <is>
          <t>21.1.06.10-0168</t>
        </is>
      </c>
      <c r="D41" s="142" t="inlineStr">
        <is>
          <t>Кабель силовой с медными жилами ВВГнг(A)-FRLS 3х1,5ок(N, РЕ)-1000</t>
        </is>
      </c>
      <c r="E41" s="141" t="inlineStr">
        <is>
          <t>1000 м</t>
        </is>
      </c>
      <c r="F41" s="141" t="n">
        <v>0.39882</v>
      </c>
      <c r="G41" s="77" t="n">
        <v>19862.94</v>
      </c>
      <c r="H41" s="77">
        <f>ROUND(F41*G41,2)</f>
        <v/>
      </c>
    </row>
    <row r="42" ht="31.5" customHeight="1" s="116">
      <c r="A42" s="141" t="n">
        <v>26</v>
      </c>
      <c r="B42" s="94" t="inlineStr">
        <is>
          <t>02-07-10</t>
        </is>
      </c>
      <c r="C42" s="142" t="inlineStr">
        <is>
          <t>20.3.03.07-0066</t>
        </is>
      </c>
      <c r="D42" s="142" t="inlineStr">
        <is>
          <t>Светильник линейный GM: L55-21-45-CM-65-L00-P</t>
        </is>
      </c>
      <c r="E42" s="141" t="inlineStr">
        <is>
          <t>шт</t>
        </is>
      </c>
      <c r="F42" s="141" t="n">
        <v>8</v>
      </c>
      <c r="G42" s="77" t="n">
        <v>686.3200000000001</v>
      </c>
      <c r="H42" s="77">
        <f>ROUND(F42*G42,2)</f>
        <v/>
      </c>
    </row>
    <row r="43" ht="15" customHeight="1" s="116">
      <c r="A43" s="141" t="n">
        <v>27</v>
      </c>
      <c r="B43" s="94" t="inlineStr">
        <is>
          <t>02-07-10</t>
        </is>
      </c>
      <c r="C43" s="142" t="inlineStr">
        <is>
          <t>21.1.06.10-0375</t>
        </is>
      </c>
      <c r="D43" s="142" t="inlineStr">
        <is>
          <t>Кабель силовой с медными жилами ВВГнг(A)-LS 3х1,5ок(N, PE)-1000</t>
        </is>
      </c>
      <c r="E43" s="141" t="inlineStr">
        <is>
          <t>1000 м</t>
        </is>
      </c>
      <c r="F43" s="141" t="n">
        <v>0.48246</v>
      </c>
      <c r="G43" s="77" t="n">
        <v>10960.87</v>
      </c>
      <c r="H43" s="77">
        <f>ROUND(F43*G43,2)</f>
        <v/>
      </c>
    </row>
    <row r="44" ht="31.5" customHeight="1" s="116">
      <c r="A44" s="141" t="n">
        <v>28</v>
      </c>
      <c r="B44" s="94" t="inlineStr">
        <is>
          <t>02-07-10</t>
        </is>
      </c>
      <c r="C44" s="142" t="inlineStr">
        <is>
          <t>21.1.06.10-0378</t>
        </is>
      </c>
      <c r="D44" s="142" t="inlineStr">
        <is>
          <t>Кабель силовой с медными жилами ВВГнг(A)-LS 3х4ок-1000</t>
        </is>
      </c>
      <c r="E44" s="141" t="inlineStr">
        <is>
          <t>1000 м</t>
        </is>
      </c>
      <c r="F44" s="141" t="n">
        <v>0.255</v>
      </c>
      <c r="G44" s="77" t="n">
        <v>20634.54</v>
      </c>
      <c r="H44" s="77">
        <f>ROUND(F44*G44,2)</f>
        <v/>
      </c>
    </row>
    <row r="45" ht="47.25" customHeight="1" s="116">
      <c r="A45" s="141" t="n">
        <v>29</v>
      </c>
      <c r="B45" s="94" t="inlineStr">
        <is>
          <t>02-07-10</t>
        </is>
      </c>
      <c r="C45" s="142" t="inlineStr">
        <is>
          <t>20.3.03.04-0104</t>
        </is>
      </c>
      <c r="D45" s="142" t="inlineStr">
        <is>
          <t>Светильник подвесной с полугерметичным корпусом и рассеивателем из поликарбоната, типа ЛСП 44-2х40-002</t>
        </is>
      </c>
      <c r="E45" s="141" t="inlineStr">
        <is>
          <t>шт</t>
        </is>
      </c>
      <c r="F45" s="141" t="n">
        <v>14</v>
      </c>
      <c r="G45" s="77" t="n">
        <v>325.16</v>
      </c>
      <c r="H45" s="77">
        <f>ROUND(F45*G45,2)</f>
        <v/>
      </c>
    </row>
    <row r="46" ht="15" customHeight="1" s="116">
      <c r="A46" s="141" t="n">
        <v>30</v>
      </c>
      <c r="B46" s="94" t="inlineStr">
        <is>
          <t>02-07-10</t>
        </is>
      </c>
      <c r="C46" s="142" t="inlineStr">
        <is>
          <t>21.1.06.10-0281</t>
        </is>
      </c>
      <c r="D46" s="142" t="inlineStr">
        <is>
          <t>Кабель силовой с медными жилами ВБбШвнг-FRLS 3х2,5-1000</t>
        </is>
      </c>
      <c r="E46" s="141" t="inlineStr">
        <is>
          <t>1000 м</t>
        </is>
      </c>
      <c r="F46" s="141" t="n">
        <v>0.204</v>
      </c>
      <c r="G46" s="77" t="n">
        <v>20095.37</v>
      </c>
      <c r="H46" s="77">
        <f>ROUND(F46*G46,2)</f>
        <v/>
      </c>
    </row>
    <row r="47" ht="47.25" customHeight="1" s="116">
      <c r="A47" s="141" t="n">
        <v>31</v>
      </c>
      <c r="B47" s="94" t="inlineStr">
        <is>
          <t>02-07-10</t>
        </is>
      </c>
      <c r="C47" s="142" t="inlineStr">
        <is>
          <t>24.3.03.05-0034</t>
        </is>
      </c>
      <c r="D47" s="142" t="inlineStr">
        <is>
          <t>Трубы полиэтиленовые гибкие гофрированные тяжелые с протяжкой, номинальный внутренний диаметр 32 мм</t>
        </is>
      </c>
      <c r="E47" s="141" t="inlineStr">
        <is>
          <t>м</t>
        </is>
      </c>
      <c r="F47" s="141" t="n">
        <v>300</v>
      </c>
      <c r="G47" s="77" t="n">
        <v>12.66</v>
      </c>
      <c r="H47" s="77">
        <f>ROUND(F47*G47,2)</f>
        <v/>
      </c>
    </row>
    <row r="48" ht="31.5" customHeight="1" s="116">
      <c r="A48" s="141" t="n">
        <v>32</v>
      </c>
      <c r="B48" s="94" t="inlineStr">
        <is>
          <t>02-07-10</t>
        </is>
      </c>
      <c r="C48" s="142" t="inlineStr">
        <is>
          <t>20.3.03.07-0053</t>
        </is>
      </c>
      <c r="D48" s="142" t="inlineStr">
        <is>
          <t>Светильник линейный GM: L20-7-15-CM-54-L00-U</t>
        </is>
      </c>
      <c r="E48" s="141" t="inlineStr">
        <is>
          <t>шт</t>
        </is>
      </c>
      <c r="F48" s="141" t="n">
        <v>9</v>
      </c>
      <c r="G48" s="77" t="n">
        <v>399.63</v>
      </c>
      <c r="H48" s="77">
        <f>ROUND(F48*G48,2)</f>
        <v/>
      </c>
    </row>
    <row r="49" ht="31.5" customHeight="1" s="116">
      <c r="A49" s="141" t="n">
        <v>33</v>
      </c>
      <c r="B49" s="94" t="inlineStr">
        <is>
          <t>02-07-10</t>
        </is>
      </c>
      <c r="C49" s="142" t="inlineStr">
        <is>
          <t>21.1.06.10-0169</t>
        </is>
      </c>
      <c r="D49" s="142" t="inlineStr">
        <is>
          <t>Кабель силовой с медными жилами ВВГнг(A)-FRLS 3х2,5ок-1000</t>
        </is>
      </c>
      <c r="E49" s="141" t="inlineStr">
        <is>
          <t>1000 м</t>
        </is>
      </c>
      <c r="F49" s="141" t="n">
        <v>0.145</v>
      </c>
      <c r="G49" s="77" t="n">
        <v>24712.04</v>
      </c>
      <c r="H49" s="77">
        <f>ROUND(F49*G49,2)</f>
        <v/>
      </c>
    </row>
    <row r="50">
      <c r="A50" s="141" t="n">
        <v>34</v>
      </c>
      <c r="B50" s="94" t="inlineStr">
        <is>
          <t>02-07-10</t>
        </is>
      </c>
      <c r="C50" s="142" t="inlineStr">
        <is>
          <t>20.1.02.04-0031</t>
        </is>
      </c>
      <c r="D50" s="142" t="inlineStr">
        <is>
          <t>Колодка клеммная изолированная 4х1,5-16 мм2</t>
        </is>
      </c>
      <c r="E50" s="141" t="inlineStr">
        <is>
          <t>шт</t>
        </is>
      </c>
      <c r="F50" s="141" t="n">
        <v>100</v>
      </c>
      <c r="G50" s="77" t="n">
        <v>29.82</v>
      </c>
      <c r="H50" s="77">
        <f>ROUND(F50*G50,2)</f>
        <v/>
      </c>
    </row>
    <row r="51" ht="31.5" customHeight="1" s="116">
      <c r="A51" s="141" t="n">
        <v>35</v>
      </c>
      <c r="B51" s="94" t="inlineStr">
        <is>
          <t>02-07-10</t>
        </is>
      </c>
      <c r="C51" s="142" t="inlineStr">
        <is>
          <t>21.1.06.10-0411</t>
        </is>
      </c>
      <c r="D51" s="142" t="inlineStr">
        <is>
          <t>Кабель силовой с медными жилами ВВГнг(A)-LS 5х16мк(N, PE)-1000</t>
        </is>
      </c>
      <c r="E51" s="141" t="inlineStr">
        <is>
          <t>1000 м</t>
        </is>
      </c>
      <c r="F51" s="141" t="n">
        <v>0.03</v>
      </c>
      <c r="G51" s="77" t="n">
        <v>98440.41</v>
      </c>
      <c r="H51" s="77">
        <f>ROUND(F51*G51,2)</f>
        <v/>
      </c>
    </row>
    <row r="52" ht="31.5" customHeight="1" s="116">
      <c r="A52" s="141" t="n">
        <v>36</v>
      </c>
      <c r="B52" s="94" t="inlineStr">
        <is>
          <t>02-07-10</t>
        </is>
      </c>
      <c r="C52" s="142" t="inlineStr">
        <is>
          <t>24.1.02.01-0018</t>
        </is>
      </c>
      <c r="D52" s="142" t="inlineStr">
        <is>
          <t>Хомуты двухболтовые с быстродействующим замком для крепления труб размером 54-58 мм</t>
        </is>
      </c>
      <c r="E52" s="141" t="inlineStr">
        <is>
          <t>шт</t>
        </is>
      </c>
      <c r="F52" s="141" t="n">
        <v>150</v>
      </c>
      <c r="G52" s="77" t="n">
        <v>18.64</v>
      </c>
      <c r="H52" s="77">
        <f>ROUND(F52*G52,2)</f>
        <v/>
      </c>
      <c r="I52" s="107" t="n"/>
      <c r="J52" s="107" t="n"/>
    </row>
    <row r="53" ht="31.5" customHeight="1" s="116">
      <c r="A53" s="141" t="n">
        <v>37</v>
      </c>
      <c r="B53" s="94" t="inlineStr">
        <is>
          <t>02-07-10</t>
        </is>
      </c>
      <c r="C53" s="142" t="inlineStr">
        <is>
          <t>21.1.06.10-0425</t>
        </is>
      </c>
      <c r="D53" s="142" t="inlineStr">
        <is>
          <t>Кабель силовой с медными жилами ВВГнг-HF 5х1,5-1000</t>
        </is>
      </c>
      <c r="E53" s="141" t="inlineStr">
        <is>
          <t>1000 м</t>
        </is>
      </c>
      <c r="F53" s="141" t="n">
        <v>0.08262</v>
      </c>
      <c r="G53" s="77" t="n">
        <v>29695.42</v>
      </c>
      <c r="H53" s="77">
        <f>ROUND(F53*G53,2)</f>
        <v/>
      </c>
    </row>
    <row r="54" ht="31.5" customHeight="1" s="116">
      <c r="A54" s="141" t="n">
        <v>38</v>
      </c>
      <c r="B54" s="94" t="inlineStr">
        <is>
          <t>02-07-10</t>
        </is>
      </c>
      <c r="C54" s="142" t="inlineStr">
        <is>
          <t>21.1.06.10-0172</t>
        </is>
      </c>
      <c r="D54" s="142" t="inlineStr">
        <is>
          <t>Кабель силовой с медными жилами ВВГнг(A)-FRLS 3х10ок-1000</t>
        </is>
      </c>
      <c r="E54" s="141" t="inlineStr">
        <is>
          <t>1000 м</t>
        </is>
      </c>
      <c r="F54" s="141" t="n">
        <v>0.0306</v>
      </c>
      <c r="G54" s="77" t="n">
        <v>61165.55</v>
      </c>
      <c r="H54" s="77">
        <f>ROUND(F54*G54,2)</f>
        <v/>
      </c>
    </row>
    <row r="55" ht="31.5" customHeight="1" s="116">
      <c r="A55" s="141" t="n">
        <v>39</v>
      </c>
      <c r="B55" s="94" t="inlineStr">
        <is>
          <t>02-07-10</t>
        </is>
      </c>
      <c r="C55" s="142" t="inlineStr">
        <is>
          <t>07.2.07.04-0007</t>
        </is>
      </c>
      <c r="D55" s="142" t="inlineStr">
        <is>
          <t>Конструкции стальные индивидуальные решетчатые сварные, масса до 0,1 т</t>
        </is>
      </c>
      <c r="E55" s="141" t="inlineStr">
        <is>
          <t>т</t>
        </is>
      </c>
      <c r="F55" s="141" t="n">
        <v>0.1476</v>
      </c>
      <c r="G55" s="77" t="n">
        <v>11500</v>
      </c>
      <c r="H55" s="77">
        <f>ROUND(F55*G55,2)</f>
        <v/>
      </c>
    </row>
    <row r="56" ht="63" customHeight="1" s="116">
      <c r="A56" s="141" t="n">
        <v>40</v>
      </c>
      <c r="B56" s="94" t="inlineStr">
        <is>
          <t>02-07-10</t>
        </is>
      </c>
      <c r="C56" s="142" t="inlineStr">
        <is>
          <t>20.3.04.07-0001</t>
        </is>
      </c>
      <c r="D56" s="142" t="inlineStr">
        <is>
          <t>Указатель световой для обозначения мест размещения пожарного гидранта с рассеивателем из поликарбоната, в комплекте с набором цифровых знаков, УПГС-40-1</t>
        </is>
      </c>
      <c r="E56" s="141" t="inlineStr">
        <is>
          <t>шт</t>
        </is>
      </c>
      <c r="F56" s="141" t="n">
        <v>13</v>
      </c>
      <c r="G56" s="77" t="n">
        <v>112.33</v>
      </c>
      <c r="H56" s="77">
        <f>ROUND(F56*G56,2)</f>
        <v/>
      </c>
    </row>
    <row r="57" ht="31.5" customHeight="1" s="116">
      <c r="A57" s="141" t="n">
        <v>41</v>
      </c>
      <c r="B57" s="94" t="inlineStr">
        <is>
          <t>02-07-10</t>
        </is>
      </c>
      <c r="C57" s="142" t="inlineStr">
        <is>
          <t>21.1.06.10-0422</t>
        </is>
      </c>
      <c r="D57" s="142" t="inlineStr">
        <is>
          <t>Кабель силовой с медными жилами ВВГнг-HF 3х1,5-1000</t>
        </is>
      </c>
      <c r="E57" s="141" t="inlineStr">
        <is>
          <t>1000 м</t>
        </is>
      </c>
      <c r="F57" s="141" t="n">
        <v>0.06528</v>
      </c>
      <c r="G57" s="77" t="n">
        <v>21894.6</v>
      </c>
      <c r="H57" s="77">
        <f>ROUND(F57*G57,2)</f>
        <v/>
      </c>
    </row>
    <row r="58">
      <c r="A58" s="141" t="n">
        <v>42</v>
      </c>
      <c r="B58" s="94" t="inlineStr">
        <is>
          <t>02-07-10</t>
        </is>
      </c>
      <c r="C58" s="142" t="inlineStr">
        <is>
          <t>20.1.02.04-0022</t>
        </is>
      </c>
      <c r="D58" s="142" t="inlineStr">
        <is>
          <t>Колодка клеммная диаметром: 6 мм</t>
        </is>
      </c>
      <c r="E58" s="141" t="inlineStr">
        <is>
          <t>10 шт</t>
        </is>
      </c>
      <c r="F58" s="141" t="n">
        <v>50</v>
      </c>
      <c r="G58" s="77" t="n">
        <v>27.35</v>
      </c>
      <c r="H58" s="77">
        <f>ROUND(F58*G58,2)</f>
        <v/>
      </c>
    </row>
    <row r="59" ht="31.5" customHeight="1" s="116">
      <c r="A59" s="141" t="n">
        <v>43</v>
      </c>
      <c r="B59" s="94" t="inlineStr">
        <is>
          <t>02-07-10</t>
        </is>
      </c>
      <c r="C59" s="142" t="inlineStr">
        <is>
          <t>21.1.06.10-0155</t>
        </is>
      </c>
      <c r="D59" s="142" t="inlineStr">
        <is>
          <t>Кабель силовой с медными жилами ВВГнг(A)-FRLS 2х1,5ок(N)-1000</t>
        </is>
      </c>
      <c r="E59" s="141" t="inlineStr">
        <is>
          <t>1000 м</t>
        </is>
      </c>
      <c r="F59" s="141" t="n">
        <v>0.07344000000000001</v>
      </c>
      <c r="G59" s="77" t="n">
        <v>16712.36</v>
      </c>
      <c r="H59" s="77">
        <f>ROUND(F59*G59,2)</f>
        <v/>
      </c>
    </row>
    <row r="60" ht="31.5" customHeight="1" s="116">
      <c r="A60" s="141" t="n">
        <v>44</v>
      </c>
      <c r="B60" s="94" t="inlineStr">
        <is>
          <t>02-07-10</t>
        </is>
      </c>
      <c r="C60" s="142" t="inlineStr">
        <is>
          <t>21.1.06.10-0406</t>
        </is>
      </c>
      <c r="D60" s="142" t="inlineStr">
        <is>
          <t>Кабель силовой с медными жилами ВВГнг(A)-LS 5х1,5ок(N, PE)-1000</t>
        </is>
      </c>
      <c r="E60" s="141" t="inlineStr">
        <is>
          <t>1000 м</t>
        </is>
      </c>
      <c r="F60" s="141" t="n">
        <v>0.0765</v>
      </c>
      <c r="G60" s="77" t="n">
        <v>15576.85</v>
      </c>
      <c r="H60" s="77">
        <f>ROUND(F60*G60,2)</f>
        <v/>
      </c>
    </row>
    <row r="61" ht="31.5" customHeight="1" s="116">
      <c r="A61" s="141" t="n">
        <v>45</v>
      </c>
      <c r="B61" s="94" t="inlineStr">
        <is>
          <t>02-07-10</t>
        </is>
      </c>
      <c r="C61" s="142" t="inlineStr">
        <is>
          <t>20.5.02.04-0001</t>
        </is>
      </c>
      <c r="D61" s="142" t="inlineStr">
        <is>
          <t>Коробка ответвительная "DKC" размером 100х100х50 мм</t>
        </is>
      </c>
      <c r="E61" s="141" t="inlineStr">
        <is>
          <t>шт</t>
        </is>
      </c>
      <c r="F61" s="141" t="n">
        <v>45</v>
      </c>
      <c r="G61" s="77" t="n">
        <v>20.7</v>
      </c>
      <c r="H61" s="77">
        <f>ROUND(F61*G61,2)</f>
        <v/>
      </c>
    </row>
    <row r="62" ht="47.25" customHeight="1" s="116">
      <c r="A62" s="141" t="n">
        <v>46</v>
      </c>
      <c r="B62" s="94" t="inlineStr">
        <is>
          <t>02-07-10</t>
        </is>
      </c>
      <c r="C62" s="142" t="inlineStr">
        <is>
          <t>Прайс из СД ОП</t>
        </is>
      </c>
      <c r="D62" s="142" t="inlineStr">
        <is>
          <t>Световой указатель настенный ,без встроенного аккумулятора, MIZAR 4000-4 LED S,арт.4502002110,Световые технологии</t>
        </is>
      </c>
      <c r="E62" s="141" t="inlineStr">
        <is>
          <t>шт</t>
        </is>
      </c>
      <c r="F62" s="141" t="n">
        <v>1</v>
      </c>
      <c r="G62" s="77" t="n">
        <v>854.35</v>
      </c>
      <c r="H62" s="77">
        <f>ROUND(F62*G62,2)</f>
        <v/>
      </c>
    </row>
    <row r="63">
      <c r="A63" s="141" t="n">
        <v>47</v>
      </c>
      <c r="B63" s="94" t="inlineStr">
        <is>
          <t>02-07-10</t>
        </is>
      </c>
      <c r="C63" s="142" t="inlineStr">
        <is>
          <t>20.1.02.04-0023</t>
        </is>
      </c>
      <c r="D63" s="142" t="inlineStr">
        <is>
          <t>Колодка клеммная диаметром: 10 мм</t>
        </is>
      </c>
      <c r="E63" s="141" t="inlineStr">
        <is>
          <t>10 шт</t>
        </is>
      </c>
      <c r="F63" s="141" t="n">
        <v>20</v>
      </c>
      <c r="G63" s="77" t="n">
        <v>39.66</v>
      </c>
      <c r="H63" s="77">
        <f>ROUND(F63*G63,2)</f>
        <v/>
      </c>
    </row>
    <row r="64">
      <c r="A64" s="141" t="n">
        <v>48</v>
      </c>
      <c r="B64" s="94" t="inlineStr">
        <is>
          <t>02-07-10</t>
        </is>
      </c>
      <c r="C64" s="142" t="inlineStr">
        <is>
          <t>14.4.02.09-0001</t>
        </is>
      </c>
      <c r="D64" s="142" t="inlineStr">
        <is>
          <t>Краска</t>
        </is>
      </c>
      <c r="E64" s="141" t="inlineStr">
        <is>
          <t>кг</t>
        </is>
      </c>
      <c r="F64" s="141" t="n">
        <v>20.032</v>
      </c>
      <c r="G64" s="77" t="n">
        <v>28.6</v>
      </c>
      <c r="H64" s="77">
        <f>ROUND(F64*G64,2)</f>
        <v/>
      </c>
    </row>
    <row r="65" ht="47.25" customHeight="1" s="116">
      <c r="A65" s="141" t="n">
        <v>49</v>
      </c>
      <c r="B65" s="94" t="inlineStr">
        <is>
          <t>02-07-10</t>
        </is>
      </c>
      <c r="C65" s="142" t="inlineStr">
        <is>
          <t>Прайс из СД ОП</t>
        </is>
      </c>
      <c r="D65" s="142" t="inlineStr">
        <is>
          <t>Коробка соединительная 200х157х50,IP66,6 выводов, КСП "Север" ПЛ.6-РМ2-11,ООО НПП "Магнито-Контакт"</t>
        </is>
      </c>
      <c r="E65" s="141" t="inlineStr">
        <is>
          <t>шт</t>
        </is>
      </c>
      <c r="F65" s="141" t="n">
        <v>6</v>
      </c>
      <c r="G65" s="77" t="n">
        <v>95.01000000000001</v>
      </c>
      <c r="H65" s="77">
        <f>ROUND(F65*G65,2)</f>
        <v/>
      </c>
    </row>
    <row r="66" ht="31.5" customHeight="1" s="116">
      <c r="A66" s="141" t="n">
        <v>50</v>
      </c>
      <c r="B66" s="94" t="inlineStr">
        <is>
          <t>02-07-10</t>
        </is>
      </c>
      <c r="C66" s="142" t="inlineStr">
        <is>
          <t>24.1.02.01-0014</t>
        </is>
      </c>
      <c r="D66" s="142" t="inlineStr">
        <is>
          <t>Хомуты двухболтовые с быстродействующим замком для крепления труб размером 25-30 мм</t>
        </is>
      </c>
      <c r="E66" s="141" t="inlineStr">
        <is>
          <t>шт</t>
        </is>
      </c>
      <c r="F66" s="141" t="n">
        <v>40</v>
      </c>
      <c r="G66" s="77" t="n">
        <v>13.79</v>
      </c>
      <c r="H66" s="77">
        <f>ROUND(F66*G66,2)</f>
        <v/>
      </c>
    </row>
    <row r="67" ht="31.5" customHeight="1" s="116">
      <c r="A67" s="141" t="n">
        <v>51</v>
      </c>
      <c r="B67" s="94" t="inlineStr">
        <is>
          <t>02-07-10</t>
        </is>
      </c>
      <c r="C67" s="142" t="inlineStr">
        <is>
          <t>21.1.06.10-0377</t>
        </is>
      </c>
      <c r="D67" s="142" t="inlineStr">
        <is>
          <t>Кабель силовой с медными жилами ВВГнг(A)-LS 3х2,5ок(N, PE)-1000</t>
        </is>
      </c>
      <c r="E67" s="141" t="inlineStr">
        <is>
          <t>1000 м</t>
        </is>
      </c>
      <c r="F67" s="141" t="n">
        <v>0.025</v>
      </c>
      <c r="G67" s="77" t="n">
        <v>14498.24</v>
      </c>
      <c r="H67" s="77">
        <f>ROUND(F67*G67,2)</f>
        <v/>
      </c>
    </row>
    <row r="68" ht="31.5" customHeight="1" s="116">
      <c r="A68" s="141" t="n">
        <v>52</v>
      </c>
      <c r="B68" s="94" t="inlineStr">
        <is>
          <t>02-07-10</t>
        </is>
      </c>
      <c r="C68" s="142" t="inlineStr">
        <is>
          <t>10.3.02.03-0011</t>
        </is>
      </c>
      <c r="D68" s="142" t="inlineStr">
        <is>
          <t>Припои оловянно-свинцовые бессурьмянистые, марка ПОС30</t>
        </is>
      </c>
      <c r="E68" s="141" t="inlineStr">
        <is>
          <t>т</t>
        </is>
      </c>
      <c r="F68" s="141" t="n">
        <v>0.0047866</v>
      </c>
      <c r="G68" s="77" t="n">
        <v>68050</v>
      </c>
      <c r="H68" s="77">
        <f>ROUND(F68*G68,2)</f>
        <v/>
      </c>
    </row>
    <row r="69" ht="47.25" customHeight="1" s="116">
      <c r="A69" s="141" t="n">
        <v>53</v>
      </c>
      <c r="B69" s="94" t="inlineStr">
        <is>
          <t>02-07-10</t>
        </is>
      </c>
      <c r="C69" s="142" t="inlineStr">
        <is>
          <t>Прайс из СД ОП</t>
        </is>
      </c>
      <c r="D69" s="142" t="inlineStr">
        <is>
          <t>Рамка для монтажа светового указателя в подвесной потолок ST-36 рамка ,арт.2501002150,Световые технологии</t>
        </is>
      </c>
      <c r="E69" s="141" t="inlineStr">
        <is>
          <t>шт</t>
        </is>
      </c>
      <c r="F69" s="141" t="n">
        <v>1</v>
      </c>
      <c r="G69" s="77" t="n">
        <v>305.85</v>
      </c>
      <c r="H69" s="77">
        <f>ROUND(F69*G69,2)</f>
        <v/>
      </c>
    </row>
    <row r="70" ht="47.25" customHeight="1" s="116">
      <c r="A70" s="141" t="n">
        <v>54</v>
      </c>
      <c r="B70" s="94" t="inlineStr">
        <is>
          <t>02-07-10</t>
        </is>
      </c>
      <c r="C70" s="142" t="inlineStr">
        <is>
          <t>24.3.03.05-0032</t>
        </is>
      </c>
      <c r="D70" s="142" t="inlineStr">
        <is>
          <t>Трубы полиэтиленовые гибкие гофрированные тяжелые с протяжкой, номинальный внутренний диаметр 20 мм</t>
        </is>
      </c>
      <c r="E70" s="141" t="inlineStr">
        <is>
          <t>м</t>
        </is>
      </c>
      <c r="F70" s="141" t="n">
        <v>51</v>
      </c>
      <c r="G70" s="77" t="n">
        <v>5.76</v>
      </c>
      <c r="H70" s="77">
        <f>ROUND(F70*G70,2)</f>
        <v/>
      </c>
    </row>
    <row r="71" ht="47.25" customHeight="1" s="116">
      <c r="A71" s="141" t="n">
        <v>55</v>
      </c>
      <c r="B71" s="94" t="inlineStr">
        <is>
          <t>02-07-10</t>
        </is>
      </c>
      <c r="C71" s="142" t="inlineStr">
        <is>
          <t>20.2.09.05-0001</t>
        </is>
      </c>
      <c r="D71" s="142" t="inlineStr">
        <is>
          <t>Муфта соединительная "труба-коробка" для гофрированных или жестких гладких труб диаметром 25 мм, класс защиты IP65</t>
        </is>
      </c>
      <c r="E71" s="141" t="inlineStr">
        <is>
          <t>10 шт</t>
        </is>
      </c>
      <c r="F71" s="141" t="n">
        <v>2</v>
      </c>
      <c r="G71" s="77" t="n">
        <v>126.7</v>
      </c>
      <c r="H71" s="77">
        <f>ROUND(F71*G71,2)</f>
        <v/>
      </c>
    </row>
    <row r="72">
      <c r="A72" s="141" t="n">
        <v>56</v>
      </c>
      <c r="B72" s="94" t="inlineStr">
        <is>
          <t>02-07-10</t>
        </is>
      </c>
      <c r="C72" s="142" t="inlineStr">
        <is>
          <t>01.7.15.07-0014</t>
        </is>
      </c>
      <c r="D72" s="142" t="inlineStr">
        <is>
          <t>Дюбели распорные полипропиленовые</t>
        </is>
      </c>
      <c r="E72" s="141" t="inlineStr">
        <is>
          <t>100 шт</t>
        </is>
      </c>
      <c r="F72" s="141" t="n">
        <v>2.9398</v>
      </c>
      <c r="G72" s="77" t="n">
        <v>86</v>
      </c>
      <c r="H72" s="77">
        <f>ROUND(F72*G72,2)</f>
        <v/>
      </c>
    </row>
    <row r="73" ht="31.5" customHeight="1" s="116">
      <c r="A73" s="141" t="n">
        <v>57</v>
      </c>
      <c r="B73" s="94" t="inlineStr">
        <is>
          <t>02-07-10</t>
        </is>
      </c>
      <c r="C73" s="142" t="inlineStr">
        <is>
          <t>20.4.01.01-0031</t>
        </is>
      </c>
      <c r="D73" s="142" t="inlineStr">
        <is>
          <t>Выключатель одноклавишный для открытой проводки</t>
        </is>
      </c>
      <c r="E73" s="141" t="inlineStr">
        <is>
          <t>10 шт</t>
        </is>
      </c>
      <c r="F73" s="141" t="n">
        <v>3.4</v>
      </c>
      <c r="G73" s="77" t="n">
        <v>68</v>
      </c>
      <c r="H73" s="77">
        <f>ROUND(F73*G73,2)</f>
        <v/>
      </c>
    </row>
    <row r="74" ht="47.25" customHeight="1" s="116">
      <c r="A74" s="141" t="n">
        <v>58</v>
      </c>
      <c r="B74" s="94" t="inlineStr">
        <is>
          <t>02-07-10</t>
        </is>
      </c>
      <c r="C74" s="142" t="inlineStr">
        <is>
          <t>21.2.01.02-0141</t>
        </is>
      </c>
      <c r="D74" s="142" t="inlineStr">
        <is>
          <t>Провод неизолированный для воздушных линий электропередачи медные, марка М, сечение 4 мм2</t>
        </is>
      </c>
      <c r="E74" s="141" t="inlineStr">
        <is>
          <t>т</t>
        </is>
      </c>
      <c r="F74" s="141" t="n">
        <v>0.0022142</v>
      </c>
      <c r="G74" s="77" t="n">
        <v>96440</v>
      </c>
      <c r="H74" s="77">
        <f>ROUND(F74*G74,2)</f>
        <v/>
      </c>
    </row>
    <row r="75" ht="63" customHeight="1" s="116">
      <c r="A75" s="141" t="n">
        <v>59</v>
      </c>
      <c r="B75" s="94" t="inlineStr">
        <is>
          <t>02-07-10</t>
        </is>
      </c>
      <c r="C75" s="142" t="inlineStr">
        <is>
          <t>20.3.01.02-0003</t>
        </is>
      </c>
      <c r="D75" s="142" t="inlineStr">
        <is>
          <t>Наклейка пиктограмма "Выход налево", "Выход направо" из самоклеящейся пленки для светильника аварийного освещения ЛБО 20 (БС-842, БС-943, БС-741)</t>
        </is>
      </c>
      <c r="E75" s="141" t="inlineStr">
        <is>
          <t>100 шт</t>
        </is>
      </c>
      <c r="F75" s="141" t="n">
        <v>0.14</v>
      </c>
      <c r="G75" s="77" t="n">
        <v>1350.39</v>
      </c>
      <c r="H75" s="77">
        <f>ROUND(F75*G75,2)</f>
        <v/>
      </c>
    </row>
    <row r="76" ht="31.5" customHeight="1" s="116">
      <c r="A76" s="141" t="n">
        <v>60</v>
      </c>
      <c r="B76" s="94" t="inlineStr">
        <is>
          <t>02-07-10</t>
        </is>
      </c>
      <c r="C76" s="142" t="inlineStr">
        <is>
          <t>Прайс из СД ОП</t>
        </is>
      </c>
      <c r="D76" s="142" t="inlineStr">
        <is>
          <t>Держатель оцинкованный односторонний диам.32мм,арт. 53346 ,ДКС</t>
        </is>
      </c>
      <c r="E76" s="141" t="inlineStr">
        <is>
          <t>шт</t>
        </is>
      </c>
      <c r="F76" s="141" t="n">
        <v>80</v>
      </c>
      <c r="G76" s="77" t="n">
        <v>2.34</v>
      </c>
      <c r="H76" s="77">
        <f>ROUND(F76*G76,2)</f>
        <v/>
      </c>
    </row>
    <row r="77" ht="31.5" customHeight="1" s="116">
      <c r="A77" s="141" t="n">
        <v>61</v>
      </c>
      <c r="B77" s="94" t="inlineStr">
        <is>
          <t>02-07-10</t>
        </is>
      </c>
      <c r="C77" s="142" t="inlineStr">
        <is>
          <t>999-9950</t>
        </is>
      </c>
      <c r="D77" s="142" t="inlineStr">
        <is>
          <t>Вспомогательные ненормируемые ресурсы (2% от Оплаты труда рабочих)</t>
        </is>
      </c>
      <c r="E77" s="141" t="inlineStr">
        <is>
          <t>руб</t>
        </is>
      </c>
      <c r="F77" s="141" t="n">
        <v>179.5862</v>
      </c>
      <c r="G77" s="77" t="n">
        <v>1</v>
      </c>
      <c r="H77" s="77">
        <f>ROUND(F77*G77,2)</f>
        <v/>
      </c>
    </row>
    <row r="78" ht="31.5" customHeight="1" s="116">
      <c r="A78" s="141" t="n">
        <v>62</v>
      </c>
      <c r="B78" s="94" t="inlineStr">
        <is>
          <t>02-07-10</t>
        </is>
      </c>
      <c r="C78" s="142" t="inlineStr">
        <is>
          <t>08.3.07.01-0076</t>
        </is>
      </c>
      <c r="D78" s="142" t="inlineStr">
        <is>
          <t>Прокат полосовой, горячекатаный, марка стали Ст3сп, ширина 50-200 мм, толщина 4-5 мм</t>
        </is>
      </c>
      <c r="E78" s="141" t="inlineStr">
        <is>
          <t>т</t>
        </is>
      </c>
      <c r="F78" s="141" t="n">
        <v>0.02702</v>
      </c>
      <c r="G78" s="77" t="n">
        <v>5000</v>
      </c>
      <c r="H78" s="77">
        <f>ROUND(F78*G78,2)</f>
        <v/>
      </c>
    </row>
    <row r="79">
      <c r="A79" s="141" t="n">
        <v>63</v>
      </c>
      <c r="B79" s="94" t="inlineStr">
        <is>
          <t>02-07-10</t>
        </is>
      </c>
      <c r="C79" s="142" t="inlineStr">
        <is>
          <t>20.5.04.10-0011</t>
        </is>
      </c>
      <c r="D79" s="142" t="inlineStr">
        <is>
          <t>Сжимы соединительные</t>
        </is>
      </c>
      <c r="E79" s="141" t="inlineStr">
        <is>
          <t>100 шт</t>
        </is>
      </c>
      <c r="F79" s="141" t="n">
        <v>1.2648</v>
      </c>
      <c r="G79" s="77" t="n">
        <v>100</v>
      </c>
      <c r="H79" s="77">
        <f>ROUND(F79*G79,2)</f>
        <v/>
      </c>
    </row>
    <row r="80">
      <c r="A80" s="141" t="n">
        <v>64</v>
      </c>
      <c r="B80" s="94" t="inlineStr">
        <is>
          <t>02-07-10</t>
        </is>
      </c>
      <c r="C80" s="142" t="inlineStr">
        <is>
          <t>14.4.03.03-0002</t>
        </is>
      </c>
      <c r="D80" s="142" t="inlineStr">
        <is>
          <t>Лак битумный БТ-123</t>
        </is>
      </c>
      <c r="E80" s="141" t="inlineStr">
        <is>
          <t>т</t>
        </is>
      </c>
      <c r="F80" s="141" t="n">
        <v>0.0137142</v>
      </c>
      <c r="G80" s="77" t="n">
        <v>7826.9</v>
      </c>
      <c r="H80" s="77">
        <f>ROUND(F80*G80,2)</f>
        <v/>
      </c>
    </row>
    <row r="81">
      <c r="A81" s="141" t="n">
        <v>65</v>
      </c>
      <c r="B81" s="94" t="inlineStr">
        <is>
          <t>02-07-10</t>
        </is>
      </c>
      <c r="C81" s="142" t="inlineStr">
        <is>
          <t>01.7.02.07-0011</t>
        </is>
      </c>
      <c r="D81" s="142" t="inlineStr">
        <is>
          <t>Прессшпан листовой, марка А</t>
        </is>
      </c>
      <c r="E81" s="141" t="inlineStr">
        <is>
          <t>кг</t>
        </is>
      </c>
      <c r="F81" s="141" t="n">
        <v>2.25</v>
      </c>
      <c r="G81" s="77" t="n">
        <v>47.57</v>
      </c>
      <c r="H81" s="77">
        <f>ROUND(F81*G81,2)</f>
        <v/>
      </c>
    </row>
    <row r="82">
      <c r="A82" s="141" t="n">
        <v>66</v>
      </c>
      <c r="B82" s="94" t="inlineStr">
        <is>
          <t>02-07-10</t>
        </is>
      </c>
      <c r="C82" s="142" t="inlineStr">
        <is>
          <t>25.2.01.01-0017</t>
        </is>
      </c>
      <c r="D82" s="142" t="inlineStr">
        <is>
          <t>Бирки маркировочные пластмассовые</t>
        </is>
      </c>
      <c r="E82" s="141" t="inlineStr">
        <is>
          <t>100 шт</t>
        </is>
      </c>
      <c r="F82" s="141" t="n">
        <v>2.7</v>
      </c>
      <c r="G82" s="77" t="n">
        <v>30.74</v>
      </c>
      <c r="H82" s="77">
        <f>ROUND(F82*G82,2)</f>
        <v/>
      </c>
    </row>
    <row r="83">
      <c r="A83" s="141" t="n">
        <v>67</v>
      </c>
      <c r="B83" s="94" t="inlineStr">
        <is>
          <t>02-07-10</t>
        </is>
      </c>
      <c r="C83" s="142" t="inlineStr">
        <is>
          <t>01.7.20.04-0003</t>
        </is>
      </c>
      <c r="D83" s="142" t="inlineStr">
        <is>
          <t>Нитки суровые</t>
        </is>
      </c>
      <c r="E83" s="141" t="inlineStr">
        <is>
          <t>кг</t>
        </is>
      </c>
      <c r="F83" s="141" t="n">
        <v>0.45</v>
      </c>
      <c r="G83" s="77" t="n">
        <v>155</v>
      </c>
      <c r="H83" s="77">
        <f>ROUND(F83*G83,2)</f>
        <v/>
      </c>
    </row>
    <row r="84" ht="31.5" customHeight="1" s="116">
      <c r="A84" s="141" t="n">
        <v>68</v>
      </c>
      <c r="B84" s="94" t="inlineStr">
        <is>
          <t>02-07-10</t>
        </is>
      </c>
      <c r="C84" s="142" t="inlineStr">
        <is>
          <t>Прайс из СД ОП</t>
        </is>
      </c>
      <c r="D84" s="142" t="inlineStr">
        <is>
          <t>Держатель оцинкованный односторонний диам.16мм,арт. 53341 ,ДК</t>
        </is>
      </c>
      <c r="E84" s="141" t="inlineStr">
        <is>
          <t>шт</t>
        </is>
      </c>
      <c r="F84" s="141" t="n">
        <v>60</v>
      </c>
      <c r="G84" s="77" t="n">
        <v>1.03</v>
      </c>
      <c r="H84" s="77">
        <f>ROUND(F84*G84,2)</f>
        <v/>
      </c>
    </row>
    <row r="85">
      <c r="A85" s="141" t="n">
        <v>69</v>
      </c>
      <c r="B85" s="94" t="inlineStr">
        <is>
          <t>02-07-10</t>
        </is>
      </c>
      <c r="C85" s="142" t="inlineStr">
        <is>
          <t>20.1.02.23-0082</t>
        </is>
      </c>
      <c r="D85" s="142" t="inlineStr">
        <is>
          <t>Перемычки гибкие, тип ПГС-50</t>
        </is>
      </c>
      <c r="E85" s="141" t="inlineStr">
        <is>
          <t>10 шт</t>
        </is>
      </c>
      <c r="F85" s="141" t="n">
        <v>1.26</v>
      </c>
      <c r="G85" s="77" t="n">
        <v>39</v>
      </c>
      <c r="H85" s="77">
        <f>ROUND(F85*G85,2)</f>
        <v/>
      </c>
    </row>
    <row r="86">
      <c r="A86" s="141" t="n">
        <v>70</v>
      </c>
      <c r="B86" s="94" t="inlineStr">
        <is>
          <t>02-07-10</t>
        </is>
      </c>
      <c r="C86" s="142" t="inlineStr">
        <is>
          <t>01.7.15.07-0152</t>
        </is>
      </c>
      <c r="D86" s="142" t="inlineStr">
        <is>
          <t>Дюбели с шурупом, размер 6х35 мм</t>
        </is>
      </c>
      <c r="E86" s="141" t="inlineStr">
        <is>
          <t>100 шт</t>
        </is>
      </c>
      <c r="F86" s="141" t="n">
        <v>6.125</v>
      </c>
      <c r="G86" s="77" t="n">
        <v>8</v>
      </c>
      <c r="H86" s="77">
        <f>ROUND(F86*G86,2)</f>
        <v/>
      </c>
    </row>
    <row r="87">
      <c r="A87" s="141" t="n">
        <v>71</v>
      </c>
      <c r="B87" s="94" t="inlineStr">
        <is>
          <t>02-07-10</t>
        </is>
      </c>
      <c r="C87" s="142" t="inlineStr">
        <is>
          <t>Прайс из СД ОП</t>
        </is>
      </c>
      <c r="D87" s="142" t="inlineStr">
        <is>
          <t>Светильник переносной  ЛСУ-2  12/24В DC</t>
        </is>
      </c>
      <c r="E87" s="141" t="inlineStr">
        <is>
          <t>шт</t>
        </is>
      </c>
      <c r="F87" s="141" t="n">
        <v>1</v>
      </c>
      <c r="G87" s="77" t="n">
        <v>47.95</v>
      </c>
      <c r="H87" s="77">
        <f>ROUND(F87*G87,2)</f>
        <v/>
      </c>
    </row>
    <row r="88">
      <c r="A88" s="141" t="n">
        <v>72</v>
      </c>
      <c r="B88" s="94" t="inlineStr">
        <is>
          <t>02-07-10</t>
        </is>
      </c>
      <c r="C88" s="142" t="inlineStr">
        <is>
          <t>20.5.04.09-0001</t>
        </is>
      </c>
      <c r="D88" s="142" t="inlineStr">
        <is>
          <t>Сжимы ответвительные</t>
        </is>
      </c>
      <c r="E88" s="141" t="inlineStr">
        <is>
          <t>100 шт</t>
        </is>
      </c>
      <c r="F88" s="141" t="n">
        <v>0.082</v>
      </c>
      <c r="G88" s="77" t="n">
        <v>528</v>
      </c>
      <c r="H88" s="77">
        <f>ROUND(F88*G88,2)</f>
        <v/>
      </c>
    </row>
    <row r="89">
      <c r="A89" s="141" t="n">
        <v>73</v>
      </c>
      <c r="B89" s="94" t="inlineStr">
        <is>
          <t>02-07-10</t>
        </is>
      </c>
      <c r="C89" s="142" t="inlineStr">
        <is>
          <t>01.7.15.14-0165</t>
        </is>
      </c>
      <c r="D89" s="142" t="inlineStr">
        <is>
          <t>Шурупы с полукруглой головкой 4х40 мм</t>
        </is>
      </c>
      <c r="E89" s="141" t="inlineStr">
        <is>
          <t>т</t>
        </is>
      </c>
      <c r="F89" s="141" t="n">
        <v>0.0031751</v>
      </c>
      <c r="G89" s="77" t="n">
        <v>12430</v>
      </c>
      <c r="H89" s="77">
        <f>ROUND(F89*G89,2)</f>
        <v/>
      </c>
    </row>
    <row r="90" ht="31.5" customHeight="1" s="116">
      <c r="A90" s="141" t="n">
        <v>74</v>
      </c>
      <c r="B90" s="94" t="inlineStr">
        <is>
          <t>02-07-10</t>
        </is>
      </c>
      <c r="C90" s="142" t="inlineStr">
        <is>
          <t>01.7.15.07-0022</t>
        </is>
      </c>
      <c r="D90" s="142" t="inlineStr">
        <is>
          <t>Дюбели распорные полиэтиленовые, размер 6х40 мм</t>
        </is>
      </c>
      <c r="E90" s="141" t="inlineStr">
        <is>
          <t>1000 шт</t>
        </is>
      </c>
      <c r="F90" s="141" t="n">
        <v>0.2</v>
      </c>
      <c r="G90" s="77" t="n">
        <v>180</v>
      </c>
      <c r="H90" s="77">
        <f>ROUND(F90*G90,2)</f>
        <v/>
      </c>
    </row>
    <row r="91">
      <c r="A91" s="141" t="n">
        <v>75</v>
      </c>
      <c r="B91" s="94" t="inlineStr">
        <is>
          <t>02-07-10</t>
        </is>
      </c>
      <c r="C91" s="142" t="inlineStr">
        <is>
          <t>01.7.06.07-0002</t>
        </is>
      </c>
      <c r="D91" s="142" t="inlineStr">
        <is>
          <t>Лента монтажная, тип ЛМ-5</t>
        </is>
      </c>
      <c r="E91" s="141" t="inlineStr">
        <is>
          <t>10 м</t>
        </is>
      </c>
      <c r="F91" s="141" t="n">
        <v>4.51045</v>
      </c>
      <c r="G91" s="77" t="n">
        <v>6.9</v>
      </c>
      <c r="H91" s="77">
        <f>ROUND(F91*G91,2)</f>
        <v/>
      </c>
    </row>
    <row r="92" ht="31.5" customHeight="1" s="116">
      <c r="A92" s="141" t="n">
        <v>76</v>
      </c>
      <c r="B92" s="94" t="inlineStr">
        <is>
          <t>02-07-10</t>
        </is>
      </c>
      <c r="C92" s="142" t="inlineStr">
        <is>
          <t>10.3.02.03-0012</t>
        </is>
      </c>
      <c r="D92" s="142" t="inlineStr">
        <is>
          <t>Припои оловянно-свинцовые бессурьмянистые, марка ПОС40</t>
        </is>
      </c>
      <c r="E92" s="141" t="inlineStr">
        <is>
          <t>т</t>
        </is>
      </c>
      <c r="F92" s="141" t="n">
        <v>0.00045</v>
      </c>
      <c r="G92" s="77" t="n">
        <v>65750</v>
      </c>
      <c r="H92" s="77">
        <f>ROUND(F92*G92,2)</f>
        <v/>
      </c>
    </row>
    <row r="93" ht="47.25" customHeight="1" s="116">
      <c r="A93" s="141" t="n">
        <v>77</v>
      </c>
      <c r="B93" s="94" t="inlineStr">
        <is>
          <t>02-07-10</t>
        </is>
      </c>
      <c r="C93" s="142" t="inlineStr">
        <is>
          <t>Прайс из СД ОП</t>
        </is>
      </c>
      <c r="D93" s="142" t="inlineStr">
        <is>
          <t>Светодиодная лампа  для переносного светильника  XF-E27-F65-P-12W-3000K-12V,арт.47178,X-flash</t>
        </is>
      </c>
      <c r="E93" s="141" t="inlineStr">
        <is>
          <t>шт</t>
        </is>
      </c>
      <c r="F93" s="141" t="n">
        <v>1</v>
      </c>
      <c r="G93" s="77" t="n">
        <v>29.05</v>
      </c>
      <c r="H93" s="77">
        <f>ROUND(F93*G93,2)</f>
        <v/>
      </c>
    </row>
    <row r="94">
      <c r="A94" s="141" t="n">
        <v>78</v>
      </c>
      <c r="B94" s="94" t="inlineStr">
        <is>
          <t>02-07-10</t>
        </is>
      </c>
      <c r="C94" s="142" t="inlineStr">
        <is>
          <t>01.7.15.03-0042</t>
        </is>
      </c>
      <c r="D94" s="142" t="inlineStr">
        <is>
          <t>Болты с гайками и шайбами строительные</t>
        </is>
      </c>
      <c r="E94" s="141" t="inlineStr">
        <is>
          <t>кг</t>
        </is>
      </c>
      <c r="F94" s="141" t="n">
        <v>3.0491</v>
      </c>
      <c r="G94" s="77" t="n">
        <v>9.039999999999999</v>
      </c>
      <c r="H94" s="77">
        <f>ROUND(F94*G94,2)</f>
        <v/>
      </c>
    </row>
    <row r="95" ht="47.25" customHeight="1" s="116">
      <c r="A95" s="141" t="n">
        <v>79</v>
      </c>
      <c r="B95" s="94" t="inlineStr">
        <is>
          <t>02-07-10</t>
        </is>
      </c>
      <c r="C95" s="142" t="inlineStr">
        <is>
          <t>01.7.06.05-0042</t>
        </is>
      </c>
      <c r="D95" s="142" t="inlineStr">
        <is>
          <t>Лента липкая изоляционная на поликасиновом компаунде, ширина 20-30 мм, толщина от 0,14 до 0,19 мм</t>
        </is>
      </c>
      <c r="E95" s="141" t="inlineStr">
        <is>
          <t>кг</t>
        </is>
      </c>
      <c r="F95" s="141" t="n">
        <v>0.225</v>
      </c>
      <c r="G95" s="77" t="n">
        <v>91.29000000000001</v>
      </c>
      <c r="H95" s="77">
        <f>ROUND(F95*G95,2)</f>
        <v/>
      </c>
    </row>
    <row r="96">
      <c r="A96" s="141" t="n">
        <v>80</v>
      </c>
      <c r="B96" s="94" t="inlineStr">
        <is>
          <t>02-07-10</t>
        </is>
      </c>
      <c r="C96" s="142" t="inlineStr">
        <is>
          <t>14.4.03.17-0011</t>
        </is>
      </c>
      <c r="D96" s="142" t="inlineStr">
        <is>
          <t>Лак электроизоляционный 318</t>
        </is>
      </c>
      <c r="E96" s="141" t="inlineStr">
        <is>
          <t>кг</t>
        </is>
      </c>
      <c r="F96" s="141" t="n">
        <v>0.504</v>
      </c>
      <c r="G96" s="77" t="n">
        <v>35.63</v>
      </c>
      <c r="H96" s="77">
        <f>ROUND(F96*G96,2)</f>
        <v/>
      </c>
    </row>
    <row r="97">
      <c r="A97" s="141" t="n">
        <v>81</v>
      </c>
      <c r="B97" s="94" t="inlineStr">
        <is>
          <t>02-07-10</t>
        </is>
      </c>
      <c r="C97" s="142" t="inlineStr">
        <is>
          <t>01.7.15.04-0011</t>
        </is>
      </c>
      <c r="D97" s="142" t="inlineStr">
        <is>
          <t>Винты с полукруглой головкой, длина 50 мм</t>
        </is>
      </c>
      <c r="E97" s="141" t="inlineStr">
        <is>
          <t>т</t>
        </is>
      </c>
      <c r="F97" s="141" t="n">
        <v>0.0012852</v>
      </c>
      <c r="G97" s="77" t="n">
        <v>12430</v>
      </c>
      <c r="H97" s="77">
        <f>ROUND(F97*G97,2)</f>
        <v/>
      </c>
    </row>
    <row r="98" ht="47.25" customHeight="1" s="116">
      <c r="A98" s="141" t="n">
        <v>82</v>
      </c>
      <c r="B98" s="94" t="inlineStr">
        <is>
          <t>02-07-10</t>
        </is>
      </c>
      <c r="C98" s="142" t="inlineStr">
        <is>
          <t>01.7.06.05-0041</t>
        </is>
      </c>
      <c r="D98" s="142" t="inlineStr">
        <is>
          <t>Лента изоляционная прорезиненная односторонняя, ширина 20 мм, толщина 0,25-0,35 мм</t>
        </is>
      </c>
      <c r="E98" s="141" t="inlineStr">
        <is>
          <t>кг</t>
        </is>
      </c>
      <c r="F98" s="141" t="n">
        <v>0.4086</v>
      </c>
      <c r="G98" s="77" t="n">
        <v>30.4</v>
      </c>
      <c r="H98" s="77">
        <f>ROUND(F98*G98,2)</f>
        <v/>
      </c>
    </row>
    <row r="99">
      <c r="A99" s="141" t="n">
        <v>83</v>
      </c>
      <c r="B99" s="94" t="inlineStr">
        <is>
          <t>02-07-10</t>
        </is>
      </c>
      <c r="C99" s="142" t="inlineStr">
        <is>
          <t>24.3.01.01-0002</t>
        </is>
      </c>
      <c r="D99" s="142" t="inlineStr">
        <is>
          <t>Трубка полихлорвиниловая</t>
        </is>
      </c>
      <c r="E99" s="141" t="inlineStr">
        <is>
          <t>кг</t>
        </is>
      </c>
      <c r="F99" s="141" t="n">
        <v>0.328</v>
      </c>
      <c r="G99" s="77" t="n">
        <v>35.7</v>
      </c>
      <c r="H99" s="77">
        <f>ROUND(F99*G99,2)</f>
        <v/>
      </c>
    </row>
    <row r="100">
      <c r="A100" s="141" t="n">
        <v>84</v>
      </c>
      <c r="B100" s="94" t="inlineStr">
        <is>
          <t>02-07-10</t>
        </is>
      </c>
      <c r="C100" s="142" t="inlineStr">
        <is>
          <t>20.2.02.01-0019</t>
        </is>
      </c>
      <c r="D100" s="142" t="inlineStr">
        <is>
          <t>Втулки изолирующие</t>
        </is>
      </c>
      <c r="E100" s="141" t="inlineStr">
        <is>
          <t>1000 шт</t>
        </is>
      </c>
      <c r="F100" s="141" t="n">
        <v>0.042</v>
      </c>
      <c r="G100" s="77" t="n">
        <v>270</v>
      </c>
      <c r="H100" s="77">
        <f>ROUND(F100*G100,2)</f>
        <v/>
      </c>
    </row>
    <row r="101">
      <c r="A101" s="141" t="n">
        <v>85</v>
      </c>
      <c r="B101" s="94" t="inlineStr">
        <is>
          <t>02-07-10</t>
        </is>
      </c>
      <c r="C101" s="142" t="inlineStr">
        <is>
          <t>01.7.11.07-0034</t>
        </is>
      </c>
      <c r="D101" s="142" t="inlineStr">
        <is>
          <t>Электроды сварочные Э42А, диаметр 4 мм</t>
        </is>
      </c>
      <c r="E101" s="141" t="inlineStr">
        <is>
          <t>кг</t>
        </is>
      </c>
      <c r="F101" s="141" t="n">
        <v>0.95408</v>
      </c>
      <c r="G101" s="77" t="n">
        <v>10.57</v>
      </c>
      <c r="H101" s="77">
        <f>ROUND(F101*G101,2)</f>
        <v/>
      </c>
    </row>
    <row r="102">
      <c r="A102" s="141" t="n">
        <v>86</v>
      </c>
      <c r="B102" s="94" t="inlineStr">
        <is>
          <t>02-07-10</t>
        </is>
      </c>
      <c r="C102" s="142" t="inlineStr">
        <is>
          <t>01.3.01.02-0002</t>
        </is>
      </c>
      <c r="D102" s="142" t="inlineStr">
        <is>
          <t>Вазелин технический</t>
        </is>
      </c>
      <c r="E102" s="141" t="inlineStr">
        <is>
          <t>кг</t>
        </is>
      </c>
      <c r="F102" s="141" t="n">
        <v>0.054</v>
      </c>
      <c r="G102" s="77" t="n">
        <v>44.97</v>
      </c>
      <c r="H102" s="77">
        <f>ROUND(F102*G102,2)</f>
        <v/>
      </c>
      <c r="K102" s="185" t="n"/>
    </row>
    <row r="103">
      <c r="A103" s="141" t="n">
        <v>87</v>
      </c>
      <c r="B103" s="94" t="inlineStr">
        <is>
          <t>02-07-10</t>
        </is>
      </c>
      <c r="C103" s="142" t="inlineStr">
        <is>
          <t>01.7.15.14-0161</t>
        </is>
      </c>
      <c r="D103" s="142" t="inlineStr">
        <is>
          <t>Шурупы с полукруглой головкой 2,5х20 мм</t>
        </is>
      </c>
      <c r="E103" s="141" t="inlineStr">
        <is>
          <t>т</t>
        </is>
      </c>
      <c r="F103" s="97" t="n">
        <v>8.000000000000001e-05</v>
      </c>
      <c r="G103" s="77" t="n">
        <v>29800</v>
      </c>
      <c r="H103" s="77">
        <f>ROUND(F103*G103,2)</f>
        <v/>
      </c>
    </row>
    <row r="104">
      <c r="A104" s="141" t="n">
        <v>88</v>
      </c>
      <c r="B104" s="94" t="inlineStr">
        <is>
          <t>02-07-10</t>
        </is>
      </c>
      <c r="C104" s="142" t="inlineStr">
        <is>
          <t>01.7.20.04-0005</t>
        </is>
      </c>
      <c r="D104" s="142" t="inlineStr">
        <is>
          <t>Нитки швейные</t>
        </is>
      </c>
      <c r="E104" s="141" t="inlineStr">
        <is>
          <t>кг</t>
        </is>
      </c>
      <c r="F104" s="141" t="n">
        <v>0.008999999999999999</v>
      </c>
      <c r="G104" s="77" t="n">
        <v>133.05</v>
      </c>
      <c r="H104" s="77">
        <f>ROUND(F104*G104,2)</f>
        <v/>
      </c>
    </row>
    <row r="105">
      <c r="A105" s="141" t="n">
        <v>89</v>
      </c>
      <c r="B105" s="94" t="inlineStr">
        <is>
          <t>02-07-10</t>
        </is>
      </c>
      <c r="C105" s="142" t="inlineStr">
        <is>
          <t>01.7.06.12-0008</t>
        </is>
      </c>
      <c r="D105" s="142" t="inlineStr">
        <is>
          <t>Лента ПВХ</t>
        </is>
      </c>
      <c r="E105" s="141" t="inlineStr">
        <is>
          <t>кг</t>
        </is>
      </c>
      <c r="F105" s="141" t="n">
        <v>0.048</v>
      </c>
      <c r="G105" s="77" t="n">
        <v>24.04</v>
      </c>
      <c r="H105" s="77">
        <f>ROUND(F105*G105,2)</f>
        <v/>
      </c>
    </row>
    <row r="106">
      <c r="A106" s="141" t="n">
        <v>90</v>
      </c>
      <c r="B106" s="94" t="inlineStr">
        <is>
          <t>02-07-10</t>
        </is>
      </c>
      <c r="C106" s="142" t="inlineStr">
        <is>
          <t>01.7.03.04-0001</t>
        </is>
      </c>
      <c r="D106" s="142" t="inlineStr">
        <is>
          <t>Электроэнергия</t>
        </is>
      </c>
      <c r="E106" s="141" t="inlineStr">
        <is>
          <t>кВт-ч</t>
        </is>
      </c>
      <c r="F106" s="141" t="n">
        <v>2.7</v>
      </c>
      <c r="G106" s="77" t="n">
        <v>0.4</v>
      </c>
      <c r="H106" s="77">
        <f>ROUND(F106*G106,2)</f>
        <v/>
      </c>
    </row>
    <row r="107">
      <c r="A107" s="141" t="n">
        <v>91</v>
      </c>
      <c r="B107" s="94" t="inlineStr">
        <is>
          <t>02-07-10</t>
        </is>
      </c>
      <c r="C107" s="142" t="inlineStr">
        <is>
          <t>01.7.02.09-0002</t>
        </is>
      </c>
      <c r="D107" s="142" t="inlineStr">
        <is>
          <t>Шпагат бумажный</t>
        </is>
      </c>
      <c r="E107" s="141" t="inlineStr">
        <is>
          <t>кг</t>
        </is>
      </c>
      <c r="F107" s="141" t="n">
        <v>0.008999999999999999</v>
      </c>
      <c r="G107" s="77" t="n">
        <v>11.5</v>
      </c>
      <c r="H107" s="77">
        <f>ROUND(F107*G107,2)</f>
        <v/>
      </c>
    </row>
    <row r="108">
      <c r="J108" s="95" t="n"/>
    </row>
    <row r="110">
      <c r="B110" s="118" t="inlineStr">
        <is>
          <t>Составил ______________________        Е.А. Князева</t>
        </is>
      </c>
    </row>
    <row r="111">
      <c r="B111" s="58" t="inlineStr">
        <is>
          <t xml:space="preserve">                         (подпись, инициалы, фамилия)</t>
        </is>
      </c>
    </row>
    <row r="113">
      <c r="B113" s="118" t="inlineStr">
        <is>
          <t>Проверил ______________________        А.В. Костянецкая</t>
        </is>
      </c>
    </row>
    <row r="114">
      <c r="B114" s="5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A38:E38"/>
    <mergeCell ref="E9:E10"/>
    <mergeCell ref="A9:A10"/>
    <mergeCell ref="F9:F10"/>
    <mergeCell ref="A2:H2"/>
    <mergeCell ref="A32:E3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1" sqref="B41"/>
    </sheetView>
  </sheetViews>
  <sheetFormatPr baseColWidth="8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9.140625" customWidth="1" style="116" min="6" max="6"/>
    <col width="12.85546875" customWidth="1" style="116" min="7" max="7"/>
    <col width="9.140625" customWidth="1" style="116" min="8" max="11"/>
    <col width="13.5703125" customWidth="1" style="116" min="12" max="12"/>
    <col width="9.140625" customWidth="1" style="116" min="13" max="13"/>
  </cols>
  <sheetData>
    <row r="1">
      <c r="B1" s="112" t="n"/>
      <c r="C1" s="112" t="n"/>
      <c r="D1" s="112" t="n"/>
      <c r="E1" s="112" t="n"/>
    </row>
    <row r="2">
      <c r="B2" s="112" t="n"/>
      <c r="C2" s="112" t="n"/>
      <c r="D2" s="112" t="n"/>
      <c r="E2" s="166" t="inlineStr">
        <is>
          <t>Приложение № 4</t>
        </is>
      </c>
    </row>
    <row r="3">
      <c r="B3" s="112" t="n"/>
      <c r="C3" s="112" t="n"/>
      <c r="D3" s="112" t="n"/>
      <c r="E3" s="112" t="n"/>
    </row>
    <row r="4">
      <c r="B4" s="112" t="n"/>
      <c r="C4" s="112" t="n"/>
      <c r="D4" s="112" t="n"/>
      <c r="E4" s="112" t="n"/>
    </row>
    <row r="5">
      <c r="B5" s="143" t="inlineStr">
        <is>
          <t>Ресурсная модель</t>
        </is>
      </c>
    </row>
    <row r="6">
      <c r="B6" s="16" t="n"/>
      <c r="C6" s="112" t="n"/>
      <c r="D6" s="112" t="n"/>
      <c r="E6" s="112" t="n"/>
    </row>
    <row r="7" ht="39.75" customHeight="1" s="116">
      <c r="B7" s="144">
        <f>'Прил.1 Сравнит табл'!B7</f>
        <v/>
      </c>
    </row>
    <row r="8">
      <c r="B8" s="145">
        <f>'Прил.1 Сравнит табл'!B9</f>
        <v/>
      </c>
    </row>
    <row r="9">
      <c r="B9" s="16" t="n"/>
      <c r="C9" s="112" t="n"/>
      <c r="D9" s="112" t="n"/>
      <c r="E9" s="112" t="n"/>
    </row>
    <row r="10" ht="51" customHeight="1" s="116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ОБ'!J68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ОБ'!J119</f>
        <v/>
      </c>
      <c r="D17" s="26">
        <f>C17/$C$24</f>
        <v/>
      </c>
      <c r="E17" s="26">
        <f>C17/$C$40</f>
        <v/>
      </c>
      <c r="G17" s="186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ОБ'!E123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ОБ'!E122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16">
      <c r="B25" s="7" t="inlineStr">
        <is>
          <t>ВСЕГО стоимость оборудования, в том числе</t>
        </is>
      </c>
      <c r="C25" s="27">
        <f>'Прил.5 Расчет СМР и ОБ'!J40</f>
        <v/>
      </c>
      <c r="D25" s="26" t="n"/>
      <c r="E25" s="26">
        <f>C25/$C$40</f>
        <v/>
      </c>
    </row>
    <row r="26" ht="25.5" customHeight="1" s="116">
      <c r="B26" s="7" t="inlineStr">
        <is>
          <t>стоимость оборудования технологического</t>
        </is>
      </c>
      <c r="C26" s="27">
        <f>'Прил.5 Расчет СМР и ОБ'!J41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16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6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16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12255.55</v>
      </c>
      <c r="D31" s="7" t="n"/>
      <c r="E31" s="26">
        <f>C31/$C$40</f>
        <v/>
      </c>
    </row>
    <row r="32" ht="25.5" customHeight="1" s="116">
      <c r="B32" s="7" t="inlineStr">
        <is>
          <t>Затраты по перевозке работников к месту работы и обратно - 0,08%</t>
        </is>
      </c>
      <c r="C32" s="25" t="n">
        <v>0</v>
      </c>
      <c r="D32" s="7" t="n"/>
      <c r="E32" s="26">
        <f>C32/$C$40</f>
        <v/>
      </c>
      <c r="G32" s="93" t="n"/>
    </row>
    <row r="33" ht="25.5" customHeight="1" s="116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93" t="n"/>
    </row>
    <row r="34" ht="51" customHeight="1" s="116">
      <c r="B34" s="7" t="inlineStr">
        <is>
          <t>Расходы на командировки рабочих и пусконаладочного персонала, привлекаемых для выполнения строительства - 0,46%</t>
        </is>
      </c>
      <c r="C34" s="25" t="n">
        <v>0</v>
      </c>
      <c r="D34" s="7" t="n"/>
      <c r="E34" s="26">
        <f>C34/$C$40</f>
        <v/>
      </c>
      <c r="G34" s="93" t="n"/>
    </row>
    <row r="35" ht="76.5" customHeight="1" s="116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93" t="n"/>
    </row>
    <row r="36" ht="25.5" customHeight="1" s="116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16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16">
      <c r="B39" s="7" t="inlineStr">
        <is>
          <t>Непредвиденные расходы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ОБ'!E126</f>
        <v/>
      </c>
      <c r="D41" s="7" t="n"/>
      <c r="E41" s="7" t="n"/>
    </row>
    <row r="42">
      <c r="B42" s="19" t="n"/>
      <c r="C42" s="112" t="n"/>
      <c r="D42" s="112" t="n"/>
      <c r="E42" s="112" t="n"/>
    </row>
    <row r="43">
      <c r="B43" s="112" t="inlineStr">
        <is>
          <t>Составил ______________________        Е.А. Князева</t>
        </is>
      </c>
      <c r="C43" s="113" t="n"/>
      <c r="D43" s="112" t="n"/>
      <c r="E43" s="112" t="n"/>
    </row>
    <row r="44">
      <c r="B44" s="115" t="inlineStr">
        <is>
          <t xml:space="preserve">                         (подпись, инициалы, фамилия)</t>
        </is>
      </c>
      <c r="C44" s="113" t="n"/>
      <c r="D44" s="112" t="n"/>
      <c r="E44" s="112" t="n"/>
    </row>
    <row r="45">
      <c r="B45" s="112" t="n"/>
      <c r="C45" s="113" t="n"/>
      <c r="D45" s="112" t="n"/>
      <c r="E45" s="112" t="n"/>
    </row>
    <row r="46">
      <c r="B46" s="112" t="inlineStr">
        <is>
          <t>Проверил ______________________        А.В. Костянецкая</t>
        </is>
      </c>
      <c r="C46" s="113" t="n"/>
      <c r="D46" s="112" t="n"/>
      <c r="E46" s="112" t="n"/>
    </row>
    <row r="47">
      <c r="B47" s="115" t="inlineStr">
        <is>
          <t xml:space="preserve">                        (подпись, инициалы, фамилия)</t>
        </is>
      </c>
      <c r="C47" s="113" t="n"/>
      <c r="D47" s="112" t="n"/>
      <c r="E47" s="112" t="n"/>
    </row>
    <row r="49">
      <c r="B49" s="112" t="n"/>
      <c r="C49" s="112" t="n"/>
      <c r="D49" s="112" t="n"/>
      <c r="E49" s="112" t="n"/>
    </row>
    <row r="50">
      <c r="B50" s="112" t="n"/>
      <c r="C50" s="112" t="n"/>
      <c r="D50" s="112" t="n"/>
      <c r="E50" s="11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133"/>
  <sheetViews>
    <sheetView view="pageBreakPreview" topLeftCell="A48" workbookViewId="0">
      <selection activeCell="F151" sqref="F151:F152"/>
    </sheetView>
  </sheetViews>
  <sheetFormatPr baseColWidth="8" defaultColWidth="9.140625" defaultRowHeight="15" outlineLevelRow="2"/>
  <cols>
    <col width="5.7109375" customWidth="1" style="113" min="1" max="1"/>
    <col width="22.5703125" customWidth="1" style="113" min="2" max="2"/>
    <col width="39.140625" customWidth="1" style="113" min="3" max="3"/>
    <col width="10.7109375" customWidth="1" style="113" min="4" max="4"/>
    <col width="12.7109375" customWidth="1" style="113" min="5" max="5"/>
    <col width="14.5703125" customWidth="1" style="113" min="6" max="6"/>
    <col width="13.42578125" customWidth="1" style="113" min="7" max="7"/>
    <col width="12.7109375" customWidth="1" style="113" min="8" max="8"/>
    <col width="14.5703125" customWidth="1" style="113" min="9" max="9"/>
    <col width="15.140625" customWidth="1" style="113" min="10" max="10"/>
    <col width="2.85546875" customWidth="1" style="113" min="11" max="11"/>
    <col width="10.7109375" customWidth="1" style="113" min="12" max="12"/>
    <col width="10.85546875" customWidth="1" style="113" min="13" max="13"/>
    <col width="9.140625" customWidth="1" style="113" min="14" max="14"/>
  </cols>
  <sheetData>
    <row r="2" ht="15.75" customHeight="1" s="116">
      <c r="I2" s="118" t="n"/>
      <c r="J2" s="47" t="inlineStr">
        <is>
          <t>Приложение №5</t>
        </is>
      </c>
    </row>
    <row r="4" ht="12.75" customFormat="1" customHeight="1" s="112">
      <c r="A4" s="143" t="inlineStr">
        <is>
          <t>Расчет стоимости СМР и оборудования</t>
        </is>
      </c>
      <c r="I4" s="143" t="n"/>
      <c r="J4" s="143" t="n"/>
    </row>
    <row r="5" ht="12.75" customFormat="1" customHeight="1" s="112">
      <c r="A5" s="143" t="n"/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</row>
    <row r="6" ht="41.25" customFormat="1" customHeight="1" s="112">
      <c r="A6" s="81" t="inlineStr">
        <is>
          <t>Наименование разрабатываемого показателя УНЦ</t>
        </is>
      </c>
      <c r="B6" s="82" t="n"/>
      <c r="C6" s="82" t="n"/>
      <c r="D6" s="157" t="inlineStr">
        <is>
          <t>Рабочее и аварийное освещение зданий</t>
        </is>
      </c>
    </row>
    <row r="7" ht="12.75" customFormat="1" customHeight="1" s="112">
      <c r="A7" s="157" t="inlineStr">
        <is>
          <t>Единица измерения  — 1 м2</t>
        </is>
      </c>
      <c r="I7" s="144" t="n"/>
      <c r="J7" s="144" t="n"/>
    </row>
    <row r="8" ht="12.75" customFormat="1" customHeight="1" s="112"/>
    <row r="9" ht="27" customHeight="1" s="116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9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9" t="n"/>
    </row>
    <row r="10" ht="28.5" customHeight="1" s="116">
      <c r="A10" s="181" t="n"/>
      <c r="B10" s="181" t="n"/>
      <c r="C10" s="181" t="n"/>
      <c r="D10" s="181" t="n"/>
      <c r="E10" s="181" t="n"/>
      <c r="F10" s="147" t="inlineStr">
        <is>
          <t>на ед. изм.</t>
        </is>
      </c>
      <c r="G10" s="147" t="inlineStr">
        <is>
          <t>общая</t>
        </is>
      </c>
      <c r="H10" s="181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58" t="inlineStr">
        <is>
          <t>Затраты труда рабочих-строителей</t>
        </is>
      </c>
      <c r="C12" s="178" t="n"/>
      <c r="D12" s="178" t="n"/>
      <c r="E12" s="178" t="n"/>
      <c r="F12" s="178" t="n"/>
      <c r="G12" s="178" t="n"/>
      <c r="H12" s="179" t="n"/>
      <c r="I12" s="30" t="n"/>
      <c r="J12" s="30" t="n"/>
      <c r="L12" s="187" t="n"/>
    </row>
    <row r="13" ht="25.5" customHeight="1" s="116">
      <c r="A13" s="147" t="n">
        <v>1</v>
      </c>
      <c r="B13" s="34" t="inlineStr">
        <is>
          <t>1-3-8</t>
        </is>
      </c>
      <c r="C13" s="146" t="inlineStr">
        <is>
          <t>Затраты труда рабочих-строителей среднего разряда (3,8)</t>
        </is>
      </c>
      <c r="D13" s="147" t="inlineStr">
        <is>
          <t>чел.-ч.</t>
        </is>
      </c>
      <c r="E13" s="188">
        <f>G13/F13</f>
        <v/>
      </c>
      <c r="F13" s="14" t="n">
        <v>9.4</v>
      </c>
      <c r="G13" s="14" t="n">
        <v>8990.35</v>
      </c>
      <c r="H13" s="159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13">
      <c r="A14" s="147" t="n"/>
      <c r="B14" s="147" t="n"/>
      <c r="C14" s="158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8">
        <f>SUM(E13:E13)</f>
        <v/>
      </c>
      <c r="F14" s="14" t="n"/>
      <c r="G14" s="14">
        <f>SUM(G13:G13)</f>
        <v/>
      </c>
      <c r="H14" s="159" t="n">
        <v>1</v>
      </c>
      <c r="I14" s="14" t="n"/>
      <c r="J14" s="14">
        <f>SUM(J13:J13)</f>
        <v/>
      </c>
      <c r="L14" s="53" t="n"/>
    </row>
    <row r="15" ht="14.25" customFormat="1" customHeight="1" s="113">
      <c r="A15" s="147" t="n"/>
      <c r="B15" s="146" t="inlineStr">
        <is>
          <t>Затраты труда машинистов</t>
        </is>
      </c>
      <c r="C15" s="178" t="n"/>
      <c r="D15" s="178" t="n"/>
      <c r="E15" s="178" t="n"/>
      <c r="F15" s="178" t="n"/>
      <c r="G15" s="178" t="n"/>
      <c r="H15" s="179" t="n"/>
      <c r="I15" s="30" t="n"/>
      <c r="J15" s="30" t="n"/>
      <c r="L15" s="187" t="n"/>
    </row>
    <row r="16" ht="14.25" customFormat="1" customHeight="1" s="113">
      <c r="A16" s="147" t="n">
        <v>2</v>
      </c>
      <c r="B16" s="147" t="n">
        <v>2</v>
      </c>
      <c r="C16" s="146" t="inlineStr">
        <is>
          <t>Затраты труда машинистов</t>
        </is>
      </c>
      <c r="D16" s="147" t="inlineStr">
        <is>
          <t>чел.-ч.</t>
        </is>
      </c>
      <c r="E16" s="188" t="n">
        <v>15.985</v>
      </c>
      <c r="F16" s="14">
        <f>G16/E16</f>
        <v/>
      </c>
      <c r="G16" s="14" t="n">
        <v>204.54</v>
      </c>
      <c r="H16" s="159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13">
      <c r="A17" s="147" t="n"/>
      <c r="B17" s="158" t="inlineStr">
        <is>
          <t>Машины и механизмы</t>
        </is>
      </c>
      <c r="C17" s="178" t="n"/>
      <c r="D17" s="178" t="n"/>
      <c r="E17" s="178" t="n"/>
      <c r="F17" s="178" t="n"/>
      <c r="G17" s="178" t="n"/>
      <c r="H17" s="179" t="n"/>
      <c r="I17" s="159" t="n"/>
      <c r="J17" s="159" t="n"/>
    </row>
    <row r="18" ht="14.25" customFormat="1" customHeight="1" s="113">
      <c r="A18" s="147" t="n"/>
      <c r="B18" s="146" t="inlineStr">
        <is>
          <t>Основные 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30" t="n"/>
      <c r="J18" s="30" t="n"/>
    </row>
    <row r="19" ht="25.5" customFormat="1" customHeight="1" s="113">
      <c r="A19" s="147" t="n">
        <v>3</v>
      </c>
      <c r="B19" s="34" t="inlineStr">
        <is>
          <t>91.05.05-015</t>
        </is>
      </c>
      <c r="C19" s="146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88" t="n">
        <v>6.6642</v>
      </c>
      <c r="F19" s="165" t="n">
        <v>115.4</v>
      </c>
      <c r="G19" s="14">
        <f>ROUND(E19*F19,2)</f>
        <v/>
      </c>
      <c r="H19" s="159">
        <f>G19/$G$30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13">
      <c r="A20" s="147" t="n">
        <v>4</v>
      </c>
      <c r="B20" s="34" t="inlineStr">
        <is>
          <t>91.14.02-001</t>
        </is>
      </c>
      <c r="C20" s="146" t="inlineStr">
        <is>
          <t>Автомобили бортовые, грузоподъемность до 5 т</t>
        </is>
      </c>
      <c r="D20" s="147" t="inlineStr">
        <is>
          <t>маш.час</t>
        </is>
      </c>
      <c r="E20" s="188" t="n">
        <v>6.655</v>
      </c>
      <c r="F20" s="165" t="n">
        <v>65.70999999999999</v>
      </c>
      <c r="G20" s="14">
        <f>ROUND(E20*F20,2)</f>
        <v/>
      </c>
      <c r="H20" s="159">
        <f>G20/$G$30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13">
      <c r="A21" s="147" t="n">
        <v>5</v>
      </c>
      <c r="B21" s="34" t="inlineStr">
        <is>
          <t>91.05.04-010</t>
        </is>
      </c>
      <c r="C21" s="146" t="inlineStr">
        <is>
          <t>Краны мостовые электрические, грузоподъемность 50 т</t>
        </is>
      </c>
      <c r="D21" s="147" t="inlineStr">
        <is>
          <t>маш.час</t>
        </is>
      </c>
      <c r="E21" s="188" t="n">
        <v>1.616</v>
      </c>
      <c r="F21" s="165" t="n">
        <v>197.01</v>
      </c>
      <c r="G21" s="14">
        <f>ROUND(E21*F21,2)</f>
        <v/>
      </c>
      <c r="H21" s="159">
        <f>G21/$G$30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13">
      <c r="A22" s="147" t="n">
        <v>6</v>
      </c>
      <c r="B22" s="34" t="inlineStr">
        <is>
          <t>91.06.09-001</t>
        </is>
      </c>
      <c r="C22" s="146" t="inlineStr">
        <is>
          <t>Вышки телескопические 25 м</t>
        </is>
      </c>
      <c r="D22" s="147" t="inlineStr">
        <is>
          <t>маш.час</t>
        </is>
      </c>
      <c r="E22" s="188" t="n">
        <v>1.04</v>
      </c>
      <c r="F22" s="165" t="n">
        <v>142.7</v>
      </c>
      <c r="G22" s="14">
        <f>ROUND(E22*F22,2)</f>
        <v/>
      </c>
      <c r="H22" s="159">
        <f>G22/$G$30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13">
      <c r="B23" s="147" t="n"/>
      <c r="C23" s="146" t="inlineStr">
        <is>
          <t>Итого основные машины и механизмы</t>
        </is>
      </c>
      <c r="D23" s="147" t="n"/>
      <c r="E23" s="189" t="n"/>
      <c r="F23" s="14" t="n"/>
      <c r="G23" s="14">
        <f>SUM(G19:G22)</f>
        <v/>
      </c>
      <c r="H23" s="159">
        <f>G23/G30</f>
        <v/>
      </c>
      <c r="I23" s="14" t="n"/>
      <c r="J23" s="14">
        <f>SUM(J19:J22)</f>
        <v/>
      </c>
      <c r="L23" s="190" t="n"/>
    </row>
    <row r="24" hidden="1" outlineLevel="1" ht="25.5" customFormat="1" customHeight="1" s="113">
      <c r="A24" s="147" t="n">
        <v>7</v>
      </c>
      <c r="B24" s="34" t="inlineStr">
        <is>
          <t>91.06.03-061</t>
        </is>
      </c>
      <c r="C24" s="146" t="inlineStr">
        <is>
          <t>Лебедки электрические тяговым усилием до 12,26 кН (1,25 т)</t>
        </is>
      </c>
      <c r="D24" s="147" t="inlineStr">
        <is>
          <t>маш.час</t>
        </is>
      </c>
      <c r="E24" s="188" t="n">
        <v>40.502</v>
      </c>
      <c r="F24" s="165" t="n">
        <v>3.28</v>
      </c>
      <c r="G24" s="14">
        <f>ROUND(E24*F24,2)</f>
        <v/>
      </c>
      <c r="H24" s="159">
        <f>G24/$G$30</f>
        <v/>
      </c>
      <c r="I24" s="14">
        <f>ROUND(F24*Прил.10!$D$11,2)</f>
        <v/>
      </c>
      <c r="J24" s="14">
        <f>ROUND(I24*E24,2)</f>
        <v/>
      </c>
      <c r="L24" s="190" t="n"/>
    </row>
    <row r="25" hidden="1" outlineLevel="1" ht="25.5" customFormat="1" customHeight="1" s="113">
      <c r="A25" s="147" t="n">
        <v>8</v>
      </c>
      <c r="B25" s="34" t="inlineStr">
        <is>
          <t>91.17.04-233</t>
        </is>
      </c>
      <c r="C25" s="146" t="inlineStr">
        <is>
          <t>Установки для сварки ручной дуговой (постоянного тока)</t>
        </is>
      </c>
      <c r="D25" s="147" t="inlineStr">
        <is>
          <t>маш.час</t>
        </is>
      </c>
      <c r="E25" s="188" t="n">
        <v>6.4849</v>
      </c>
      <c r="F25" s="165" t="n">
        <v>8.1</v>
      </c>
      <c r="G25" s="14">
        <f>ROUND(E25*F25,2)</f>
        <v/>
      </c>
      <c r="H25" s="159">
        <f>G25/$G$30</f>
        <v/>
      </c>
      <c r="I25" s="14">
        <f>ROUND(F25*Прил.10!$D$11,2)</f>
        <v/>
      </c>
      <c r="J25" s="14">
        <f>ROUND(I25*E25,2)</f>
        <v/>
      </c>
      <c r="L25" s="190" t="n"/>
    </row>
    <row r="26" hidden="1" outlineLevel="1" ht="25.5" customFormat="1" customHeight="1" s="113">
      <c r="A26" s="147" t="n">
        <v>9</v>
      </c>
      <c r="B26" s="34" t="inlineStr">
        <is>
          <t>91.06.01-003</t>
        </is>
      </c>
      <c r="C26" s="146" t="inlineStr">
        <is>
          <t>Домкраты гидравлические, грузоподъемность 63-100 т</t>
        </is>
      </c>
      <c r="D26" s="147" t="inlineStr">
        <is>
          <t>маш.час</t>
        </is>
      </c>
      <c r="E26" s="188" t="n">
        <v>40.502</v>
      </c>
      <c r="F26" s="165" t="n">
        <v>0.9</v>
      </c>
      <c r="G26" s="14">
        <f>ROUND(E26*F26,2)</f>
        <v/>
      </c>
      <c r="H26" s="159">
        <f>G26/$G$30</f>
        <v/>
      </c>
      <c r="I26" s="14">
        <f>ROUND(F26*Прил.10!$D$11,2)</f>
        <v/>
      </c>
      <c r="J26" s="14">
        <f>ROUND(I26*E26,2)</f>
        <v/>
      </c>
      <c r="L26" s="190" t="n"/>
    </row>
    <row r="27" hidden="1" outlineLevel="1" ht="25.5" customFormat="1" customHeight="1" s="113">
      <c r="A27" s="147" t="n">
        <v>10</v>
      </c>
      <c r="B27" s="34" t="inlineStr">
        <is>
          <t>91.17.04-161</t>
        </is>
      </c>
      <c r="C27" s="146" t="inlineStr">
        <is>
          <t>Полуавтоматы сварочные номинальным сварочным током 40-500 А</t>
        </is>
      </c>
      <c r="D27" s="147" t="inlineStr">
        <is>
          <t>маш.час</t>
        </is>
      </c>
      <c r="E27" s="188" t="n">
        <v>0.528</v>
      </c>
      <c r="F27" s="165" t="n">
        <v>16.44</v>
      </c>
      <c r="G27" s="14">
        <f>ROUND(E27*F27,2)</f>
        <v/>
      </c>
      <c r="H27" s="159">
        <f>G27/$G$30</f>
        <v/>
      </c>
      <c r="I27" s="14">
        <f>ROUND(F27*Прил.10!$D$11,2)</f>
        <v/>
      </c>
      <c r="J27" s="14">
        <f>ROUND(I27*E27,2)</f>
        <v/>
      </c>
      <c r="L27" s="190" t="n"/>
    </row>
    <row r="28" hidden="1" outlineLevel="1" ht="38.25" customFormat="1" customHeight="1" s="113">
      <c r="A28" s="147" t="n">
        <v>11</v>
      </c>
      <c r="B28" s="34" t="inlineStr">
        <is>
          <t>91.06.06-048</t>
        </is>
      </c>
      <c r="C28" s="146" t="inlineStr">
        <is>
          <t>Подъемники одномачтовые, грузоподъемность до 500 кг, высота подъема 45 м</t>
        </is>
      </c>
      <c r="D28" s="147" t="inlineStr">
        <is>
          <t>маш.час</t>
        </is>
      </c>
      <c r="E28" s="188" t="n">
        <v>0.01</v>
      </c>
      <c r="F28" s="165" t="n">
        <v>31.26</v>
      </c>
      <c r="G28" s="14">
        <f>ROUND(E28*F28,2)</f>
        <v/>
      </c>
      <c r="H28" s="159">
        <f>G28/$G$30</f>
        <v/>
      </c>
      <c r="I28" s="14">
        <f>ROUND(F28*Прил.10!$D$11,2)</f>
        <v/>
      </c>
      <c r="J28" s="14">
        <f>ROUND(I28*E28,2)</f>
        <v/>
      </c>
      <c r="L28" s="190" t="n"/>
    </row>
    <row r="29" collapsed="1" ht="14.25" customFormat="1" customHeight="1" s="113">
      <c r="A29" s="147" t="n"/>
      <c r="B29" s="147" t="n"/>
      <c r="C29" s="146" t="inlineStr">
        <is>
          <t>Итого прочие машины и механизмы</t>
        </is>
      </c>
      <c r="D29" s="147" t="n"/>
      <c r="E29" s="148" t="n"/>
      <c r="F29" s="14" t="n"/>
      <c r="G29" s="14">
        <f>SUM(G24:G28)</f>
        <v/>
      </c>
      <c r="H29" s="159">
        <f>G29/G30</f>
        <v/>
      </c>
      <c r="I29" s="14" t="n"/>
      <c r="J29" s="14">
        <f>SUM(J24:J28)</f>
        <v/>
      </c>
      <c r="K29" s="190" t="n"/>
      <c r="L29" s="187" t="n"/>
    </row>
    <row r="30" ht="25.5" customFormat="1" customHeight="1" s="113">
      <c r="A30" s="147" t="n"/>
      <c r="B30" s="160" t="n"/>
      <c r="C30" s="151" t="inlineStr">
        <is>
          <t>Итого по разделу «Машины и механизмы»</t>
        </is>
      </c>
      <c r="D30" s="160" t="n"/>
      <c r="E30" s="39" t="n"/>
      <c r="F30" s="40" t="n"/>
      <c r="G30" s="40">
        <f>G23+G29</f>
        <v/>
      </c>
      <c r="H30" s="41" t="n">
        <v>1</v>
      </c>
      <c r="I30" s="40" t="n"/>
      <c r="J30" s="40">
        <f>J23+J29</f>
        <v/>
      </c>
    </row>
    <row r="31">
      <c r="A31" s="55" t="n"/>
      <c r="B31" s="151" t="inlineStr">
        <is>
          <t xml:space="preserve">Оборудование </t>
        </is>
      </c>
      <c r="C31" s="191" t="n"/>
      <c r="D31" s="191" t="n"/>
      <c r="E31" s="191" t="n"/>
      <c r="F31" s="191" t="n"/>
      <c r="G31" s="191" t="n"/>
      <c r="H31" s="191" t="n"/>
      <c r="I31" s="191" t="n"/>
      <c r="J31" s="192" t="n"/>
    </row>
    <row r="32" ht="15" customHeight="1" s="116">
      <c r="A32" s="147" t="n"/>
      <c r="B32" s="146" t="inlineStr">
        <is>
          <t>Основное оборудование</t>
        </is>
      </c>
      <c r="C32" s="178" t="n"/>
      <c r="D32" s="178" t="n"/>
      <c r="E32" s="178" t="n"/>
      <c r="F32" s="178" t="n"/>
      <c r="G32" s="178" t="n"/>
      <c r="H32" s="178" t="n"/>
      <c r="I32" s="178" t="n"/>
      <c r="J32" s="179" t="n"/>
    </row>
    <row r="33" ht="51" customHeight="1" s="116">
      <c r="A33" s="147" t="n">
        <v>12</v>
      </c>
      <c r="B33" s="34" t="inlineStr">
        <is>
          <t>62.1.02.23-1022</t>
        </is>
      </c>
      <c r="C33" s="146" t="inlineStr">
        <is>
          <t>Устройство распределительное высоковольтное катодной защиты, класс напряжения 6,10 кВ, выходная мощность 3 кВ, тип регулировки-автоматическая</t>
        </is>
      </c>
      <c r="D33" s="147" t="inlineStr">
        <is>
          <t>шт</t>
        </is>
      </c>
      <c r="E33" s="188" t="n">
        <v>1</v>
      </c>
      <c r="F33" s="149" t="n">
        <v>28001.41</v>
      </c>
      <c r="G33" s="14">
        <f>ROUND(E33*F33,2)</f>
        <v/>
      </c>
      <c r="H33" s="159">
        <f>G33/$G$40</f>
        <v/>
      </c>
      <c r="I33" s="149">
        <f>ROUND(F33*Прил.10!$D$13,2)</f>
        <v/>
      </c>
      <c r="J33" s="14">
        <f>ROUND(I33*E33,2)</f>
        <v/>
      </c>
    </row>
    <row r="34" ht="38.25" customHeight="1" s="116">
      <c r="A34" s="147" t="n">
        <v>13</v>
      </c>
      <c r="B34" s="34" t="inlineStr">
        <is>
          <t>62.3.02.01-0043</t>
        </is>
      </c>
      <c r="C34" s="146" t="inlineStr">
        <is>
          <t>Выключатели и переключатели защитные (степень защиты: IP56, IP67) ПП2-250/Н2 М3</t>
        </is>
      </c>
      <c r="D34" s="147" t="inlineStr">
        <is>
          <t>шт</t>
        </is>
      </c>
      <c r="E34" s="188" t="n">
        <v>8</v>
      </c>
      <c r="F34" s="149" t="n">
        <v>772.64</v>
      </c>
      <c r="G34" s="14">
        <f>ROUND(E34*F34,2)</f>
        <v/>
      </c>
      <c r="H34" s="159">
        <f>G34/$G$40</f>
        <v/>
      </c>
      <c r="I34" s="149">
        <f>ROUND(F34*Прил.10!$D$13,2)</f>
        <v/>
      </c>
      <c r="J34" s="14">
        <f>ROUND(I34*E34,2)</f>
        <v/>
      </c>
    </row>
    <row r="35">
      <c r="A35" s="56" t="n"/>
      <c r="B35" s="147" t="n"/>
      <c r="C35" s="146" t="inlineStr">
        <is>
          <t>Итого основное оборудование</t>
        </is>
      </c>
      <c r="D35" s="147" t="n"/>
      <c r="E35" s="188" t="n"/>
      <c r="F35" s="149" t="n"/>
      <c r="G35" s="14">
        <f>SUM(G33:G34)</f>
        <v/>
      </c>
      <c r="H35" s="159">
        <f>G35/$G$40</f>
        <v/>
      </c>
      <c r="I35" s="14" t="n"/>
      <c r="J35" s="14">
        <f>SUM(J33:J34)</f>
        <v/>
      </c>
      <c r="K35" s="190" t="n"/>
    </row>
    <row r="36" hidden="1" outlineLevel="1" ht="25.5" customHeight="1" s="116">
      <c r="A36" s="147" t="n">
        <v>14</v>
      </c>
      <c r="B36" s="51" t="inlineStr">
        <is>
          <t>62.1.02.19-0015</t>
        </is>
      </c>
      <c r="C36" s="146" t="inlineStr">
        <is>
          <t>Щиты автоматического переключения на резерв: ЩАП-53, трехфазные на ток 100 А</t>
        </is>
      </c>
      <c r="D36" s="147" t="inlineStr">
        <is>
          <t>шт</t>
        </is>
      </c>
      <c r="E36" s="188" t="n">
        <v>1</v>
      </c>
      <c r="F36" s="149" t="n">
        <v>3916.51</v>
      </c>
      <c r="G36" s="14">
        <f>ROUND(E36*F36,2)</f>
        <v/>
      </c>
      <c r="H36" s="159">
        <f>G36/$G$40</f>
        <v/>
      </c>
      <c r="I36" s="149">
        <f>ROUND(F36*Прил.10!$D$13,2)</f>
        <v/>
      </c>
      <c r="J36" s="14">
        <f>ROUND(I36*E36,2)</f>
        <v/>
      </c>
      <c r="K36" s="190" t="n"/>
    </row>
    <row r="37" hidden="1" outlineLevel="1" ht="25.5" customHeight="1" s="116">
      <c r="A37" s="147" t="n">
        <v>15</v>
      </c>
      <c r="B37" s="51" t="inlineStr">
        <is>
          <t>62.3.04.02-0001</t>
        </is>
      </c>
      <c r="C37" s="146" t="inlineStr">
        <is>
          <t>Переключатели: клавишные ПК12-23-2-3 УХЛ4</t>
        </is>
      </c>
      <c r="D37" s="147" t="inlineStr">
        <is>
          <t>10 шт</t>
        </is>
      </c>
      <c r="E37" s="188" t="n">
        <v>0.8</v>
      </c>
      <c r="F37" s="149" t="n">
        <v>364.5</v>
      </c>
      <c r="G37" s="14">
        <f>ROUND(E37*F37,2)</f>
        <v/>
      </c>
      <c r="H37" s="159">
        <f>G37/$G$40</f>
        <v/>
      </c>
      <c r="I37" s="149">
        <f>ROUND(F37*Прил.10!$D$13,2)</f>
        <v/>
      </c>
      <c r="J37" s="14">
        <f>ROUND(I37*E37,2)</f>
        <v/>
      </c>
      <c r="K37" s="190" t="n"/>
    </row>
    <row r="38" hidden="1" outlineLevel="1" ht="25.5" customHeight="1" s="116">
      <c r="A38" s="147" t="n">
        <v>16</v>
      </c>
      <c r="B38" s="51" t="inlineStr">
        <is>
          <t>62.3.02.02-0022</t>
        </is>
      </c>
      <c r="C38" s="146" t="inlineStr">
        <is>
          <t>Выключатели пакетные открытого исполнения, тип ПВ2-16МЗ</t>
        </is>
      </c>
      <c r="D38" s="147" t="inlineStr">
        <is>
          <t>шт</t>
        </is>
      </c>
      <c r="E38" s="188" t="n">
        <v>9</v>
      </c>
      <c r="F38" s="149" t="n">
        <v>31.62</v>
      </c>
      <c r="G38" s="14">
        <f>ROUND(E38*F38,2)</f>
        <v/>
      </c>
      <c r="H38" s="159">
        <f>G38/$G$40</f>
        <v/>
      </c>
      <c r="I38" s="149">
        <f>ROUND(F38*Прил.10!$D$13,2)</f>
        <v/>
      </c>
      <c r="J38" s="14">
        <f>ROUND(I38*E38,2)</f>
        <v/>
      </c>
      <c r="K38" s="190" t="n"/>
    </row>
    <row r="39" collapsed="1" s="116">
      <c r="A39" s="56" t="n"/>
      <c r="B39" s="147" t="n"/>
      <c r="C39" s="146" t="inlineStr">
        <is>
          <t>Итого прочее оборудование</t>
        </is>
      </c>
      <c r="D39" s="147" t="n"/>
      <c r="E39" s="148" t="n"/>
      <c r="F39" s="149" t="n"/>
      <c r="G39" s="14">
        <f>SUM(G36:G38)</f>
        <v/>
      </c>
      <c r="H39" s="159">
        <f>G39/$G$40</f>
        <v/>
      </c>
      <c r="I39" s="14" t="n"/>
      <c r="J39" s="14">
        <f>SUM(J36:J38)</f>
        <v/>
      </c>
      <c r="K39" s="190" t="n"/>
      <c r="L39" s="193" t="n"/>
    </row>
    <row r="40">
      <c r="A40" s="147" t="n"/>
      <c r="B40" s="147" t="n"/>
      <c r="C40" s="158" t="inlineStr">
        <is>
          <t>Итого по разделу «Оборудование»</t>
        </is>
      </c>
      <c r="D40" s="147" t="n"/>
      <c r="E40" s="148" t="n"/>
      <c r="F40" s="149" t="n"/>
      <c r="G40" s="14">
        <f>G35+G39</f>
        <v/>
      </c>
      <c r="H40" s="159">
        <f>(G35+G39)/G40</f>
        <v/>
      </c>
      <c r="I40" s="14" t="n"/>
      <c r="J40" s="14">
        <f>J39+J35</f>
        <v/>
      </c>
      <c r="K40" s="190" t="n"/>
    </row>
    <row r="41" ht="25.5" customHeight="1" s="116">
      <c r="A41" s="147" t="n"/>
      <c r="B41" s="147" t="n"/>
      <c r="C41" s="146" t="inlineStr">
        <is>
          <t>в том числе технологическое оборудование</t>
        </is>
      </c>
      <c r="D41" s="147" t="n"/>
      <c r="E41" s="148" t="n"/>
      <c r="F41" s="149" t="n"/>
      <c r="G41" s="14">
        <f>'Прил.6 Расчет ОБ'!G19</f>
        <v/>
      </c>
      <c r="H41" s="159">
        <f>G41/$G$40</f>
        <v/>
      </c>
      <c r="I41" s="14" t="n"/>
      <c r="J41" s="14">
        <f>ROUND(G41*Прил.10!$D$13,2)</f>
        <v/>
      </c>
      <c r="K41" s="190" t="n"/>
    </row>
    <row r="42" ht="14.25" customFormat="1" customHeight="1" s="113">
      <c r="A42" s="161" t="n"/>
      <c r="B42" s="194" t="inlineStr">
        <is>
          <t>Материалы</t>
        </is>
      </c>
      <c r="J42" s="195" t="n"/>
      <c r="K42" s="190" t="n"/>
    </row>
    <row r="43" ht="14.25" customFormat="1" customHeight="1" s="113">
      <c r="A43" s="147" t="n"/>
      <c r="B43" s="146" t="inlineStr">
        <is>
          <t>Основные материалы</t>
        </is>
      </c>
      <c r="C43" s="178" t="n"/>
      <c r="D43" s="178" t="n"/>
      <c r="E43" s="178" t="n"/>
      <c r="F43" s="178" t="n"/>
      <c r="G43" s="178" t="n"/>
      <c r="H43" s="179" t="n"/>
      <c r="I43" s="159" t="n"/>
      <c r="J43" s="159" t="n"/>
    </row>
    <row r="44" ht="63.75" customFormat="1" customHeight="1" s="113">
      <c r="A44" s="147" t="n">
        <v>17</v>
      </c>
      <c r="B44" s="34" t="inlineStr">
        <is>
          <t>20.3.03.03-0011</t>
        </is>
      </c>
      <c r="C44" s="146" t="inlineStr">
        <is>
          <t>Светильник взрывозащищенный под лампу мощностью до 100 Вт, с металлическим отражателем и защитной решеткой, цоколь E27, напряжение 220 В, частота 50/60 Гц, IP66</t>
        </is>
      </c>
      <c r="D44" s="147" t="inlineStr">
        <is>
          <t>шт</t>
        </is>
      </c>
      <c r="E44" s="188" t="n">
        <v>15</v>
      </c>
      <c r="F44" s="165" t="n">
        <v>2682.79</v>
      </c>
      <c r="G44" s="14">
        <f>ROUND(E44*F44,2)</f>
        <v/>
      </c>
      <c r="H44" s="159">
        <f>G44/$G$120</f>
        <v/>
      </c>
      <c r="I44" s="14">
        <f>ROUND(F44*Прил.10!$D$12,2)</f>
        <v/>
      </c>
      <c r="J44" s="14">
        <f>ROUND(I44*E44,2)</f>
        <v/>
      </c>
    </row>
    <row r="45" ht="38.25" customFormat="1" customHeight="1" s="113">
      <c r="A45" s="147" t="n">
        <v>18</v>
      </c>
      <c r="B45" s="34" t="inlineStr">
        <is>
          <t>20.3.03.04-0193</t>
        </is>
      </c>
      <c r="C45" s="146" t="inlineStr">
        <is>
          <t>Светильники люминесцентные направленного света встраиваемые типа: DLG 118 с ЭМПРА</t>
        </is>
      </c>
      <c r="D45" s="147" t="inlineStr">
        <is>
          <t>шт</t>
        </is>
      </c>
      <c r="E45" s="188" t="n">
        <v>98.32797703999999</v>
      </c>
      <c r="F45" s="165" t="n">
        <v>278.8</v>
      </c>
      <c r="G45" s="14">
        <f>ROUND(E45*F45,2)</f>
        <v/>
      </c>
      <c r="H45" s="159">
        <f>G45/$G$120</f>
        <v/>
      </c>
      <c r="I45" s="14">
        <f>ROUND(F45*Прил.10!$D$12,2)</f>
        <v/>
      </c>
      <c r="J45" s="14">
        <f>ROUND(I45*E45,2)</f>
        <v/>
      </c>
    </row>
    <row r="46" hidden="1" outlineLevel="1" ht="38.25" customFormat="1" customHeight="1" s="113">
      <c r="A46" s="147" t="n"/>
      <c r="B46" s="34" t="inlineStr">
        <is>
          <t>20.3.03.04-0193</t>
        </is>
      </c>
      <c r="C46" s="146" t="inlineStr">
        <is>
          <t>Светильники люминесцентные направленного света встраиваемые типа: DLG 118 с ЭМПРА</t>
        </is>
      </c>
      <c r="D46" s="147" t="inlineStr">
        <is>
          <t>шт</t>
        </is>
      </c>
      <c r="E46" s="188" t="n">
        <v>82</v>
      </c>
      <c r="F46" s="165" t="n">
        <v>278.8</v>
      </c>
      <c r="G46" s="14">
        <f>ROUND(E46*F46,2)</f>
        <v/>
      </c>
      <c r="H46" s="104">
        <f>G46/$G$120</f>
        <v/>
      </c>
      <c r="I46" s="14" t="n"/>
      <c r="J46" s="14" t="n"/>
    </row>
    <row r="47" hidden="1" outlineLevel="1" ht="38.25" customFormat="1" customHeight="1" s="113">
      <c r="A47" s="147" t="n"/>
      <c r="B47" s="34" t="inlineStr">
        <is>
          <t>20.3.03.04-0104</t>
        </is>
      </c>
      <c r="C47" s="146" t="inlineStr">
        <is>
          <t>Светильник подвесной с полугерметичным корпусом и рассеивателем из поликарбоната, типа ЛСП 44-2х40-002</t>
        </is>
      </c>
      <c r="D47" s="147" t="inlineStr">
        <is>
          <t>шт</t>
        </is>
      </c>
      <c r="E47" s="188" t="n">
        <v>14</v>
      </c>
      <c r="F47" s="165" t="n">
        <v>325.16</v>
      </c>
      <c r="G47" s="14">
        <f>ROUND(E47*F47,2)</f>
        <v/>
      </c>
      <c r="H47" s="104">
        <f>G47/$G$120</f>
        <v/>
      </c>
      <c r="I47" s="14" t="n"/>
      <c r="J47" s="14" t="n"/>
    </row>
    <row r="48" collapsed="1" ht="25.5" customFormat="1" customHeight="1" s="113">
      <c r="A48" s="147" t="n">
        <v>19</v>
      </c>
      <c r="B48" s="34" t="inlineStr">
        <is>
          <t>21.1.06.10-0168</t>
        </is>
      </c>
      <c r="C48" s="146" t="inlineStr">
        <is>
          <t>Кабель силовой с медными жилами ВВГнг(A)-FRLS 3х1,5ок(N, РЕ)-1000</t>
        </is>
      </c>
      <c r="D48" s="147" t="inlineStr">
        <is>
          <t>1000 м</t>
        </is>
      </c>
      <c r="E48" s="188" t="n">
        <v>1.895160535</v>
      </c>
      <c r="F48" s="165" t="n">
        <v>19862.94</v>
      </c>
      <c r="G48" s="14">
        <f>ROUND(E48*F48,2)</f>
        <v/>
      </c>
      <c r="H48" s="159">
        <f>G48/$G$120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113">
      <c r="A49" s="147" t="n"/>
      <c r="B49" s="34" t="inlineStr">
        <is>
          <t>21.1.06.10-0168</t>
        </is>
      </c>
      <c r="C49" s="146" t="inlineStr">
        <is>
          <t>Кабель силовой с медными жилами ВВГнг(A)-FRLS 3х1,5ок(N, РЕ)-1000</t>
        </is>
      </c>
      <c r="D49" s="147" t="inlineStr">
        <is>
          <t>1000 м</t>
        </is>
      </c>
      <c r="E49" s="188" t="n">
        <v>0.3988</v>
      </c>
      <c r="F49" s="165" t="n">
        <v>19862.94</v>
      </c>
      <c r="G49" s="14">
        <f>ROUND(E49*F49,2)</f>
        <v/>
      </c>
      <c r="H49" s="104">
        <f>G49/$G$120</f>
        <v/>
      </c>
      <c r="I49" s="103" t="n"/>
      <c r="J49" s="103" t="n"/>
    </row>
    <row r="50" hidden="1" outlineLevel="1" ht="25.5" customFormat="1" customHeight="1" s="113">
      <c r="A50" s="147" t="n"/>
      <c r="B50" s="34" t="inlineStr">
        <is>
          <t>21.1.06.10-0425</t>
        </is>
      </c>
      <c r="C50" s="146" t="inlineStr">
        <is>
          <t>Кабель силовой с медными жилами ВВГнг-HF 5х1,5-1000</t>
        </is>
      </c>
      <c r="D50" s="147" t="inlineStr">
        <is>
          <t>1000 м</t>
        </is>
      </c>
      <c r="E50" s="188" t="n">
        <v>0.08260000000000001</v>
      </c>
      <c r="F50" s="165" t="n">
        <v>29695.42</v>
      </c>
      <c r="G50" s="14">
        <f>ROUND(E50*F50,2)</f>
        <v/>
      </c>
      <c r="H50" s="104">
        <f>G50/$G$120</f>
        <v/>
      </c>
      <c r="I50" s="103" t="n"/>
      <c r="J50" s="103" t="n"/>
    </row>
    <row r="51" hidden="1" outlineLevel="1" ht="25.5" customFormat="1" customHeight="1" s="113">
      <c r="A51" s="147" t="n"/>
      <c r="B51" s="34" t="inlineStr">
        <is>
          <t>21.1.06.10-0422</t>
        </is>
      </c>
      <c r="C51" s="146" t="inlineStr">
        <is>
          <t>Кабель силовой с медными жилами ВВГнг-HF 3х1,5-1000</t>
        </is>
      </c>
      <c r="D51" s="147" t="inlineStr">
        <is>
          <t>1000 м</t>
        </is>
      </c>
      <c r="E51" s="188" t="n">
        <v>0.0653</v>
      </c>
      <c r="F51" s="165" t="n">
        <v>21894.6</v>
      </c>
      <c r="G51" s="14">
        <f>ROUND(E51*F51,2)</f>
        <v/>
      </c>
      <c r="H51" s="104">
        <f>G51/$G$120</f>
        <v/>
      </c>
      <c r="I51" s="103" t="n"/>
      <c r="J51" s="103" t="n"/>
    </row>
    <row r="52" hidden="1" outlineLevel="1" ht="25.5" customFormat="1" customHeight="1" s="113">
      <c r="A52" s="147" t="n"/>
      <c r="B52" s="34" t="inlineStr">
        <is>
          <t>21.1.06.10-0411</t>
        </is>
      </c>
      <c r="C52" s="146" t="inlineStr">
        <is>
          <t>Кабель силовой с медными жилами ВВГнг(A)-LS 5х16мк(N, PE)-1000</t>
        </is>
      </c>
      <c r="D52" s="147" t="inlineStr">
        <is>
          <t>1000 м</t>
        </is>
      </c>
      <c r="E52" s="188" t="n">
        <v>0.03</v>
      </c>
      <c r="F52" s="165" t="n">
        <v>98440.41</v>
      </c>
      <c r="G52" s="14">
        <f>ROUND(E52*F52,2)</f>
        <v/>
      </c>
      <c r="H52" s="104">
        <f>G52/$G$120</f>
        <v/>
      </c>
      <c r="I52" s="103" t="n"/>
      <c r="J52" s="103" t="n"/>
    </row>
    <row r="53" hidden="1" outlineLevel="1" ht="25.5" customFormat="1" customHeight="1" s="113">
      <c r="A53" s="147" t="n"/>
      <c r="B53" s="34" t="inlineStr">
        <is>
          <t>21.1.06.10-0406</t>
        </is>
      </c>
      <c r="C53" s="146" t="inlineStr">
        <is>
          <t>Кабель силовой с медными жилами ВВГнг(A)-LS 5х1,5ок(N, PE)-1000</t>
        </is>
      </c>
      <c r="D53" s="147" t="inlineStr">
        <is>
          <t>1000 м</t>
        </is>
      </c>
      <c r="E53" s="188" t="n">
        <v>0.0765</v>
      </c>
      <c r="F53" s="165" t="n">
        <v>15576.85</v>
      </c>
      <c r="G53" s="14">
        <f>ROUND(E53*F53,2)</f>
        <v/>
      </c>
      <c r="H53" s="104">
        <f>G53/$G$120</f>
        <v/>
      </c>
      <c r="I53" s="103" t="n"/>
      <c r="J53" s="103" t="n"/>
    </row>
    <row r="54" hidden="1" outlineLevel="1" ht="25.5" customFormat="1" customHeight="1" s="113">
      <c r="A54" s="147" t="n"/>
      <c r="B54" s="34" t="inlineStr">
        <is>
          <t>21.1.06.10-0378</t>
        </is>
      </c>
      <c r="C54" s="146" t="inlineStr">
        <is>
          <t>Кабель силовой с медными жилами ВВГнг(A)-LS 3х4ок-1000</t>
        </is>
      </c>
      <c r="D54" s="147" t="inlineStr">
        <is>
          <t>1000 м</t>
        </is>
      </c>
      <c r="E54" s="188" t="n">
        <v>0.255</v>
      </c>
      <c r="F54" s="165" t="n">
        <v>20634.54</v>
      </c>
      <c r="G54" s="14">
        <f>ROUND(E54*F54,2)</f>
        <v/>
      </c>
      <c r="H54" s="104">
        <f>G54/$G$120</f>
        <v/>
      </c>
      <c r="I54" s="103" t="n"/>
      <c r="J54" s="103" t="n"/>
    </row>
    <row r="55" hidden="1" outlineLevel="1" ht="25.5" customFormat="1" customHeight="1" s="113">
      <c r="A55" s="147" t="n"/>
      <c r="B55" s="34" t="inlineStr">
        <is>
          <t>21.1.06.10-0377</t>
        </is>
      </c>
      <c r="C55" s="146" t="inlineStr">
        <is>
          <t>Кабель силовой с медными жилами ВВГнг(A)-LS 3х2,5ок(N, PE)-1000</t>
        </is>
      </c>
      <c r="D55" s="147" t="inlineStr">
        <is>
          <t>1000 м</t>
        </is>
      </c>
      <c r="E55" s="188" t="n">
        <v>0.025</v>
      </c>
      <c r="F55" s="165" t="n">
        <v>14498.24</v>
      </c>
      <c r="G55" s="14">
        <f>ROUND(E55*F55,2)</f>
        <v/>
      </c>
      <c r="H55" s="104">
        <f>G55/$G$120</f>
        <v/>
      </c>
      <c r="I55" s="103" t="n"/>
      <c r="J55" s="103" t="n"/>
    </row>
    <row r="56" hidden="1" outlineLevel="1" ht="25.5" customFormat="1" customHeight="1" s="113">
      <c r="A56" s="147" t="n"/>
      <c r="B56" s="34" t="inlineStr">
        <is>
          <t>21.1.06.10-0375</t>
        </is>
      </c>
      <c r="C56" s="146" t="inlineStr">
        <is>
          <t>Кабель силовой с медными жилами ВВГнг(A)-LS 3х1,5ок(N, PE)-1000</t>
        </is>
      </c>
      <c r="D56" s="147" t="inlineStr">
        <is>
          <t>1000 м</t>
        </is>
      </c>
      <c r="E56" s="188" t="n">
        <v>0.4825</v>
      </c>
      <c r="F56" s="165" t="n">
        <v>10960.87</v>
      </c>
      <c r="G56" s="14">
        <f>ROUND(E56*F56,2)</f>
        <v/>
      </c>
      <c r="H56" s="104">
        <f>G56/$G$120</f>
        <v/>
      </c>
      <c r="I56" s="103" t="n"/>
      <c r="J56" s="103" t="n"/>
    </row>
    <row r="57" hidden="1" outlineLevel="1" ht="25.5" customFormat="1" customHeight="1" s="113">
      <c r="A57" s="147" t="n"/>
      <c r="B57" s="34" t="inlineStr">
        <is>
          <t>21.1.06.10-0281</t>
        </is>
      </c>
      <c r="C57" s="146" t="inlineStr">
        <is>
          <t>Кабель силовой с медными жилами ВБбШвнг-FRLS 3х2,5-1000</t>
        </is>
      </c>
      <c r="D57" s="147" t="inlineStr">
        <is>
          <t>1000 м</t>
        </is>
      </c>
      <c r="E57" s="188" t="n">
        <v>0.204</v>
      </c>
      <c r="F57" s="165" t="n">
        <v>20095.37</v>
      </c>
      <c r="G57" s="14">
        <f>ROUND(E57*F57,2)</f>
        <v/>
      </c>
      <c r="H57" s="104">
        <f>G57/$G$120</f>
        <v/>
      </c>
      <c r="I57" s="103" t="n"/>
      <c r="J57" s="103" t="n"/>
    </row>
    <row r="58" hidden="1" outlineLevel="1" ht="25.5" customFormat="1" customHeight="1" s="113">
      <c r="A58" s="147" t="n"/>
      <c r="B58" s="34" t="inlineStr">
        <is>
          <t>21.1.06.10-0172</t>
        </is>
      </c>
      <c r="C58" s="146" t="inlineStr">
        <is>
          <t>Кабель силовой с медными жилами ВВГнг(A)-FRLS 3х10ок-1000</t>
        </is>
      </c>
      <c r="D58" s="147" t="inlineStr">
        <is>
          <t>1000 м</t>
        </is>
      </c>
      <c r="E58" s="188" t="n">
        <v>0.0306</v>
      </c>
      <c r="F58" s="165" t="n">
        <v>61165.55</v>
      </c>
      <c r="G58" s="14">
        <f>ROUND(E58*F58,2)</f>
        <v/>
      </c>
      <c r="H58" s="104">
        <f>G58/$G$120</f>
        <v/>
      </c>
      <c r="I58" s="103" t="n"/>
      <c r="J58" s="103" t="n"/>
    </row>
    <row r="59" hidden="1" outlineLevel="1" ht="25.5" customFormat="1" customHeight="1" s="113">
      <c r="A59" s="147" t="n"/>
      <c r="B59" s="34" t="inlineStr">
        <is>
          <t>21.1.06.10-0169</t>
        </is>
      </c>
      <c r="C59" s="146" t="inlineStr">
        <is>
          <t>Кабель силовой с медными жилами ВВГнг(A)-FRLS 3х2,5ок-1000</t>
        </is>
      </c>
      <c r="D59" s="147" t="inlineStr">
        <is>
          <t>1000 м</t>
        </is>
      </c>
      <c r="E59" s="188" t="n">
        <v>0.145</v>
      </c>
      <c r="F59" s="165" t="n">
        <v>24712.04</v>
      </c>
      <c r="G59" s="14">
        <f>ROUND(E59*F59,2)</f>
        <v/>
      </c>
      <c r="H59" s="104">
        <f>G59/$G$120</f>
        <v/>
      </c>
      <c r="I59" s="103" t="n"/>
      <c r="J59" s="103" t="n"/>
    </row>
    <row r="60" hidden="1" outlineLevel="1" ht="25.5" customFormat="1" customHeight="1" s="113">
      <c r="A60" s="147" t="n"/>
      <c r="B60" s="34" t="inlineStr">
        <is>
          <t>21.1.06.10-0155</t>
        </is>
      </c>
      <c r="C60" s="146" t="inlineStr">
        <is>
          <t>Кабель силовой с медными жилами ВВГнг(A)-FRLS 2х1,5ок(N)-1000</t>
        </is>
      </c>
      <c r="D60" s="147" t="inlineStr">
        <is>
          <t>1000 м</t>
        </is>
      </c>
      <c r="E60" s="188" t="n">
        <v>0.07340000000000001</v>
      </c>
      <c r="F60" s="165" t="n">
        <v>16712.36</v>
      </c>
      <c r="G60" s="14">
        <f>ROUND(E60*F60,2)</f>
        <v/>
      </c>
      <c r="H60" s="104">
        <f>G60/$G$120</f>
        <v/>
      </c>
      <c r="I60" s="103" t="n"/>
      <c r="J60" s="103" t="n"/>
    </row>
    <row r="61" collapsed="1" ht="25.5" customFormat="1" customHeight="1" s="113">
      <c r="A61" s="147" t="n">
        <v>20</v>
      </c>
      <c r="B61" s="34" t="inlineStr">
        <is>
          <t>20.3.03.07-0066</t>
        </is>
      </c>
      <c r="C61" s="146" t="inlineStr">
        <is>
          <t>Светильник линейный GM: L55-21-45-CM-65-L00-P</t>
        </is>
      </c>
      <c r="D61" s="147" t="inlineStr">
        <is>
          <t>шт</t>
        </is>
      </c>
      <c r="E61" s="188" t="n">
        <v>13.24051463</v>
      </c>
      <c r="F61" s="165" t="n">
        <v>686.3200000000001</v>
      </c>
      <c r="G61" s="14">
        <f>ROUND(E61*F61,2)</f>
        <v/>
      </c>
      <c r="H61" s="159">
        <f>G61/$G$120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13">
      <c r="A62" s="147" t="n"/>
      <c r="B62" s="34" t="inlineStr">
        <is>
          <t>20.3.03.07-0066</t>
        </is>
      </c>
      <c r="C62" s="146" t="inlineStr">
        <is>
          <t>Светильник линейный GM: L55-21-45-CM-65-L00-P</t>
        </is>
      </c>
      <c r="D62" s="147" t="inlineStr">
        <is>
          <t>шт</t>
        </is>
      </c>
      <c r="E62" s="188" t="n">
        <v>8</v>
      </c>
      <c r="F62" s="165" t="n">
        <v>686.3200000000001</v>
      </c>
      <c r="G62" s="14">
        <f>ROUND(E62*F62,2)</f>
        <v/>
      </c>
      <c r="H62" s="104">
        <f>G62/$G$120</f>
        <v/>
      </c>
      <c r="I62" s="103" t="n"/>
      <c r="J62" s="103" t="n"/>
    </row>
    <row r="63" hidden="1" outlineLevel="1" ht="25.5" customFormat="1" customHeight="1" s="113">
      <c r="A63" s="147" t="n"/>
      <c r="B63" s="34" t="inlineStr">
        <is>
          <t>20.3.03.07-0053</t>
        </is>
      </c>
      <c r="C63" s="146" t="inlineStr">
        <is>
          <t>Светильник линейный GM: L20-7-15-CM-54-L00-U</t>
        </is>
      </c>
      <c r="D63" s="147" t="inlineStr">
        <is>
          <t>шт</t>
        </is>
      </c>
      <c r="E63" s="188" t="n">
        <v>9</v>
      </c>
      <c r="F63" s="165" t="n">
        <v>399.63</v>
      </c>
      <c r="G63" s="14">
        <f>ROUND(E63*F63,2)</f>
        <v/>
      </c>
      <c r="H63" s="104">
        <f>G63/$G$120</f>
        <v/>
      </c>
      <c r="I63" s="103" t="n"/>
      <c r="J63" s="103" t="n"/>
    </row>
    <row r="64" collapsed="1" ht="25.5" customFormat="1" customHeight="1" s="113">
      <c r="A64" s="147" t="n">
        <v>21</v>
      </c>
      <c r="B64" s="34" t="inlineStr">
        <is>
          <t>20.1.02.04-0031</t>
        </is>
      </c>
      <c r="C64" s="146" t="inlineStr">
        <is>
          <t>Колодка клеммная изолированная 4х1,5-16 мм2</t>
        </is>
      </c>
      <c r="D64" s="147" t="inlineStr">
        <is>
          <t>шт</t>
        </is>
      </c>
      <c r="E64" s="188" t="n">
        <v>172.4580818</v>
      </c>
      <c r="F64" s="165" t="n">
        <v>29.82</v>
      </c>
      <c r="G64" s="14">
        <f>ROUND(E64*F64,2)</f>
        <v/>
      </c>
      <c r="H64" s="159">
        <f>G64/$G$120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13">
      <c r="A65" s="147" t="n"/>
      <c r="B65" s="34" t="inlineStr">
        <is>
          <t>20.1.02.04-0031</t>
        </is>
      </c>
      <c r="C65" s="146" t="inlineStr">
        <is>
          <t>Колодка клеммная изолированная 4х1,5-16 мм2</t>
        </is>
      </c>
      <c r="D65" s="147" t="inlineStr">
        <is>
          <t>шт</t>
        </is>
      </c>
      <c r="E65" s="188" t="n">
        <v>100</v>
      </c>
      <c r="F65" s="165" t="n">
        <v>29.82</v>
      </c>
      <c r="G65" s="14">
        <f>ROUND(E65*F65,2)</f>
        <v/>
      </c>
      <c r="H65" s="104">
        <f>G65/$G$120</f>
        <v/>
      </c>
      <c r="I65" s="103" t="n"/>
      <c r="J65" s="103" t="n"/>
    </row>
    <row r="66" hidden="1" outlineLevel="1" ht="14.25" customFormat="1" customHeight="1" s="113">
      <c r="A66" s="147" t="n"/>
      <c r="B66" s="34" t="inlineStr">
        <is>
          <t>20.1.02.04-0023</t>
        </is>
      </c>
      <c r="C66" s="146" t="inlineStr">
        <is>
          <t>Колодка клеммная диаметром: 10 мм</t>
        </is>
      </c>
      <c r="D66" s="147" t="inlineStr">
        <is>
          <t>10 шт</t>
        </is>
      </c>
      <c r="E66" s="188" t="n">
        <v>20</v>
      </c>
      <c r="F66" s="165" t="n">
        <v>39.66</v>
      </c>
      <c r="G66" s="14">
        <f>ROUND(E66*F66,2)</f>
        <v/>
      </c>
      <c r="H66" s="104">
        <f>G66/$G$120</f>
        <v/>
      </c>
      <c r="I66" s="103" t="n"/>
      <c r="J66" s="103" t="n"/>
    </row>
    <row r="67" hidden="1" outlineLevel="1" ht="14.25" customFormat="1" customHeight="1" s="113">
      <c r="A67" s="147" t="n"/>
      <c r="B67" s="34" t="inlineStr">
        <is>
          <t>20.1.02.04-0022</t>
        </is>
      </c>
      <c r="C67" s="146" t="inlineStr">
        <is>
          <t>Колодка клеммная диаметром: 6 мм</t>
        </is>
      </c>
      <c r="D67" s="147" t="inlineStr">
        <is>
          <t>10 шт</t>
        </is>
      </c>
      <c r="E67" s="188" t="n">
        <v>50</v>
      </c>
      <c r="F67" s="165" t="n">
        <v>27.35</v>
      </c>
      <c r="G67" s="14">
        <f>ROUND(E67*F67,2)</f>
        <v/>
      </c>
      <c r="H67" s="104">
        <f>G67/$G$120</f>
        <v/>
      </c>
      <c r="I67" s="103" t="n"/>
      <c r="J67" s="103" t="n"/>
    </row>
    <row r="68" collapsed="1" ht="14.25" customFormat="1" customHeight="1" s="113">
      <c r="B68" s="147" t="n"/>
      <c r="C68" s="146" t="inlineStr">
        <is>
          <t>Итого основные материалы</t>
        </is>
      </c>
      <c r="D68" s="147" t="n"/>
      <c r="E68" s="188" t="n"/>
      <c r="F68" s="149" t="n"/>
      <c r="G68" s="14">
        <f>SUM(G44:G45)+G48+G61+G64</f>
        <v/>
      </c>
      <c r="H68" s="159">
        <f>G68/$G$120</f>
        <v/>
      </c>
      <c r="I68" s="14" t="n"/>
      <c r="J68" s="14">
        <f>SUM(J44:J67)</f>
        <v/>
      </c>
      <c r="K68" s="190" t="n"/>
    </row>
    <row r="69" hidden="1" outlineLevel="1" ht="38.25" customFormat="1" customHeight="1" s="113">
      <c r="A69" s="147" t="n">
        <v>22</v>
      </c>
      <c r="B69" s="51" t="inlineStr">
        <is>
          <t>24.3.03.05-0034</t>
        </is>
      </c>
      <c r="C69" s="146" t="inlineStr">
        <is>
          <t>Трубы полиэтиленовые гибкие гофрированные тяжелые с протяжкой, номинальный внутренний диаметр 32 мм</t>
        </is>
      </c>
      <c r="D69" s="147" t="inlineStr">
        <is>
          <t>м</t>
        </is>
      </c>
      <c r="E69" s="188" t="n">
        <v>323.2037915</v>
      </c>
      <c r="F69" s="165" t="n">
        <v>12.66</v>
      </c>
      <c r="G69" s="14">
        <f>ROUND(F69*E69,2)</f>
        <v/>
      </c>
      <c r="H69" s="159">
        <f>G69/$G$120</f>
        <v/>
      </c>
      <c r="I69" s="14">
        <f>ROUND(F69*Прил.10!$D$12,2)</f>
        <v/>
      </c>
      <c r="J69" s="14">
        <f>ROUND(I69*E69,2)</f>
        <v/>
      </c>
    </row>
    <row r="70" hidden="1" outlineLevel="2" ht="38.25" customFormat="1" customHeight="1" s="113">
      <c r="A70" s="147" t="n"/>
      <c r="B70" s="98" t="inlineStr">
        <is>
          <t>24.3.03.05-0034</t>
        </is>
      </c>
      <c r="C70" s="99" t="inlineStr">
        <is>
          <t>Трубы полиэтиленовые гибкие гофрированные тяжелые с протяжкой, номинальный внутренний диаметр 32 мм</t>
        </is>
      </c>
      <c r="D70" s="100" t="inlineStr">
        <is>
          <t>м</t>
        </is>
      </c>
      <c r="E70" s="196" t="n">
        <v>300</v>
      </c>
      <c r="F70" s="102" t="n">
        <v>12.66</v>
      </c>
      <c r="G70" s="103">
        <f>ROUND(F70*E70,2)</f>
        <v/>
      </c>
      <c r="H70" s="104">
        <f>G70/$G$120</f>
        <v/>
      </c>
      <c r="I70" s="103" t="n"/>
      <c r="J70" s="103" t="n"/>
    </row>
    <row r="71" hidden="1" outlineLevel="2" ht="38.25" customFormat="1" customHeight="1" s="113">
      <c r="A71" s="147" t="n"/>
      <c r="B71" s="98" t="inlineStr">
        <is>
          <t>24.3.03.05-0032</t>
        </is>
      </c>
      <c r="C71" s="99" t="inlineStr">
        <is>
          <t>Трубы полиэтиленовые гибкие гофрированные тяжелые с протяжкой, номинальный внутренний диаметр 20 мм</t>
        </is>
      </c>
      <c r="D71" s="100" t="inlineStr">
        <is>
          <t>м</t>
        </is>
      </c>
      <c r="E71" s="196" t="n">
        <v>51</v>
      </c>
      <c r="F71" s="102" t="n">
        <v>5.76</v>
      </c>
      <c r="G71" s="103">
        <f>ROUND(F71*E71,2)</f>
        <v/>
      </c>
      <c r="H71" s="104">
        <f>G71/$G$120</f>
        <v/>
      </c>
      <c r="I71" s="103" t="n"/>
      <c r="J71" s="103" t="n"/>
    </row>
    <row r="72" hidden="1" outlineLevel="1" collapsed="1" ht="38.25" customFormat="1" customHeight="1" s="113">
      <c r="A72" s="147" t="n">
        <v>23</v>
      </c>
      <c r="B72" s="34" t="inlineStr">
        <is>
          <t>24.1.02.01-0018</t>
        </is>
      </c>
      <c r="C72" s="146" t="inlineStr">
        <is>
          <t>Хомуты двухболтовые с быстродействующим замком для крепления труб размером 54-58 мм</t>
        </is>
      </c>
      <c r="D72" s="147" t="inlineStr">
        <is>
          <t>шт</t>
        </is>
      </c>
      <c r="E72" s="188" t="n">
        <v>150</v>
      </c>
      <c r="F72" s="165" t="n">
        <v>18.64</v>
      </c>
      <c r="G72" s="14">
        <f>ROUND(F72*E72,2)</f>
        <v/>
      </c>
      <c r="H72" s="159">
        <f>G72/$G$120</f>
        <v/>
      </c>
      <c r="I72" s="14">
        <f>ROUND(F72*Прил.10!$D$12,2)</f>
        <v/>
      </c>
      <c r="J72" s="14">
        <f>ROUND(I72*E72,2)</f>
        <v/>
      </c>
    </row>
    <row r="73" hidden="1" outlineLevel="1" ht="25.5" customFormat="1" customHeight="1" s="113">
      <c r="A73" s="147" t="n">
        <v>24</v>
      </c>
      <c r="B73" s="34" t="inlineStr">
        <is>
          <t>07.2.07.04-0007</t>
        </is>
      </c>
      <c r="C73" s="146" t="inlineStr">
        <is>
          <t>Конструкции стальные индивидуальные решетчатые сварные, масса до 0,1 т</t>
        </is>
      </c>
      <c r="D73" s="147" t="inlineStr">
        <is>
          <t>т</t>
        </is>
      </c>
      <c r="E73" s="188" t="n">
        <v>0.1476</v>
      </c>
      <c r="F73" s="165" t="n">
        <v>11500</v>
      </c>
      <c r="G73" s="14">
        <f>ROUND(F73*E73,2)</f>
        <v/>
      </c>
      <c r="H73" s="159">
        <f>G73/$G$120</f>
        <v/>
      </c>
      <c r="I73" s="14">
        <f>ROUND(F73*Прил.10!$D$12,2)</f>
        <v/>
      </c>
      <c r="J73" s="14">
        <f>ROUND(I73*E73,2)</f>
        <v/>
      </c>
    </row>
    <row r="74" hidden="1" outlineLevel="1" ht="63.75" customFormat="1" customHeight="1" s="113">
      <c r="A74" s="147" t="n">
        <v>25</v>
      </c>
      <c r="B74" s="34" t="inlineStr">
        <is>
          <t>20.3.04.07-0001</t>
        </is>
      </c>
      <c r="C74" s="146" t="inlineStr">
        <is>
          <t>Указатель световой для обозначения мест размещения пожарного гидранта с рассеивателем из поликарбоната, в комплекте с набором цифровых знаков, УПГС-40-1</t>
        </is>
      </c>
      <c r="D74" s="147" t="inlineStr">
        <is>
          <t>шт</t>
        </is>
      </c>
      <c r="E74" s="188" t="n">
        <v>13</v>
      </c>
      <c r="F74" s="165" t="n">
        <v>112.33</v>
      </c>
      <c r="G74" s="14">
        <f>ROUND(F74*E74,2)</f>
        <v/>
      </c>
      <c r="H74" s="159">
        <f>G74/$G$120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13">
      <c r="A75" s="147" t="n">
        <v>26</v>
      </c>
      <c r="B75" s="34" t="inlineStr">
        <is>
          <t>20.5.02.04-0001</t>
        </is>
      </c>
      <c r="C75" s="146" t="inlineStr">
        <is>
          <t>Коробка ответвительная "DKC" размером 100х100х50 мм</t>
        </is>
      </c>
      <c r="D75" s="147" t="inlineStr">
        <is>
          <t>шт</t>
        </is>
      </c>
      <c r="E75" s="188" t="n">
        <v>45</v>
      </c>
      <c r="F75" s="165" t="n">
        <v>20.7</v>
      </c>
      <c r="G75" s="14">
        <f>ROUND(F75*E75,2)</f>
        <v/>
      </c>
      <c r="H75" s="159">
        <f>G75/$G$120</f>
        <v/>
      </c>
      <c r="I75" s="14">
        <f>ROUND(F75*Прил.10!$D$12,2)</f>
        <v/>
      </c>
      <c r="J75" s="14">
        <f>ROUND(I75*E75,2)</f>
        <v/>
      </c>
    </row>
    <row r="76" hidden="1" outlineLevel="1" ht="51" customFormat="1" customHeight="1" s="113">
      <c r="A76" s="147" t="n">
        <v>27</v>
      </c>
      <c r="B76" s="34" t="inlineStr">
        <is>
          <t>Прайс из СД ОП</t>
        </is>
      </c>
      <c r="C76" s="146" t="inlineStr">
        <is>
          <t>Световой указатель настенный ,без встроенного аккумулятора, MIZAR 4000-4 LED S,арт.4502002110,Световые технологии</t>
        </is>
      </c>
      <c r="D76" s="147" t="inlineStr">
        <is>
          <t>шт</t>
        </is>
      </c>
      <c r="E76" s="188" t="n">
        <v>1</v>
      </c>
      <c r="F76" s="165" t="n">
        <v>854.35</v>
      </c>
      <c r="G76" s="14">
        <f>ROUND(F76*E76,2)</f>
        <v/>
      </c>
      <c r="H76" s="159">
        <f>G76/$G$120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13">
      <c r="A77" s="147" t="n">
        <v>28</v>
      </c>
      <c r="B77" s="34" t="inlineStr">
        <is>
          <t>14.4.02.09-0001</t>
        </is>
      </c>
      <c r="C77" s="146" t="inlineStr">
        <is>
          <t>Краска</t>
        </is>
      </c>
      <c r="D77" s="147" t="inlineStr">
        <is>
          <t>кг</t>
        </is>
      </c>
      <c r="E77" s="188" t="n">
        <v>20.032</v>
      </c>
      <c r="F77" s="165" t="n">
        <v>28.6</v>
      </c>
      <c r="G77" s="14">
        <f>ROUND(F77*E77,2)</f>
        <v/>
      </c>
      <c r="H77" s="159">
        <f>G77/$G$120</f>
        <v/>
      </c>
      <c r="I77" s="14">
        <f>ROUND(F77*Прил.10!$D$12,2)</f>
        <v/>
      </c>
      <c r="J77" s="14">
        <f>ROUND(I77*E77,2)</f>
        <v/>
      </c>
    </row>
    <row r="78" hidden="1" outlineLevel="1" ht="38.25" customFormat="1" customHeight="1" s="113">
      <c r="A78" s="147" t="n">
        <v>29</v>
      </c>
      <c r="B78" s="34" t="inlineStr">
        <is>
          <t>Прайс из СД ОП</t>
        </is>
      </c>
      <c r="C78" s="146" t="inlineStr">
        <is>
          <t>Коробка соединительная 200х157х50,IP66,6 выводов, КСП "Север" ПЛ.6-РМ2-11,ООО НПП "Магнито-Контакт"</t>
        </is>
      </c>
      <c r="D78" s="147" t="inlineStr">
        <is>
          <t>шт</t>
        </is>
      </c>
      <c r="E78" s="188" t="n">
        <v>6</v>
      </c>
      <c r="F78" s="165" t="n">
        <v>95.01000000000001</v>
      </c>
      <c r="G78" s="14">
        <f>ROUND(F78*E78,2)</f>
        <v/>
      </c>
      <c r="H78" s="159">
        <f>G78/$G$120</f>
        <v/>
      </c>
      <c r="I78" s="14">
        <f>ROUND(F78*Прил.10!$D$12,2)</f>
        <v/>
      </c>
      <c r="J78" s="14">
        <f>ROUND(I78*E78,2)</f>
        <v/>
      </c>
    </row>
    <row r="79" hidden="1" outlineLevel="1" ht="38.25" customFormat="1" customHeight="1" s="113">
      <c r="A79" s="147" t="n">
        <v>30</v>
      </c>
      <c r="B79" s="34" t="inlineStr">
        <is>
          <t>24.1.02.01-0014</t>
        </is>
      </c>
      <c r="C79" s="146" t="inlineStr">
        <is>
          <t>Хомуты двухболтовые с быстродействующим замком для крепления труб размером 25-30 мм</t>
        </is>
      </c>
      <c r="D79" s="147" t="inlineStr">
        <is>
          <t>шт</t>
        </is>
      </c>
      <c r="E79" s="188" t="n">
        <v>40</v>
      </c>
      <c r="F79" s="165" t="n">
        <v>13.79</v>
      </c>
      <c r="G79" s="14">
        <f>ROUND(F79*E79,2)</f>
        <v/>
      </c>
      <c r="H79" s="159">
        <f>G79/$G$120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13">
      <c r="A80" s="147" t="n">
        <v>31</v>
      </c>
      <c r="B80" s="34" t="inlineStr">
        <is>
          <t>10.3.02.03-0011</t>
        </is>
      </c>
      <c r="C80" s="146" t="inlineStr">
        <is>
          <t>Припои оловянно-свинцовые бессурьмянистые, марка ПОС30</t>
        </is>
      </c>
      <c r="D80" s="147" t="inlineStr">
        <is>
          <t>т</t>
        </is>
      </c>
      <c r="E80" s="188" t="n">
        <v>0.0047866</v>
      </c>
      <c r="F80" s="165" t="n">
        <v>68050</v>
      </c>
      <c r="G80" s="14">
        <f>ROUND(F80*E80,2)</f>
        <v/>
      </c>
      <c r="H80" s="159">
        <f>G80/$G$120</f>
        <v/>
      </c>
      <c r="I80" s="14">
        <f>ROUND(F80*Прил.10!$D$12,2)</f>
        <v/>
      </c>
      <c r="J80" s="14">
        <f>ROUND(I80*E80,2)</f>
        <v/>
      </c>
    </row>
    <row r="81" hidden="1" outlineLevel="1" ht="38.25" customFormat="1" customHeight="1" s="113">
      <c r="A81" s="147" t="n">
        <v>32</v>
      </c>
      <c r="B81" s="34" t="inlineStr">
        <is>
          <t>Прайс из СД ОП</t>
        </is>
      </c>
      <c r="C81" s="146" t="inlineStr">
        <is>
          <t>Рамка для монтажа светового указателя в подвесной потолок ST-36 рамка ,арт.2501002150,Световые технологии</t>
        </is>
      </c>
      <c r="D81" s="147" t="inlineStr">
        <is>
          <t>шт</t>
        </is>
      </c>
      <c r="E81" s="188" t="n">
        <v>1</v>
      </c>
      <c r="F81" s="165" t="n">
        <v>305.85</v>
      </c>
      <c r="G81" s="14">
        <f>ROUND(F81*E81,2)</f>
        <v/>
      </c>
      <c r="H81" s="159">
        <f>G81/$G$120</f>
        <v/>
      </c>
      <c r="I81" s="14">
        <f>ROUND(F81*Прил.10!$D$12,2)</f>
        <v/>
      </c>
      <c r="J81" s="14">
        <f>ROUND(I81*E81,2)</f>
        <v/>
      </c>
    </row>
    <row r="82" hidden="1" outlineLevel="1" ht="38.25" customFormat="1" customHeight="1" s="113">
      <c r="A82" s="147" t="n">
        <v>33</v>
      </c>
      <c r="B82" s="34" t="inlineStr">
        <is>
          <t>20.2.09.05-0001</t>
        </is>
      </c>
      <c r="C82" s="146" t="inlineStr">
        <is>
          <t>Муфта соединительная "труба-коробка" для гофрированных или жестких гладких труб диаметром 25 мм, класс защиты IP65</t>
        </is>
      </c>
      <c r="D82" s="147" t="inlineStr">
        <is>
          <t>10 шт</t>
        </is>
      </c>
      <c r="E82" s="188" t="n">
        <v>2</v>
      </c>
      <c r="F82" s="165" t="n">
        <v>126.7</v>
      </c>
      <c r="G82" s="14">
        <f>ROUND(F82*E82,2)</f>
        <v/>
      </c>
      <c r="H82" s="159">
        <f>G82/$G$120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13">
      <c r="A83" s="147" t="n">
        <v>34</v>
      </c>
      <c r="B83" s="34" t="inlineStr">
        <is>
          <t>01.7.15.07-0014</t>
        </is>
      </c>
      <c r="C83" s="146" t="inlineStr">
        <is>
          <t>Дюбели распорные полипропиленовые</t>
        </is>
      </c>
      <c r="D83" s="147" t="inlineStr">
        <is>
          <t>100 шт</t>
        </is>
      </c>
      <c r="E83" s="188" t="n">
        <v>2.9398</v>
      </c>
      <c r="F83" s="165" t="n">
        <v>86</v>
      </c>
      <c r="G83" s="14">
        <f>ROUND(F83*E83,2)</f>
        <v/>
      </c>
      <c r="H83" s="159">
        <f>G83/$G$120</f>
        <v/>
      </c>
      <c r="I83" s="14">
        <f>ROUND(F83*Прил.10!$D$12,2)</f>
        <v/>
      </c>
      <c r="J83" s="14">
        <f>ROUND(I83*E83,2)</f>
        <v/>
      </c>
    </row>
    <row r="84" hidden="1" outlineLevel="1" ht="25.5" customFormat="1" customHeight="1" s="113">
      <c r="A84" s="147" t="n">
        <v>35</v>
      </c>
      <c r="B84" s="34" t="inlineStr">
        <is>
          <t>20.4.01.01-0031</t>
        </is>
      </c>
      <c r="C84" s="146" t="inlineStr">
        <is>
          <t>Выключатель одноклавишный для открытой проводки</t>
        </is>
      </c>
      <c r="D84" s="147" t="inlineStr">
        <is>
          <t>10 шт</t>
        </is>
      </c>
      <c r="E84" s="188" t="n">
        <v>3.4</v>
      </c>
      <c r="F84" s="165" t="n">
        <v>68</v>
      </c>
      <c r="G84" s="14">
        <f>ROUND(F84*E84,2)</f>
        <v/>
      </c>
      <c r="H84" s="159">
        <f>G84/$G$120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13">
      <c r="A85" s="147" t="n">
        <v>36</v>
      </c>
      <c r="B85" s="34" t="inlineStr">
        <is>
          <t>21.2.01.02-0141</t>
        </is>
      </c>
      <c r="C85" s="146" t="inlineStr">
        <is>
          <t>Провод неизолированный для воздушных линий электропередачи медные, марка М, сечение 4 мм2</t>
        </is>
      </c>
      <c r="D85" s="147" t="inlineStr">
        <is>
          <t>т</t>
        </is>
      </c>
      <c r="E85" s="188" t="n">
        <v>0.0022142</v>
      </c>
      <c r="F85" s="165" t="n">
        <v>96440</v>
      </c>
      <c r="G85" s="14">
        <f>ROUND(F85*E85,2)</f>
        <v/>
      </c>
      <c r="H85" s="159">
        <f>G85/$G$120</f>
        <v/>
      </c>
      <c r="I85" s="14">
        <f>ROUND(F85*Прил.10!$D$12,2)</f>
        <v/>
      </c>
      <c r="J85" s="14">
        <f>ROUND(I85*E85,2)</f>
        <v/>
      </c>
    </row>
    <row r="86" hidden="1" outlineLevel="1" ht="63.75" customFormat="1" customHeight="1" s="113">
      <c r="A86" s="147" t="n">
        <v>37</v>
      </c>
      <c r="B86" s="34" t="inlineStr">
        <is>
          <t>20.3.01.02-0003</t>
        </is>
      </c>
      <c r="C86" s="146" t="inlineStr">
        <is>
          <t>Наклейка пиктограмма "Выход налево", "Выход направо" из самоклеящейся пленки для светильника аварийного освещения ЛБО 20 (БС-842, БС-943, БС-741)</t>
        </is>
      </c>
      <c r="D86" s="147" t="inlineStr">
        <is>
          <t>100 шт</t>
        </is>
      </c>
      <c r="E86" s="188" t="n">
        <v>0.14</v>
      </c>
      <c r="F86" s="165" t="n">
        <v>1350.39</v>
      </c>
      <c r="G86" s="14">
        <f>ROUND(F86*E86,2)</f>
        <v/>
      </c>
      <c r="H86" s="159">
        <f>G86/$G$120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13">
      <c r="A87" s="147" t="n">
        <v>38</v>
      </c>
      <c r="B87" s="34" t="inlineStr">
        <is>
          <t>Прайс из СД ОП</t>
        </is>
      </c>
      <c r="C87" s="146" t="inlineStr">
        <is>
          <t>Держатель оцинкованный односторонний диам.32мм,арт. 53346 ,ДКС</t>
        </is>
      </c>
      <c r="D87" s="147" t="inlineStr">
        <is>
          <t>шт</t>
        </is>
      </c>
      <c r="E87" s="188" t="n">
        <v>80</v>
      </c>
      <c r="F87" s="165" t="n">
        <v>2.34</v>
      </c>
      <c r="G87" s="14">
        <f>ROUND(F87*E87,2)</f>
        <v/>
      </c>
      <c r="H87" s="159">
        <f>G87/$G$120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13">
      <c r="A88" s="147" t="n">
        <v>39</v>
      </c>
      <c r="B88" s="34" t="inlineStr">
        <is>
          <t>999-9950</t>
        </is>
      </c>
      <c r="C88" s="146" t="inlineStr">
        <is>
          <t>Вспомогательные ненормируемые ресурсы (2% от Оплаты труда рабочих)</t>
        </is>
      </c>
      <c r="D88" s="147" t="inlineStr">
        <is>
          <t>руб</t>
        </is>
      </c>
      <c r="E88" s="188" t="n">
        <v>179.5862</v>
      </c>
      <c r="F88" s="165" t="n">
        <v>1</v>
      </c>
      <c r="G88" s="14">
        <f>ROUND(F88*E88,2)</f>
        <v/>
      </c>
      <c r="H88" s="159">
        <f>G88/$G$120</f>
        <v/>
      </c>
      <c r="I88" s="14">
        <f>ROUND(F88*Прил.10!$D$12,2)</f>
        <v/>
      </c>
      <c r="J88" s="14">
        <f>ROUND(I88*E88,2)</f>
        <v/>
      </c>
    </row>
    <row r="89" hidden="1" outlineLevel="1" ht="38.25" customFormat="1" customHeight="1" s="113">
      <c r="A89" s="147" t="n">
        <v>40</v>
      </c>
      <c r="B89" s="34" t="inlineStr">
        <is>
          <t>08.3.07.01-0076</t>
        </is>
      </c>
      <c r="C89" s="146" t="inlineStr">
        <is>
          <t>Прокат полосовой, горячекатаный, марка стали Ст3сп, ширина 50-200 мм, толщина 4-5 мм</t>
        </is>
      </c>
      <c r="D89" s="147" t="inlineStr">
        <is>
          <t>т</t>
        </is>
      </c>
      <c r="E89" s="188" t="n">
        <v>0.02702</v>
      </c>
      <c r="F89" s="165" t="n">
        <v>5000</v>
      </c>
      <c r="G89" s="14">
        <f>ROUND(F89*E89,2)</f>
        <v/>
      </c>
      <c r="H89" s="159">
        <f>G89/$G$120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13">
      <c r="A90" s="147" t="n">
        <v>41</v>
      </c>
      <c r="B90" s="34" t="inlineStr">
        <is>
          <t>20.5.04.10-0011</t>
        </is>
      </c>
      <c r="C90" s="146" t="inlineStr">
        <is>
          <t>Сжимы соединительные</t>
        </is>
      </c>
      <c r="D90" s="147" t="inlineStr">
        <is>
          <t>100 шт</t>
        </is>
      </c>
      <c r="E90" s="188" t="n">
        <v>1.2648</v>
      </c>
      <c r="F90" s="165" t="n">
        <v>100</v>
      </c>
      <c r="G90" s="14">
        <f>ROUND(F90*E90,2)</f>
        <v/>
      </c>
      <c r="H90" s="159">
        <f>G90/$G$120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13">
      <c r="A91" s="147" t="n">
        <v>42</v>
      </c>
      <c r="B91" s="34" t="inlineStr">
        <is>
          <t>14.4.03.03-0002</t>
        </is>
      </c>
      <c r="C91" s="146" t="inlineStr">
        <is>
          <t>Лак битумный БТ-123</t>
        </is>
      </c>
      <c r="D91" s="147" t="inlineStr">
        <is>
          <t>т</t>
        </is>
      </c>
      <c r="E91" s="188" t="n">
        <v>0.0137142</v>
      </c>
      <c r="F91" s="165" t="n">
        <v>7826.9</v>
      </c>
      <c r="G91" s="14">
        <f>ROUND(F91*E91,2)</f>
        <v/>
      </c>
      <c r="H91" s="159">
        <f>G91/$G$120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13">
      <c r="A92" s="147" t="n">
        <v>43</v>
      </c>
      <c r="B92" s="34" t="inlineStr">
        <is>
          <t>01.7.02.07-0011</t>
        </is>
      </c>
      <c r="C92" s="146" t="inlineStr">
        <is>
          <t>Прессшпан листовой, марка А</t>
        </is>
      </c>
      <c r="D92" s="147" t="inlineStr">
        <is>
          <t>кг</t>
        </is>
      </c>
      <c r="E92" s="188" t="n">
        <v>2.25</v>
      </c>
      <c r="F92" s="165" t="n">
        <v>47.57</v>
      </c>
      <c r="G92" s="14">
        <f>ROUND(F92*E92,2)</f>
        <v/>
      </c>
      <c r="H92" s="159">
        <f>G92/$G$120</f>
        <v/>
      </c>
      <c r="I92" s="14">
        <f>ROUND(F92*Прил.10!$D$12,2)</f>
        <v/>
      </c>
      <c r="J92" s="14">
        <f>ROUND(I92*E92,2)</f>
        <v/>
      </c>
    </row>
    <row r="93" hidden="1" outlineLevel="1" ht="14.25" customFormat="1" customHeight="1" s="113">
      <c r="A93" s="147" t="n">
        <v>44</v>
      </c>
      <c r="B93" s="34" t="inlineStr">
        <is>
          <t>25.2.01.01-0017</t>
        </is>
      </c>
      <c r="C93" s="146" t="inlineStr">
        <is>
          <t>Бирки маркировочные пластмассовые</t>
        </is>
      </c>
      <c r="D93" s="147" t="inlineStr">
        <is>
          <t>100 шт</t>
        </is>
      </c>
      <c r="E93" s="188" t="n">
        <v>2.7</v>
      </c>
      <c r="F93" s="165" t="n">
        <v>30.74</v>
      </c>
      <c r="G93" s="14">
        <f>ROUND(F93*E93,2)</f>
        <v/>
      </c>
      <c r="H93" s="159">
        <f>G93/$G$120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13">
      <c r="A94" s="147" t="n">
        <v>45</v>
      </c>
      <c r="B94" s="34" t="inlineStr">
        <is>
          <t>01.7.20.04-0003</t>
        </is>
      </c>
      <c r="C94" s="146" t="inlineStr">
        <is>
          <t>Нитки суровые</t>
        </is>
      </c>
      <c r="D94" s="147" t="inlineStr">
        <is>
          <t>кг</t>
        </is>
      </c>
      <c r="E94" s="188" t="n">
        <v>0.45</v>
      </c>
      <c r="F94" s="165" t="n">
        <v>155</v>
      </c>
      <c r="G94" s="14">
        <f>ROUND(F94*E94,2)</f>
        <v/>
      </c>
      <c r="H94" s="159">
        <f>G94/$G$120</f>
        <v/>
      </c>
      <c r="I94" s="14">
        <f>ROUND(F94*Прил.10!$D$12,2)</f>
        <v/>
      </c>
      <c r="J94" s="14">
        <f>ROUND(I94*E94,2)</f>
        <v/>
      </c>
    </row>
    <row r="95" hidden="1" outlineLevel="1" ht="51" customFormat="1" customHeight="1" s="113">
      <c r="A95" s="147" t="n">
        <v>46</v>
      </c>
      <c r="B95" s="34" t="inlineStr">
        <is>
          <t>Прайс из СД ОП</t>
        </is>
      </c>
      <c r="C95" s="146" t="inlineStr">
        <is>
          <t>Держатель оцинкованный односторонний диам.16мм,арт. 53341 ,ДКС
еМР = 10.47 = 10.26+0.21{ЗСР 2%}</t>
        </is>
      </c>
      <c r="D95" s="147" t="inlineStr">
        <is>
          <t>шт</t>
        </is>
      </c>
      <c r="E95" s="188" t="n">
        <v>60</v>
      </c>
      <c r="F95" s="165" t="n">
        <v>1.03</v>
      </c>
      <c r="G95" s="14">
        <f>ROUND(F95*E95,2)</f>
        <v/>
      </c>
      <c r="H95" s="159">
        <f>G95/$G$120</f>
        <v/>
      </c>
      <c r="I95" s="14">
        <f>ROUND(F95*Прил.10!$D$12,2)</f>
        <v/>
      </c>
      <c r="J95" s="14">
        <f>ROUND(I95*E95,2)</f>
        <v/>
      </c>
    </row>
    <row r="96" hidden="1" outlineLevel="1" ht="14.25" customFormat="1" customHeight="1" s="113">
      <c r="A96" s="147" t="n">
        <v>47</v>
      </c>
      <c r="B96" s="34" t="inlineStr">
        <is>
          <t>20.1.02.23-0082</t>
        </is>
      </c>
      <c r="C96" s="146" t="inlineStr">
        <is>
          <t>Перемычки гибкие, тип ПГС-50</t>
        </is>
      </c>
      <c r="D96" s="147" t="inlineStr">
        <is>
          <t>10 шт</t>
        </is>
      </c>
      <c r="E96" s="188" t="n">
        <v>1.26</v>
      </c>
      <c r="F96" s="165" t="n">
        <v>39</v>
      </c>
      <c r="G96" s="14">
        <f>ROUND(F96*E96,2)</f>
        <v/>
      </c>
      <c r="H96" s="159">
        <f>G96/$G$120</f>
        <v/>
      </c>
      <c r="I96" s="14">
        <f>ROUND(F96*Прил.10!$D$12,2)</f>
        <v/>
      </c>
      <c r="J96" s="14">
        <f>ROUND(I96*E96,2)</f>
        <v/>
      </c>
    </row>
    <row r="97" hidden="1" outlineLevel="1" ht="14.25" customFormat="1" customHeight="1" s="113">
      <c r="A97" s="147" t="n">
        <v>48</v>
      </c>
      <c r="B97" s="34" t="inlineStr">
        <is>
          <t>01.7.15.07-0152</t>
        </is>
      </c>
      <c r="C97" s="146" t="inlineStr">
        <is>
          <t>Дюбели с шурупом, размер 6х35 мм</t>
        </is>
      </c>
      <c r="D97" s="147" t="inlineStr">
        <is>
          <t>100 шт</t>
        </is>
      </c>
      <c r="E97" s="188" t="n">
        <v>6.125</v>
      </c>
      <c r="F97" s="165" t="n">
        <v>8</v>
      </c>
      <c r="G97" s="14">
        <f>ROUND(F97*E97,2)</f>
        <v/>
      </c>
      <c r="H97" s="159">
        <f>G97/$G$120</f>
        <v/>
      </c>
      <c r="I97" s="14">
        <f>ROUND(F97*Прил.10!$D$12,2)</f>
        <v/>
      </c>
      <c r="J97" s="14">
        <f>ROUND(I97*E97,2)</f>
        <v/>
      </c>
    </row>
    <row r="98" hidden="1" outlineLevel="1" ht="14.25" customFormat="1" customHeight="1" s="113">
      <c r="A98" s="147" t="n">
        <v>49</v>
      </c>
      <c r="B98" s="34" t="inlineStr">
        <is>
          <t>Прайс из СД ОП</t>
        </is>
      </c>
      <c r="C98" s="146" t="inlineStr">
        <is>
          <t>Светильник переносной  ЛСУ-2  12/24В DC</t>
        </is>
      </c>
      <c r="D98" s="147" t="inlineStr">
        <is>
          <t>шт</t>
        </is>
      </c>
      <c r="E98" s="188" t="n">
        <v>1</v>
      </c>
      <c r="F98" s="165" t="n">
        <v>47.95</v>
      </c>
      <c r="G98" s="14">
        <f>ROUND(F98*E98,2)</f>
        <v/>
      </c>
      <c r="H98" s="159">
        <f>G98/$G$120</f>
        <v/>
      </c>
      <c r="I98" s="14">
        <f>ROUND(F98*Прил.10!$D$12,2)</f>
        <v/>
      </c>
      <c r="J98" s="14">
        <f>ROUND(I98*E98,2)</f>
        <v/>
      </c>
    </row>
    <row r="99" hidden="1" outlineLevel="1" ht="14.25" customFormat="1" customHeight="1" s="113">
      <c r="A99" s="147" t="n">
        <v>50</v>
      </c>
      <c r="B99" s="34" t="inlineStr">
        <is>
          <t>20.5.04.09-0001</t>
        </is>
      </c>
      <c r="C99" s="146" t="inlineStr">
        <is>
          <t>Сжимы ответвительные</t>
        </is>
      </c>
      <c r="D99" s="147" t="inlineStr">
        <is>
          <t>100 шт</t>
        </is>
      </c>
      <c r="E99" s="188" t="n">
        <v>0.082</v>
      </c>
      <c r="F99" s="165" t="n">
        <v>528</v>
      </c>
      <c r="G99" s="14">
        <f>ROUND(F99*E99,2)</f>
        <v/>
      </c>
      <c r="H99" s="159">
        <f>G99/$G$120</f>
        <v/>
      </c>
      <c r="I99" s="14">
        <f>ROUND(F99*Прил.10!$D$12,2)</f>
        <v/>
      </c>
      <c r="J99" s="14">
        <f>ROUND(I99*E99,2)</f>
        <v/>
      </c>
    </row>
    <row r="100" hidden="1" outlineLevel="1" ht="14.25" customFormat="1" customHeight="1" s="113">
      <c r="A100" s="147" t="n">
        <v>51</v>
      </c>
      <c r="B100" s="34" t="inlineStr">
        <is>
          <t>01.7.15.14-0165</t>
        </is>
      </c>
      <c r="C100" s="146" t="inlineStr">
        <is>
          <t>Шурупы с полукруглой головкой 4х40 мм</t>
        </is>
      </c>
      <c r="D100" s="147" t="inlineStr">
        <is>
          <t>т</t>
        </is>
      </c>
      <c r="E100" s="188" t="n">
        <v>0.0031751</v>
      </c>
      <c r="F100" s="165" t="n">
        <v>12430</v>
      </c>
      <c r="G100" s="14">
        <f>ROUND(F100*E100,2)</f>
        <v/>
      </c>
      <c r="H100" s="159">
        <f>G100/$G$120</f>
        <v/>
      </c>
      <c r="I100" s="14">
        <f>ROUND(F100*Прил.10!$D$12,2)</f>
        <v/>
      </c>
      <c r="J100" s="14">
        <f>ROUND(I100*E100,2)</f>
        <v/>
      </c>
    </row>
    <row r="101" hidden="1" outlineLevel="1" ht="25.5" customFormat="1" customHeight="1" s="113">
      <c r="A101" s="147" t="n">
        <v>52</v>
      </c>
      <c r="B101" s="34" t="inlineStr">
        <is>
          <t>01.7.15.07-0022</t>
        </is>
      </c>
      <c r="C101" s="146" t="inlineStr">
        <is>
          <t>Дюбели распорные полиэтиленовые, размер 6х40 мм</t>
        </is>
      </c>
      <c r="D101" s="147" t="inlineStr">
        <is>
          <t>1000 шт</t>
        </is>
      </c>
      <c r="E101" s="188" t="n">
        <v>0.2</v>
      </c>
      <c r="F101" s="165" t="n">
        <v>180</v>
      </c>
      <c r="G101" s="14">
        <f>ROUND(F101*E101,2)</f>
        <v/>
      </c>
      <c r="H101" s="159">
        <f>G101/$G$120</f>
        <v/>
      </c>
      <c r="I101" s="14">
        <f>ROUND(F101*Прил.10!$D$12,2)</f>
        <v/>
      </c>
      <c r="J101" s="14">
        <f>ROUND(I101*E101,2)</f>
        <v/>
      </c>
    </row>
    <row r="102" hidden="1" outlineLevel="1" ht="14.25" customFormat="1" customHeight="1" s="113">
      <c r="A102" s="147" t="n">
        <v>53</v>
      </c>
      <c r="B102" s="34" t="inlineStr">
        <is>
          <t>01.7.06.07-0002</t>
        </is>
      </c>
      <c r="C102" s="146" t="inlineStr">
        <is>
          <t>Лента монтажная, тип ЛМ-5</t>
        </is>
      </c>
      <c r="D102" s="147" t="inlineStr">
        <is>
          <t>10 м</t>
        </is>
      </c>
      <c r="E102" s="188" t="n">
        <v>4.51045</v>
      </c>
      <c r="F102" s="165" t="n">
        <v>6.9</v>
      </c>
      <c r="G102" s="14">
        <f>ROUND(F102*E102,2)</f>
        <v/>
      </c>
      <c r="H102" s="159">
        <f>G102/$G$120</f>
        <v/>
      </c>
      <c r="I102" s="14">
        <f>ROUND(F102*Прил.10!$D$12,2)</f>
        <v/>
      </c>
      <c r="J102" s="14">
        <f>ROUND(I102*E102,2)</f>
        <v/>
      </c>
    </row>
    <row r="103" hidden="1" outlineLevel="1" ht="25.5" customFormat="1" customHeight="1" s="113">
      <c r="A103" s="147" t="n">
        <v>54</v>
      </c>
      <c r="B103" s="34" t="inlineStr">
        <is>
          <t>10.3.02.03-0012</t>
        </is>
      </c>
      <c r="C103" s="146" t="inlineStr">
        <is>
          <t>Припои оловянно-свинцовые бессурьмянистые, марка ПОС40</t>
        </is>
      </c>
      <c r="D103" s="147" t="inlineStr">
        <is>
          <t>т</t>
        </is>
      </c>
      <c r="E103" s="188" t="n">
        <v>0.00045</v>
      </c>
      <c r="F103" s="165" t="n">
        <v>65750</v>
      </c>
      <c r="G103" s="14">
        <f>ROUND(F103*E103,2)</f>
        <v/>
      </c>
      <c r="H103" s="159">
        <f>G103/$G$120</f>
        <v/>
      </c>
      <c r="I103" s="14">
        <f>ROUND(F103*Прил.10!$D$12,2)</f>
        <v/>
      </c>
      <c r="J103" s="14">
        <f>ROUND(I103*E103,2)</f>
        <v/>
      </c>
    </row>
    <row r="104" hidden="1" outlineLevel="1" ht="38.25" customFormat="1" customHeight="1" s="113">
      <c r="A104" s="147" t="n">
        <v>55</v>
      </c>
      <c r="B104" s="34" t="inlineStr">
        <is>
          <t>Прайс из СД ОП</t>
        </is>
      </c>
      <c r="C104" s="146" t="inlineStr">
        <is>
          <t>Светодиодная лампа  для переносного светильника  XF-E27-F65-P-12W-3000K-12V,арт.47178,X-flash</t>
        </is>
      </c>
      <c r="D104" s="147" t="inlineStr">
        <is>
          <t>шт</t>
        </is>
      </c>
      <c r="E104" s="188" t="n">
        <v>1</v>
      </c>
      <c r="F104" s="165" t="n">
        <v>29.05</v>
      </c>
      <c r="G104" s="14">
        <f>ROUND(F104*E104,2)</f>
        <v/>
      </c>
      <c r="H104" s="159">
        <f>G104/$G$120</f>
        <v/>
      </c>
      <c r="I104" s="14">
        <f>ROUND(F104*Прил.10!$D$12,2)</f>
        <v/>
      </c>
      <c r="J104" s="14">
        <f>ROUND(I104*E104,2)</f>
        <v/>
      </c>
    </row>
    <row r="105" hidden="1" outlineLevel="1" ht="14.25" customFormat="1" customHeight="1" s="113">
      <c r="A105" s="147" t="n">
        <v>56</v>
      </c>
      <c r="B105" s="34" t="inlineStr">
        <is>
          <t>01.7.15.03-0042</t>
        </is>
      </c>
      <c r="C105" s="146" t="inlineStr">
        <is>
          <t>Болты с гайками и шайбами строительные</t>
        </is>
      </c>
      <c r="D105" s="147" t="inlineStr">
        <is>
          <t>кг</t>
        </is>
      </c>
      <c r="E105" s="188" t="n">
        <v>3.0491</v>
      </c>
      <c r="F105" s="165" t="n">
        <v>9.039999999999999</v>
      </c>
      <c r="G105" s="14">
        <f>ROUND(F105*E105,2)</f>
        <v/>
      </c>
      <c r="H105" s="159">
        <f>G105/$G$120</f>
        <v/>
      </c>
      <c r="I105" s="14">
        <f>ROUND(F105*Прил.10!$D$12,2)</f>
        <v/>
      </c>
      <c r="J105" s="14">
        <f>ROUND(I105*E105,2)</f>
        <v/>
      </c>
    </row>
    <row r="106" hidden="1" outlineLevel="1" ht="38.25" customFormat="1" customHeight="1" s="113">
      <c r="A106" s="147" t="n">
        <v>57</v>
      </c>
      <c r="B106" s="34" t="inlineStr">
        <is>
          <t>01.7.06.05-0042</t>
        </is>
      </c>
      <c r="C106" s="146" t="inlineStr">
        <is>
          <t>Лента липкая изоляционная на поликасиновом компаунде, ширина 20-30 мм, толщина от 0,14 до 0,19 мм</t>
        </is>
      </c>
      <c r="D106" s="147" t="inlineStr">
        <is>
          <t>кг</t>
        </is>
      </c>
      <c r="E106" s="188" t="n">
        <v>0.225</v>
      </c>
      <c r="F106" s="165" t="n">
        <v>91.29000000000001</v>
      </c>
      <c r="G106" s="14">
        <f>ROUND(F106*E106,2)</f>
        <v/>
      </c>
      <c r="H106" s="159">
        <f>G106/$G$120</f>
        <v/>
      </c>
      <c r="I106" s="14">
        <f>ROUND(F106*Прил.10!$D$12,2)</f>
        <v/>
      </c>
      <c r="J106" s="14">
        <f>ROUND(I106*E106,2)</f>
        <v/>
      </c>
    </row>
    <row r="107" hidden="1" outlineLevel="1" ht="14.25" customFormat="1" customHeight="1" s="113">
      <c r="A107" s="147" t="n">
        <v>58</v>
      </c>
      <c r="B107" s="34" t="inlineStr">
        <is>
          <t>14.4.03.17-0011</t>
        </is>
      </c>
      <c r="C107" s="146" t="inlineStr">
        <is>
          <t>Лак электроизоляционный 318</t>
        </is>
      </c>
      <c r="D107" s="147" t="inlineStr">
        <is>
          <t>кг</t>
        </is>
      </c>
      <c r="E107" s="188" t="n">
        <v>0.504</v>
      </c>
      <c r="F107" s="165" t="n">
        <v>35.63</v>
      </c>
      <c r="G107" s="14">
        <f>ROUND(F107*E107,2)</f>
        <v/>
      </c>
      <c r="H107" s="159">
        <f>G107/$G$120</f>
        <v/>
      </c>
      <c r="I107" s="14">
        <f>ROUND(F107*Прил.10!$D$12,2)</f>
        <v/>
      </c>
      <c r="J107" s="14">
        <f>ROUND(I107*E107,2)</f>
        <v/>
      </c>
    </row>
    <row r="108" hidden="1" outlineLevel="1" ht="25.5" customFormat="1" customHeight="1" s="113">
      <c r="A108" s="147" t="n">
        <v>59</v>
      </c>
      <c r="B108" s="34" t="inlineStr">
        <is>
          <t>01.7.15.04-0011</t>
        </is>
      </c>
      <c r="C108" s="146" t="inlineStr">
        <is>
          <t>Винты с полукруглой головкой, длина 50 мм</t>
        </is>
      </c>
      <c r="D108" s="147" t="inlineStr">
        <is>
          <t>т</t>
        </is>
      </c>
      <c r="E108" s="188" t="n">
        <v>0.0012852</v>
      </c>
      <c r="F108" s="165" t="n">
        <v>12430</v>
      </c>
      <c r="G108" s="14">
        <f>ROUND(F108*E108,2)</f>
        <v/>
      </c>
      <c r="H108" s="159">
        <f>G108/$G$120</f>
        <v/>
      </c>
      <c r="I108" s="14">
        <f>ROUND(F108*Прил.10!$D$12,2)</f>
        <v/>
      </c>
      <c r="J108" s="14">
        <f>ROUND(I108*E108,2)</f>
        <v/>
      </c>
    </row>
    <row r="109" hidden="1" outlineLevel="1" ht="38.25" customFormat="1" customHeight="1" s="113">
      <c r="A109" s="147" t="n">
        <v>60</v>
      </c>
      <c r="B109" s="34" t="inlineStr">
        <is>
          <t>01.7.06.05-0041</t>
        </is>
      </c>
      <c r="C109" s="146" t="inlineStr">
        <is>
          <t>Лента изоляционная прорезиненная односторонняя, ширина 20 мм, толщина 0,25-0,35 мм</t>
        </is>
      </c>
      <c r="D109" s="147" t="inlineStr">
        <is>
          <t>кг</t>
        </is>
      </c>
      <c r="E109" s="188" t="n">
        <v>0.4086</v>
      </c>
      <c r="F109" s="165" t="n">
        <v>30.4</v>
      </c>
      <c r="G109" s="14">
        <f>ROUND(F109*E109,2)</f>
        <v/>
      </c>
      <c r="H109" s="159">
        <f>G109/$G$120</f>
        <v/>
      </c>
      <c r="I109" s="14">
        <f>ROUND(F109*Прил.10!$D$12,2)</f>
        <v/>
      </c>
      <c r="J109" s="14">
        <f>ROUND(I109*E109,2)</f>
        <v/>
      </c>
    </row>
    <row r="110" hidden="1" outlineLevel="1" ht="14.25" customFormat="1" customHeight="1" s="113">
      <c r="A110" s="147" t="n">
        <v>61</v>
      </c>
      <c r="B110" s="34" t="inlineStr">
        <is>
          <t>24.3.01.01-0002</t>
        </is>
      </c>
      <c r="C110" s="146" t="inlineStr">
        <is>
          <t>Трубка полихлорвиниловая</t>
        </is>
      </c>
      <c r="D110" s="147" t="inlineStr">
        <is>
          <t>кг</t>
        </is>
      </c>
      <c r="E110" s="188" t="n">
        <v>0.328</v>
      </c>
      <c r="F110" s="165" t="n">
        <v>35.7</v>
      </c>
      <c r="G110" s="14">
        <f>ROUND(F110*E110,2)</f>
        <v/>
      </c>
      <c r="H110" s="159">
        <f>G110/$G$120</f>
        <v/>
      </c>
      <c r="I110" s="14">
        <f>ROUND(F110*Прил.10!$D$12,2)</f>
        <v/>
      </c>
      <c r="J110" s="14">
        <f>ROUND(I110*E110,2)</f>
        <v/>
      </c>
    </row>
    <row r="111" hidden="1" outlineLevel="1" ht="14.25" customFormat="1" customHeight="1" s="113">
      <c r="A111" s="147" t="n">
        <v>62</v>
      </c>
      <c r="B111" s="34" t="inlineStr">
        <is>
          <t>20.2.02.01-0019</t>
        </is>
      </c>
      <c r="C111" s="146" t="inlineStr">
        <is>
          <t>Втулки изолирующие</t>
        </is>
      </c>
      <c r="D111" s="147" t="inlineStr">
        <is>
          <t>1000 шт</t>
        </is>
      </c>
      <c r="E111" s="188" t="n">
        <v>0.042</v>
      </c>
      <c r="F111" s="165" t="n">
        <v>270</v>
      </c>
      <c r="G111" s="14">
        <f>ROUND(F111*E111,2)</f>
        <v/>
      </c>
      <c r="H111" s="159">
        <f>G111/$G$120</f>
        <v/>
      </c>
      <c r="I111" s="14">
        <f>ROUND(F111*Прил.10!$D$12,2)</f>
        <v/>
      </c>
      <c r="J111" s="14">
        <f>ROUND(I111*E111,2)</f>
        <v/>
      </c>
    </row>
    <row r="112" hidden="1" outlineLevel="1" ht="25.5" customFormat="1" customHeight="1" s="113">
      <c r="A112" s="147" t="n">
        <v>63</v>
      </c>
      <c r="B112" s="34" t="inlineStr">
        <is>
          <t>01.7.11.07-0034</t>
        </is>
      </c>
      <c r="C112" s="146" t="inlineStr">
        <is>
          <t>Электроды сварочные Э42А, диаметр 4 мм</t>
        </is>
      </c>
      <c r="D112" s="147" t="inlineStr">
        <is>
          <t>кг</t>
        </is>
      </c>
      <c r="E112" s="188" t="n">
        <v>0.95408</v>
      </c>
      <c r="F112" s="165" t="n">
        <v>10.57</v>
      </c>
      <c r="G112" s="14">
        <f>ROUND(F112*E112,2)</f>
        <v/>
      </c>
      <c r="H112" s="159">
        <f>G112/$G$120</f>
        <v/>
      </c>
      <c r="I112" s="14">
        <f>ROUND(F112*Прил.10!$D$12,2)</f>
        <v/>
      </c>
      <c r="J112" s="14">
        <f>ROUND(I112*E112,2)</f>
        <v/>
      </c>
    </row>
    <row r="113" hidden="1" outlineLevel="1" ht="14.25" customFormat="1" customHeight="1" s="113">
      <c r="A113" s="147" t="n">
        <v>64</v>
      </c>
      <c r="B113" s="34" t="inlineStr">
        <is>
          <t>01.3.01.02-0002</t>
        </is>
      </c>
      <c r="C113" s="146" t="inlineStr">
        <is>
          <t>Вазелин технический</t>
        </is>
      </c>
      <c r="D113" s="147" t="inlineStr">
        <is>
          <t>кг</t>
        </is>
      </c>
      <c r="E113" s="188" t="n">
        <v>0.054</v>
      </c>
      <c r="F113" s="165" t="n">
        <v>44.97</v>
      </c>
      <c r="G113" s="14">
        <f>ROUND(F113*E113,2)</f>
        <v/>
      </c>
      <c r="H113" s="159">
        <f>G113/$G$120</f>
        <v/>
      </c>
      <c r="I113" s="14">
        <f>ROUND(F113*Прил.10!$D$12,2)</f>
        <v/>
      </c>
      <c r="J113" s="14">
        <f>ROUND(I113*E113,2)</f>
        <v/>
      </c>
    </row>
    <row r="114" hidden="1" outlineLevel="1" ht="14.25" customFormat="1" customHeight="1" s="113">
      <c r="A114" s="147" t="n">
        <v>65</v>
      </c>
      <c r="B114" s="34" t="inlineStr">
        <is>
          <t>01.7.15.14-0161</t>
        </is>
      </c>
      <c r="C114" s="146" t="inlineStr">
        <is>
          <t>Шурупы с полукруглой головкой 2,5х20 мм</t>
        </is>
      </c>
      <c r="D114" s="147" t="inlineStr">
        <is>
          <t>т</t>
        </is>
      </c>
      <c r="E114" s="188" t="n">
        <v>8.000000000000001e-05</v>
      </c>
      <c r="F114" s="165" t="n">
        <v>29800</v>
      </c>
      <c r="G114" s="14">
        <f>ROUND(F114*E114,2)</f>
        <v/>
      </c>
      <c r="H114" s="159">
        <f>G114/$G$120</f>
        <v/>
      </c>
      <c r="I114" s="14">
        <f>ROUND(F114*Прил.10!$D$12,2)</f>
        <v/>
      </c>
      <c r="J114" s="14">
        <f>ROUND(I114*E114,2)</f>
        <v/>
      </c>
    </row>
    <row r="115" hidden="1" outlineLevel="1" ht="14.25" customFormat="1" customHeight="1" s="113">
      <c r="A115" s="147" t="n">
        <v>66</v>
      </c>
      <c r="B115" s="34" t="inlineStr">
        <is>
          <t>01.7.20.04-0005</t>
        </is>
      </c>
      <c r="C115" s="146" t="inlineStr">
        <is>
          <t>Нитки швейные</t>
        </is>
      </c>
      <c r="D115" s="147" t="inlineStr">
        <is>
          <t>кг</t>
        </is>
      </c>
      <c r="E115" s="188" t="n">
        <v>0.008999999999999999</v>
      </c>
      <c r="F115" s="165" t="n">
        <v>133.05</v>
      </c>
      <c r="G115" s="14">
        <f>ROUND(F115*E115,2)</f>
        <v/>
      </c>
      <c r="H115" s="159">
        <f>G115/$G$120</f>
        <v/>
      </c>
      <c r="I115" s="14">
        <f>ROUND(F115*Прил.10!$D$12,2)</f>
        <v/>
      </c>
      <c r="J115" s="14">
        <f>ROUND(I115*E115,2)</f>
        <v/>
      </c>
    </row>
    <row r="116" hidden="1" outlineLevel="1" ht="14.25" customFormat="1" customHeight="1" s="113">
      <c r="A116" s="147" t="n">
        <v>67</v>
      </c>
      <c r="B116" s="34" t="inlineStr">
        <is>
          <t>01.7.06.12-0008</t>
        </is>
      </c>
      <c r="C116" s="146" t="inlineStr">
        <is>
          <t>Лента ПВХ</t>
        </is>
      </c>
      <c r="D116" s="147" t="inlineStr">
        <is>
          <t>кг</t>
        </is>
      </c>
      <c r="E116" s="188" t="n">
        <v>0.048</v>
      </c>
      <c r="F116" s="165" t="n">
        <v>24.04</v>
      </c>
      <c r="G116" s="14">
        <f>ROUND(F116*E116,2)</f>
        <v/>
      </c>
      <c r="H116" s="159">
        <f>G116/$G$120</f>
        <v/>
      </c>
      <c r="I116" s="14">
        <f>ROUND(F116*Прил.10!$D$12,2)</f>
        <v/>
      </c>
      <c r="J116" s="14">
        <f>ROUND(I116*E116,2)</f>
        <v/>
      </c>
    </row>
    <row r="117" hidden="1" outlineLevel="1" ht="14.25" customFormat="1" customHeight="1" s="113">
      <c r="A117" s="147" t="n">
        <v>68</v>
      </c>
      <c r="B117" s="34" t="inlineStr">
        <is>
          <t>01.7.03.04-0001</t>
        </is>
      </c>
      <c r="C117" s="146" t="inlineStr">
        <is>
          <t>Электроэнергия</t>
        </is>
      </c>
      <c r="D117" s="147" t="inlineStr">
        <is>
          <t>кВт-ч</t>
        </is>
      </c>
      <c r="E117" s="188" t="n">
        <v>2.7</v>
      </c>
      <c r="F117" s="165" t="n">
        <v>0.4</v>
      </c>
      <c r="G117" s="14">
        <f>ROUND(F117*E117,2)</f>
        <v/>
      </c>
      <c r="H117" s="159">
        <f>G117/$G$120</f>
        <v/>
      </c>
      <c r="I117" s="14">
        <f>ROUND(F117*Прил.10!$D$12,2)</f>
        <v/>
      </c>
      <c r="J117" s="14">
        <f>ROUND(I117*E117,2)</f>
        <v/>
      </c>
    </row>
    <row r="118" hidden="1" outlineLevel="1" ht="14.25" customFormat="1" customHeight="1" s="113">
      <c r="A118" s="147" t="n">
        <v>69</v>
      </c>
      <c r="B118" s="34" t="inlineStr">
        <is>
          <t>01.7.02.09-0002</t>
        </is>
      </c>
      <c r="C118" s="146" t="inlineStr">
        <is>
          <t>Шпагат бумажный</t>
        </is>
      </c>
      <c r="D118" s="147" t="inlineStr">
        <is>
          <t>кг</t>
        </is>
      </c>
      <c r="E118" s="188" t="n">
        <v>0.008999999999999999</v>
      </c>
      <c r="F118" s="165" t="n">
        <v>11.5</v>
      </c>
      <c r="G118" s="14">
        <f>ROUND(F118*E118,2)</f>
        <v/>
      </c>
      <c r="H118" s="159">
        <f>G118/$G$120</f>
        <v/>
      </c>
      <c r="I118" s="14">
        <f>ROUND(F118*Прил.10!$D$12,2)</f>
        <v/>
      </c>
      <c r="J118" s="14">
        <f>ROUND(I118*E118,2)</f>
        <v/>
      </c>
    </row>
    <row r="119" collapsed="1" ht="13.9" customFormat="1" customHeight="1" s="113">
      <c r="A119" s="147" t="n"/>
      <c r="B119" s="147" t="n"/>
      <c r="C119" s="146" t="inlineStr">
        <is>
          <t>Итого прочие материалы</t>
        </is>
      </c>
      <c r="D119" s="147" t="n"/>
      <c r="E119" s="148" t="n"/>
      <c r="F119" s="149" t="n"/>
      <c r="G119" s="14">
        <f>SUM(G72:G118)+G69</f>
        <v/>
      </c>
      <c r="H119" s="159">
        <f>G119/G120</f>
        <v/>
      </c>
      <c r="I119" s="14" t="n"/>
      <c r="J119" s="14">
        <f>SUM(J69:J118)</f>
        <v/>
      </c>
      <c r="L119" s="193" t="n"/>
    </row>
    <row r="120" ht="14.25" customFormat="1" customHeight="1" s="113">
      <c r="A120" s="147" t="n"/>
      <c r="B120" s="147" t="n"/>
      <c r="C120" s="158" t="inlineStr">
        <is>
          <t>Итого по разделу «Материалы»</t>
        </is>
      </c>
      <c r="D120" s="147" t="n"/>
      <c r="E120" s="148" t="n"/>
      <c r="F120" s="149" t="n"/>
      <c r="G120" s="14">
        <f>G68+G119</f>
        <v/>
      </c>
      <c r="H120" s="159" t="n">
        <v>1</v>
      </c>
      <c r="I120" s="149" t="n"/>
      <c r="J120" s="14">
        <f>J68+J119</f>
        <v/>
      </c>
      <c r="K120" s="190" t="n"/>
    </row>
    <row r="121" ht="14.25" customFormat="1" customHeight="1" s="113">
      <c r="A121" s="147" t="n"/>
      <c r="B121" s="147" t="n"/>
      <c r="C121" s="146" t="inlineStr">
        <is>
          <t>ИТОГО ПО РМ</t>
        </is>
      </c>
      <c r="D121" s="147" t="n"/>
      <c r="E121" s="148" t="n"/>
      <c r="F121" s="149" t="n"/>
      <c r="G121" s="14">
        <f>G14+G30+G120</f>
        <v/>
      </c>
      <c r="H121" s="159" t="n"/>
      <c r="I121" s="149" t="n"/>
      <c r="J121" s="14">
        <f>J14+J30+J120</f>
        <v/>
      </c>
    </row>
    <row r="122" ht="14.25" customFormat="1" customHeight="1" s="113">
      <c r="A122" s="147" t="n"/>
      <c r="B122" s="147" t="n"/>
      <c r="C122" s="146" t="inlineStr">
        <is>
          <t>Накладные расходы</t>
        </is>
      </c>
      <c r="D122" s="147" t="inlineStr">
        <is>
          <t>%</t>
        </is>
      </c>
      <c r="E122" s="42">
        <f>ROUND(G122/(G14+G16),2)</f>
        <v/>
      </c>
      <c r="F122" s="149" t="n"/>
      <c r="G122" s="14" t="n">
        <v>8888.370000000001</v>
      </c>
      <c r="H122" s="159" t="n"/>
      <c r="I122" s="149" t="n"/>
      <c r="J122" s="14">
        <f>ROUND(E122*(J14+J16),2)</f>
        <v/>
      </c>
      <c r="K122" s="43" t="n"/>
    </row>
    <row r="123" ht="14.25" customFormat="1" customHeight="1" s="113">
      <c r="A123" s="147" t="n"/>
      <c r="B123" s="147" t="n"/>
      <c r="C123" s="146" t="inlineStr">
        <is>
          <t>Сметная прибыль</t>
        </is>
      </c>
      <c r="D123" s="147" t="inlineStr">
        <is>
          <t>%</t>
        </is>
      </c>
      <c r="E123" s="42">
        <f>ROUND(G123/(G14+G16),2)</f>
        <v/>
      </c>
      <c r="F123" s="149" t="n"/>
      <c r="G123" s="14" t="n">
        <v>4720.13</v>
      </c>
      <c r="H123" s="159" t="n"/>
      <c r="I123" s="149" t="n"/>
      <c r="J123" s="14">
        <f>ROUND(E123*(J14+J16),2)</f>
        <v/>
      </c>
      <c r="K123" s="43" t="n"/>
    </row>
    <row r="124" ht="14.25" customFormat="1" customHeight="1" s="113">
      <c r="A124" s="147" t="n"/>
      <c r="B124" s="147" t="n"/>
      <c r="C124" s="146" t="inlineStr">
        <is>
          <t>Итого СМР (с НР и СП)</t>
        </is>
      </c>
      <c r="D124" s="147" t="n"/>
      <c r="E124" s="148" t="n"/>
      <c r="F124" s="149" t="n"/>
      <c r="G124" s="14">
        <f>G14+G30+G120+G122+G123</f>
        <v/>
      </c>
      <c r="H124" s="159" t="n"/>
      <c r="I124" s="149" t="n"/>
      <c r="J124" s="14">
        <f>J14+J30+J120+J122+J123</f>
        <v/>
      </c>
      <c r="L124" s="44" t="n"/>
    </row>
    <row r="125" ht="14.25" customFormat="1" customHeight="1" s="113">
      <c r="A125" s="147" t="n"/>
      <c r="B125" s="147" t="n"/>
      <c r="C125" s="146" t="inlineStr">
        <is>
          <t>ВСЕГО СМР + ОБОРУДОВАНИЕ</t>
        </is>
      </c>
      <c r="D125" s="147" t="n"/>
      <c r="E125" s="148" t="n"/>
      <c r="F125" s="149" t="n"/>
      <c r="G125" s="14">
        <f>G124+G40</f>
        <v/>
      </c>
      <c r="H125" s="159" t="n"/>
      <c r="I125" s="149" t="n"/>
      <c r="J125" s="14">
        <f>J124+J40</f>
        <v/>
      </c>
      <c r="L125" s="43" t="n"/>
    </row>
    <row r="126" ht="14.25" customFormat="1" customHeight="1" s="113">
      <c r="A126" s="147" t="n"/>
      <c r="B126" s="147" t="n"/>
      <c r="C126" s="146" t="inlineStr">
        <is>
          <t>ИТОГО ПОКАЗАТЕЛЬ НА ЕД. ИЗМ.</t>
        </is>
      </c>
      <c r="D126" s="147" t="inlineStr">
        <is>
          <t>ед.</t>
        </is>
      </c>
      <c r="E126" s="45" t="n">
        <v>577.25</v>
      </c>
      <c r="F126" s="149" t="n"/>
      <c r="G126" s="14">
        <f>G125/E126</f>
        <v/>
      </c>
      <c r="H126" s="159" t="n"/>
      <c r="I126" s="149" t="n"/>
      <c r="J126" s="14">
        <f>J125/E126</f>
        <v/>
      </c>
      <c r="L126" s="187" t="n"/>
    </row>
    <row r="128" ht="14.25" customFormat="1" customHeight="1" s="113">
      <c r="A128" s="114" t="n"/>
    </row>
    <row r="129" ht="14.25" customFormat="1" customHeight="1" s="113">
      <c r="A129" s="112" t="inlineStr">
        <is>
          <t>Составил ______________________        Е.А. Князева</t>
        </is>
      </c>
    </row>
    <row r="130" ht="14.25" customFormat="1" customHeight="1" s="113">
      <c r="A130" s="115" t="inlineStr">
        <is>
          <t xml:space="preserve">                         (подпись, инициалы, фамилия)</t>
        </is>
      </c>
    </row>
    <row r="131" ht="14.25" customFormat="1" customHeight="1" s="113">
      <c r="A131" s="112" t="n"/>
    </row>
    <row r="132" ht="14.25" customFormat="1" customHeight="1" s="113">
      <c r="A132" s="112" t="inlineStr">
        <is>
          <t>Проверил ______________________        А.В. Костянецкая</t>
        </is>
      </c>
    </row>
    <row r="133" ht="14.25" customFormat="1" customHeight="1" s="113">
      <c r="A133" s="115" t="inlineStr">
        <is>
          <t xml:space="preserve">                        (подпись, инициалы, фамилия)</t>
        </is>
      </c>
    </row>
  </sheetData>
  <mergeCells count="19">
    <mergeCell ref="H9:H10"/>
    <mergeCell ref="B42:J42"/>
    <mergeCell ref="B15:H15"/>
    <mergeCell ref="C9:C10"/>
    <mergeCell ref="E9:E10"/>
    <mergeCell ref="A7:H7"/>
    <mergeCell ref="B9:B10"/>
    <mergeCell ref="D9:D10"/>
    <mergeCell ref="B18:H18"/>
    <mergeCell ref="B43:H43"/>
    <mergeCell ref="B32:J32"/>
    <mergeCell ref="B12:H12"/>
    <mergeCell ref="D6:J6"/>
    <mergeCell ref="F9:G9"/>
    <mergeCell ref="A4:H4"/>
    <mergeCell ref="B17:H17"/>
    <mergeCell ref="A9:A10"/>
    <mergeCell ref="B31:J31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view="pageBreakPreview" topLeftCell="A6" workbookViewId="0">
      <selection activeCell="C22" sqref="C22"/>
    </sheetView>
  </sheetViews>
  <sheetFormatPr baseColWidth="8" defaultRowHeight="15"/>
  <cols>
    <col width="5.7109375" customWidth="1" style="116" min="1" max="1"/>
    <col width="14.85546875" customWidth="1" style="116" min="2" max="2"/>
    <col width="39.140625" customWidth="1" style="116" min="3" max="3"/>
    <col width="8.28515625" customWidth="1" style="116" min="4" max="4"/>
    <col width="13.5703125" customWidth="1" style="116" min="5" max="5"/>
    <col width="12.42578125" customWidth="1" style="116" min="6" max="6"/>
    <col width="14.140625" customWidth="1" style="116" min="7" max="7"/>
  </cols>
  <sheetData>
    <row r="1">
      <c r="A1" s="166" t="inlineStr">
        <is>
          <t>Приложение №6</t>
        </is>
      </c>
    </row>
    <row r="2">
      <c r="A2" s="166" t="n"/>
      <c r="B2" s="166" t="n"/>
      <c r="C2" s="166" t="n"/>
      <c r="D2" s="166" t="n"/>
      <c r="E2" s="166" t="n"/>
      <c r="F2" s="166" t="n"/>
      <c r="G2" s="166" t="n"/>
    </row>
    <row r="3">
      <c r="A3" s="166" t="n"/>
      <c r="B3" s="166" t="n"/>
      <c r="C3" s="166" t="n"/>
      <c r="D3" s="166" t="n"/>
      <c r="E3" s="166" t="n"/>
      <c r="F3" s="166" t="n"/>
      <c r="G3" s="166" t="n"/>
    </row>
    <row r="4">
      <c r="A4" s="166" t="n"/>
      <c r="B4" s="166" t="n"/>
      <c r="C4" s="166" t="n"/>
      <c r="D4" s="166" t="n"/>
      <c r="E4" s="166" t="n"/>
      <c r="F4" s="166" t="n"/>
      <c r="G4" s="166" t="n"/>
    </row>
    <row r="5">
      <c r="A5" s="143" t="inlineStr">
        <is>
          <t>Расчет стоимости оборудования</t>
        </is>
      </c>
    </row>
    <row r="6" ht="64.5" customHeight="1" s="116">
      <c r="A6" s="168">
        <f>'Прил.1 Сравнит табл'!B7</f>
        <v/>
      </c>
    </row>
    <row r="7">
      <c r="A7" s="112" t="n"/>
      <c r="B7" s="112" t="n"/>
      <c r="C7" s="112" t="n"/>
      <c r="D7" s="112" t="n"/>
      <c r="E7" s="112" t="n"/>
      <c r="F7" s="112" t="n"/>
      <c r="G7" s="112" t="n"/>
    </row>
    <row r="8" ht="30" customHeight="1" s="116">
      <c r="A8" s="167" t="inlineStr">
        <is>
          <t>№ пп.</t>
        </is>
      </c>
      <c r="B8" s="167" t="inlineStr">
        <is>
          <t>Код ресурса</t>
        </is>
      </c>
      <c r="C8" s="167" t="inlineStr">
        <is>
          <t>Наименование</t>
        </is>
      </c>
      <c r="D8" s="167" t="inlineStr">
        <is>
          <t>Ед. изм.</t>
        </is>
      </c>
      <c r="E8" s="147" t="inlineStr">
        <is>
          <t>Кол-во единиц по проектным данным</t>
        </is>
      </c>
      <c r="F8" s="167" t="inlineStr">
        <is>
          <t>Сметная стоимость в ценах на 01.01.2000 (руб.)</t>
        </is>
      </c>
      <c r="G8" s="179" t="n"/>
    </row>
    <row r="9">
      <c r="A9" s="181" t="n"/>
      <c r="B9" s="181" t="n"/>
      <c r="C9" s="181" t="n"/>
      <c r="D9" s="181" t="n"/>
      <c r="E9" s="181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 s="116">
      <c r="A11" s="7" t="n"/>
      <c r="B11" s="146" t="inlineStr">
        <is>
          <t>ИНЖЕНЕРНОЕ ОБОРУДОВАНИЕ</t>
        </is>
      </c>
      <c r="C11" s="178" t="n"/>
      <c r="D11" s="178" t="n"/>
      <c r="E11" s="178" t="n"/>
      <c r="F11" s="178" t="n"/>
      <c r="G11" s="179" t="n"/>
    </row>
    <row r="12" ht="27" customHeight="1" s="116">
      <c r="A12" s="147" t="n"/>
      <c r="B12" s="158" t="n"/>
      <c r="C12" s="146" t="inlineStr">
        <is>
          <t>ИТОГО ИНЖЕНЕРНОЕ ОБОРУДОВАНИЕ</t>
        </is>
      </c>
      <c r="D12" s="158" t="n"/>
      <c r="E12" s="8" t="n"/>
      <c r="F12" s="149" t="n"/>
      <c r="G12" s="149" t="n">
        <v>0</v>
      </c>
    </row>
    <row r="13">
      <c r="A13" s="147" t="n"/>
      <c r="B13" s="146" t="inlineStr">
        <is>
          <t>ТЕХНОЛОГИЧЕСКОЕ ОБОРУДОВАНИЕ</t>
        </is>
      </c>
      <c r="C13" s="178" t="n"/>
      <c r="D13" s="178" t="n"/>
      <c r="E13" s="178" t="n"/>
      <c r="F13" s="178" t="n"/>
      <c r="G13" s="179" t="n"/>
    </row>
    <row r="14" ht="51" customHeight="1" s="116">
      <c r="A14" s="147" t="n">
        <v>1</v>
      </c>
      <c r="B14" s="45">
        <f>'Прил.5 Расчет СМР и ОБ'!B33</f>
        <v/>
      </c>
      <c r="C14" s="91">
        <f>'Прил.5 Расчет СМР и ОБ'!C33</f>
        <v/>
      </c>
      <c r="D14" s="45">
        <f>'Прил.5 Расчет СМР и ОБ'!D33</f>
        <v/>
      </c>
      <c r="E14" s="45">
        <f>'Прил.5 Расчет СМР и ОБ'!E33</f>
        <v/>
      </c>
      <c r="F14" s="14">
        <f>'Прил.5 Расчет СМР и ОБ'!F33</f>
        <v/>
      </c>
      <c r="G14" s="14">
        <f>ROUND(E14*F14,2)</f>
        <v/>
      </c>
    </row>
    <row r="15" ht="38.25" customHeight="1" s="116">
      <c r="A15" s="147" t="n">
        <v>2</v>
      </c>
      <c r="B15" s="45">
        <f>'Прил.5 Расчет СМР и ОБ'!B34</f>
        <v/>
      </c>
      <c r="C15" s="91">
        <f>'Прил.5 Расчет СМР и ОБ'!C34</f>
        <v/>
      </c>
      <c r="D15" s="45">
        <f>'Прил.5 Расчет СМР и ОБ'!D34</f>
        <v/>
      </c>
      <c r="E15" s="45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 ht="25.5" customHeight="1" s="116">
      <c r="A16" s="147" t="n">
        <v>3</v>
      </c>
      <c r="B16" s="45">
        <f>'Прил.5 Расчет СМР и ОБ'!B36</f>
        <v/>
      </c>
      <c r="C16" s="91">
        <f>'Прил.5 Расчет СМР и ОБ'!C36</f>
        <v/>
      </c>
      <c r="D16" s="45">
        <f>'Прил.5 Расчет СМР и ОБ'!D36</f>
        <v/>
      </c>
      <c r="E16" s="45">
        <f>'Прил.5 Расчет СМР и ОБ'!E36</f>
        <v/>
      </c>
      <c r="F16" s="14">
        <f>'Прил.5 Расчет СМР и ОБ'!F36</f>
        <v/>
      </c>
      <c r="G16" s="14">
        <f>ROUND(E16*F16,2)</f>
        <v/>
      </c>
    </row>
    <row r="17" ht="25.5" customHeight="1" s="116">
      <c r="A17" s="147" t="n">
        <v>4</v>
      </c>
      <c r="B17" s="45">
        <f>'Прил.5 Расчет СМР и ОБ'!B37</f>
        <v/>
      </c>
      <c r="C17" s="91">
        <f>'Прил.5 Расчет СМР и ОБ'!C37</f>
        <v/>
      </c>
      <c r="D17" s="45">
        <f>'Прил.5 Расчет СМР и ОБ'!D37</f>
        <v/>
      </c>
      <c r="E17" s="45">
        <f>'Прил.5 Расчет СМР и ОБ'!E37</f>
        <v/>
      </c>
      <c r="F17" s="14">
        <f>'Прил.5 Расчет СМР и ОБ'!F37</f>
        <v/>
      </c>
      <c r="G17" s="14">
        <f>ROUND(E17*F17,2)</f>
        <v/>
      </c>
    </row>
    <row r="18" ht="25.5" customHeight="1" s="116">
      <c r="A18" s="147" t="n">
        <v>5</v>
      </c>
      <c r="B18" s="45">
        <f>'Прил.5 Расчет СМР и ОБ'!B38</f>
        <v/>
      </c>
      <c r="C18" s="91">
        <f>'Прил.5 Расчет СМР и ОБ'!C38</f>
        <v/>
      </c>
      <c r="D18" s="45">
        <f>'Прил.5 Расчет СМР и ОБ'!D38</f>
        <v/>
      </c>
      <c r="E18" s="45">
        <f>'Прил.5 Расчет СМР и ОБ'!E38</f>
        <v/>
      </c>
      <c r="F18" s="14">
        <f>'Прил.5 Расчет СМР и ОБ'!F38</f>
        <v/>
      </c>
      <c r="G18" s="14">
        <f>ROUND(E18*F18,2)</f>
        <v/>
      </c>
    </row>
    <row r="19" ht="25.5" customHeight="1" s="116">
      <c r="A19" s="147" t="n"/>
      <c r="B19" s="12" t="n"/>
      <c r="C19" s="12" t="inlineStr">
        <is>
          <t>ИТОГО ТЕХНОЛОГИЧЕСКОЕ ОБОРУДОВАНИЕ</t>
        </is>
      </c>
      <c r="D19" s="12" t="n"/>
      <c r="E19" s="13" t="n"/>
      <c r="F19" s="149" t="n"/>
      <c r="G19" s="14">
        <f>SUM(G14:G18)</f>
        <v/>
      </c>
    </row>
    <row r="20" ht="19.5" customHeight="1" s="116">
      <c r="A20" s="147" t="n"/>
      <c r="B20" s="146" t="n"/>
      <c r="C20" s="146" t="inlineStr">
        <is>
          <t>Всего по разделу «Оборудование»</t>
        </is>
      </c>
      <c r="D20" s="146" t="n"/>
      <c r="E20" s="165" t="n"/>
      <c r="F20" s="149" t="n"/>
      <c r="G20" s="14">
        <f>G12+G19</f>
        <v/>
      </c>
    </row>
    <row r="21">
      <c r="A21" s="114" t="n"/>
      <c r="B21" s="11" t="n"/>
      <c r="C21" s="114" t="n"/>
      <c r="D21" s="114" t="n"/>
      <c r="E21" s="114" t="n"/>
      <c r="F21" s="114" t="n"/>
      <c r="G21" s="114" t="n"/>
    </row>
    <row r="22">
      <c r="A22" s="112" t="inlineStr">
        <is>
          <t>Составил ______________________        Е.А. Князева</t>
        </is>
      </c>
      <c r="B22" s="113" t="n"/>
      <c r="C22" s="113" t="n"/>
      <c r="D22" s="114" t="n"/>
      <c r="E22" s="114" t="n"/>
      <c r="F22" s="114" t="n"/>
      <c r="G22" s="114" t="n"/>
    </row>
    <row r="23">
      <c r="A23" s="115" t="inlineStr">
        <is>
          <t xml:space="preserve">                         (подпись, инициалы, фамилия)</t>
        </is>
      </c>
      <c r="B23" s="113" t="n"/>
      <c r="C23" s="113" t="n"/>
      <c r="D23" s="114" t="n"/>
      <c r="E23" s="114" t="n"/>
      <c r="F23" s="114" t="n"/>
      <c r="G23" s="114" t="n"/>
    </row>
    <row r="24">
      <c r="A24" s="112" t="n"/>
      <c r="B24" s="113" t="n"/>
      <c r="C24" s="113" t="n"/>
      <c r="D24" s="114" t="n"/>
      <c r="E24" s="114" t="n"/>
      <c r="F24" s="114" t="n"/>
      <c r="G24" s="114" t="n"/>
    </row>
    <row r="25">
      <c r="A25" s="112" t="inlineStr">
        <is>
          <t>Проверил ______________________        А.В. Костянецкая</t>
        </is>
      </c>
      <c r="B25" s="113" t="n"/>
      <c r="C25" s="113" t="n"/>
      <c r="D25" s="114" t="n"/>
      <c r="E25" s="114" t="n"/>
      <c r="F25" s="114" t="n"/>
      <c r="G25" s="114" t="n"/>
    </row>
    <row r="26">
      <c r="A26" s="115" t="inlineStr">
        <is>
          <t xml:space="preserve">                        (подпись, инициалы, фамилия)</t>
        </is>
      </c>
      <c r="B26" s="113" t="n"/>
      <c r="C26" s="113" t="n"/>
      <c r="D26" s="114" t="n"/>
      <c r="E26" s="114" t="n"/>
      <c r="F26" s="114" t="n"/>
      <c r="G26" s="11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22" sqref="A21:A22"/>
    </sheetView>
  </sheetViews>
  <sheetFormatPr baseColWidth="8" defaultColWidth="9.140625" defaultRowHeight="15"/>
  <cols>
    <col width="12.7109375" customWidth="1" style="116" min="1" max="1"/>
    <col width="16.42578125" customWidth="1" style="116" min="2" max="2"/>
    <col width="37.140625" customWidth="1" style="116" min="3" max="3"/>
    <col width="49" customWidth="1" style="116" min="4" max="4"/>
    <col width="9.140625" customWidth="1" style="116" min="5" max="5"/>
  </cols>
  <sheetData>
    <row r="1" ht="15.6" customHeight="1" s="116">
      <c r="A1" s="118" t="n"/>
      <c r="B1" s="118" t="n"/>
      <c r="C1" s="118" t="n"/>
      <c r="D1" s="118" t="inlineStr">
        <is>
          <t>Приложение №7</t>
        </is>
      </c>
    </row>
    <row r="2" ht="15.6" customHeight="1" s="116">
      <c r="A2" s="118" t="n"/>
      <c r="B2" s="118" t="n"/>
      <c r="C2" s="118" t="n"/>
      <c r="D2" s="118" t="n"/>
    </row>
    <row r="3" ht="15.6" customHeight="1" s="116">
      <c r="A3" s="118" t="n"/>
      <c r="B3" s="107" t="inlineStr">
        <is>
          <t>Расчет показателя УНЦ</t>
        </is>
      </c>
      <c r="C3" s="118" t="n"/>
      <c r="D3" s="118" t="n"/>
    </row>
    <row r="4" ht="15.6" customHeight="1" s="116">
      <c r="A4" s="118" t="n"/>
      <c r="B4" s="118" t="n"/>
      <c r="C4" s="118" t="n"/>
      <c r="D4" s="118" t="n"/>
    </row>
    <row r="5" ht="15.6" customHeight="1" s="116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 ht="15.6" customHeight="1" s="116">
      <c r="A6" s="118" t="inlineStr">
        <is>
          <t>Единица измерения  — м2</t>
        </is>
      </c>
      <c r="B6" s="118" t="n"/>
      <c r="C6" s="118" t="n"/>
      <c r="D6" s="118" t="n"/>
    </row>
    <row r="7" ht="15.6" customHeight="1" s="116">
      <c r="A7" s="118" t="n"/>
      <c r="B7" s="118" t="n"/>
      <c r="C7" s="118" t="n"/>
      <c r="D7" s="118" t="n"/>
    </row>
    <row r="8">
      <c r="A8" s="139" t="inlineStr">
        <is>
          <t>Код показателя</t>
        </is>
      </c>
      <c r="B8" s="139" t="inlineStr">
        <is>
          <t>Наименование показателя</t>
        </is>
      </c>
      <c r="C8" s="139" t="inlineStr">
        <is>
          <t>Наименование РМ, входящих в состав показателя</t>
        </is>
      </c>
      <c r="D8" s="139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6" customHeight="1" s="116">
      <c r="A10" s="139" t="n">
        <v>1</v>
      </c>
      <c r="B10" s="139" t="n">
        <v>2</v>
      </c>
      <c r="C10" s="139" t="n">
        <v>3</v>
      </c>
      <c r="D10" s="139" t="n">
        <v>4</v>
      </c>
    </row>
    <row r="11" ht="46.9" customHeight="1" s="116">
      <c r="A11" s="139" t="inlineStr">
        <is>
          <t>И16-05</t>
        </is>
      </c>
      <c r="B11" s="139" t="inlineStr">
        <is>
          <t>УНЦ инжененых систем зданий</t>
        </is>
      </c>
      <c r="C11" s="110">
        <f>D5</f>
        <v/>
      </c>
      <c r="D11" s="124">
        <f>'Прил.4 РМ'!C41/1000</f>
        <v/>
      </c>
    </row>
    <row r="13">
      <c r="A13" s="112" t="inlineStr">
        <is>
          <t>Составил ______________________     Е.А. Князева</t>
        </is>
      </c>
      <c r="B13" s="113" t="n"/>
      <c r="C13" s="113" t="n"/>
      <c r="D13" s="114" t="n"/>
    </row>
    <row r="14">
      <c r="A14" s="115" t="inlineStr">
        <is>
          <t xml:space="preserve">                         (подпись, инициалы, фамилия)</t>
        </is>
      </c>
      <c r="B14" s="113" t="n"/>
      <c r="C14" s="113" t="n"/>
      <c r="D14" s="114" t="n"/>
    </row>
    <row r="15">
      <c r="A15" s="112" t="n"/>
      <c r="B15" s="113" t="n"/>
      <c r="C15" s="113" t="n"/>
      <c r="D15" s="114" t="n"/>
    </row>
    <row r="16">
      <c r="A16" s="112" t="inlineStr">
        <is>
          <t>Проверил ______________________        А.В. Костянецкая</t>
        </is>
      </c>
      <c r="B16" s="113" t="n"/>
      <c r="C16" s="113" t="n"/>
      <c r="D16" s="114" t="n"/>
    </row>
    <row r="17">
      <c r="A17" s="115" t="inlineStr">
        <is>
          <t xml:space="preserve">                        (подпись, инициалы, фамилия)</t>
        </is>
      </c>
      <c r="B17" s="113" t="n"/>
      <c r="C17" s="113" t="n"/>
      <c r="D17" s="1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B21" sqref="B21"/>
    </sheetView>
  </sheetViews>
  <sheetFormatPr baseColWidth="8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135" t="inlineStr">
        <is>
          <t>Приложение № 10</t>
        </is>
      </c>
    </row>
    <row r="5" ht="18.75" customHeight="1" s="116">
      <c r="B5" s="20" t="n"/>
    </row>
    <row r="6" ht="15.75" customHeight="1" s="116">
      <c r="B6" s="136" t="inlineStr">
        <is>
          <t>Используемые индексы изменений сметной стоимости и нормы сопутствующих затрат</t>
        </is>
      </c>
    </row>
    <row r="7">
      <c r="B7" s="170" t="n"/>
    </row>
    <row r="8" ht="47.25" customHeight="1" s="116">
      <c r="B8" s="139" t="inlineStr">
        <is>
          <t>Наименование индекса / норм сопутствующих затрат</t>
        </is>
      </c>
      <c r="C8" s="139" t="inlineStr">
        <is>
          <t>Дата применения и обоснование индекса / норм сопутствующих затрат</t>
        </is>
      </c>
      <c r="D8" s="139" t="inlineStr">
        <is>
          <t>Размер индекса / норма сопутствующих затрат</t>
        </is>
      </c>
    </row>
    <row r="9" ht="15.75" customHeight="1" s="116">
      <c r="B9" s="139" t="n">
        <v>1</v>
      </c>
      <c r="C9" s="139" t="n">
        <v>2</v>
      </c>
      <c r="D9" s="139" t="n">
        <v>3</v>
      </c>
    </row>
    <row r="10" ht="31.5" customHeight="1" s="116">
      <c r="B10" s="139" t="inlineStr">
        <is>
          <t xml:space="preserve">Индекс изменения сметной стоимости на 1 квартал 2023 года. ОЗП </t>
        </is>
      </c>
      <c r="C10" s="139" t="inlineStr">
        <is>
          <t>Письмо Минстроя России от 30.03.2023г. №17106-ИФ/09  прил.1</t>
        </is>
      </c>
      <c r="D10" s="139" t="n">
        <v>44.29</v>
      </c>
    </row>
    <row r="11" ht="31.5" customHeight="1" s="116">
      <c r="B11" s="139" t="inlineStr">
        <is>
          <t>Индекс изменения сметной стоимости на 1 квартал 2023 года. ЭМ</t>
        </is>
      </c>
      <c r="C11" s="139" t="inlineStr">
        <is>
          <t>Письмо Минстроя России от 30.03.2023г. №17106-ИФ/09  прил.1</t>
        </is>
      </c>
      <c r="D11" s="139" t="n">
        <v>13.47</v>
      </c>
    </row>
    <row r="12" ht="31.5" customHeight="1" s="116">
      <c r="B12" s="139" t="inlineStr">
        <is>
          <t>Индекс изменения сметной стоимости на 1 квартал 2023 года. МАТ</t>
        </is>
      </c>
      <c r="C12" s="139" t="inlineStr">
        <is>
          <t>Письмо Минстроя России от 30.03.2023г. №17106-ИФ/09  прил.1</t>
        </is>
      </c>
      <c r="D12" s="139" t="n">
        <v>8.039999999999999</v>
      </c>
    </row>
    <row r="13" ht="31.5" customHeight="1" s="116">
      <c r="B13" s="139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39" t="n">
        <v>6.26</v>
      </c>
    </row>
    <row r="14" ht="78.75" customHeight="1" s="116">
      <c r="B14" s="139" t="inlineStr">
        <is>
          <t>Временные здания и сооружения</t>
        </is>
      </c>
      <c r="C14" s="13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16">
      <c r="B15" s="139" t="inlineStr">
        <is>
          <t>Дополнительные затраты при производстве строительно-монтажных работ в зимнее время</t>
        </is>
      </c>
      <c r="C15" s="13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16">
      <c r="B16" s="139" t="inlineStr">
        <is>
          <t xml:space="preserve">Пусконаладочные работы </t>
        </is>
      </c>
      <c r="C16" s="139" t="n"/>
      <c r="D16" s="139" t="n"/>
    </row>
    <row r="17" ht="31.5" customHeight="1" s="116">
      <c r="B17" s="139" t="inlineStr">
        <is>
          <t>Строительный контроль</t>
        </is>
      </c>
      <c r="C17" s="139" t="inlineStr">
        <is>
          <t>Постановление Правительства РФ от 21.06.10 г. № 468</t>
        </is>
      </c>
      <c r="D17" s="24" t="n">
        <v>0.0214</v>
      </c>
    </row>
    <row r="18" ht="31.5" customHeight="1" s="116">
      <c r="B18" s="139" t="inlineStr">
        <is>
          <t>Авторский надзор - 0,2%</t>
        </is>
      </c>
      <c r="C18" s="139" t="inlineStr">
        <is>
          <t>Приказ от 4.08.2020 № 421/пр п.173</t>
        </is>
      </c>
      <c r="D18" s="24" t="n">
        <v>0.002</v>
      </c>
    </row>
    <row r="19" ht="24" customHeight="1" s="116">
      <c r="B19" s="139" t="inlineStr">
        <is>
          <t>Непредвиденные расходы</t>
        </is>
      </c>
      <c r="C19" s="139" t="inlineStr">
        <is>
          <t>Приказ от 4.08.2020 № 421/пр п.179</t>
        </is>
      </c>
      <c r="D19" s="24" t="n">
        <v>0.03</v>
      </c>
    </row>
    <row r="20" ht="18.75" customHeight="1" s="116">
      <c r="B20" s="21" t="n"/>
    </row>
    <row r="21" ht="18.75" customHeight="1" s="116">
      <c r="B21" s="21" t="n"/>
    </row>
    <row r="22" ht="18.75" customHeight="1" s="116">
      <c r="B22" s="21" t="n"/>
    </row>
    <row r="23" ht="18.75" customHeight="1" s="116">
      <c r="B23" s="21" t="n"/>
    </row>
    <row r="26">
      <c r="B26" s="112" t="inlineStr">
        <is>
          <t>Составил ______________________        Е.А. Князева</t>
        </is>
      </c>
      <c r="C26" s="113" t="n"/>
    </row>
    <row r="27">
      <c r="B27" s="115" t="inlineStr">
        <is>
          <t xml:space="preserve">                         (подпись, инициалы, фамилия)</t>
        </is>
      </c>
      <c r="C27" s="113" t="n"/>
    </row>
    <row r="28">
      <c r="B28" s="112" t="n"/>
      <c r="C28" s="113" t="n"/>
    </row>
    <row r="29">
      <c r="B29" s="112" t="inlineStr">
        <is>
          <t>Проверил ______________________        А.В. Костянецкая</t>
        </is>
      </c>
      <c r="C29" s="113" t="n"/>
    </row>
    <row r="30">
      <c r="B30" s="115" t="inlineStr">
        <is>
          <t xml:space="preserve">                        (подпись, инициалы, фамилия)</t>
        </is>
      </c>
      <c r="C30" s="1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43.85546875" customWidth="1" style="116" min="6" max="6"/>
  </cols>
  <sheetData>
    <row r="1" s="116"/>
    <row r="2" ht="18" customHeight="1" s="116">
      <c r="A2" s="136" t="inlineStr">
        <is>
          <t>Расчет размера средств на оплату труда рабочих-строителей в текущем уровне цен (ФОТр.тек.)</t>
        </is>
      </c>
    </row>
    <row r="3" s="116"/>
    <row r="4" ht="18" customHeight="1" s="11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6" customHeight="1" s="11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6" customHeight="1" s="11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09.15" customHeight="1" s="116">
      <c r="A7" s="120" t="inlineStr">
        <is>
          <t>1.1</t>
        </is>
      </c>
      <c r="B7" s="1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9" t="inlineStr">
        <is>
          <t>С1ср</t>
        </is>
      </c>
      <c r="D7" s="139" t="inlineStr">
        <is>
          <t>-</t>
        </is>
      </c>
      <c r="E7" s="123" t="n">
        <v>47872.94</v>
      </c>
      <c r="F7" s="1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15" customHeight="1" s="116">
      <c r="A8" s="120" t="inlineStr">
        <is>
          <t>1.2</t>
        </is>
      </c>
      <c r="B8" s="125" t="inlineStr">
        <is>
          <t>Среднегодовое нормативное число часов работы одного рабочего в месяц, часы (ч.)</t>
        </is>
      </c>
      <c r="C8" s="139" t="inlineStr">
        <is>
          <t>tср</t>
        </is>
      </c>
      <c r="D8" s="139" t="inlineStr">
        <is>
          <t>1973ч/12мес.</t>
        </is>
      </c>
      <c r="E8" s="124">
        <f>1973/12</f>
        <v/>
      </c>
      <c r="F8" s="125" t="inlineStr">
        <is>
          <t>Производственный календарь 2023 год
(40-часов.неделя)</t>
        </is>
      </c>
      <c r="G8" s="127" t="n"/>
    </row>
    <row r="9" ht="15.6" customHeight="1" s="116">
      <c r="A9" s="120" t="inlineStr">
        <is>
          <t>1.3</t>
        </is>
      </c>
      <c r="B9" s="125" t="inlineStr">
        <is>
          <t>Коэффициент увеличения</t>
        </is>
      </c>
      <c r="C9" s="139" t="inlineStr">
        <is>
          <t>Кув</t>
        </is>
      </c>
      <c r="D9" s="139" t="inlineStr">
        <is>
          <t>-</t>
        </is>
      </c>
      <c r="E9" s="124" t="n">
        <v>1</v>
      </c>
      <c r="F9" s="125" t="n"/>
      <c r="G9" s="127" t="n"/>
    </row>
    <row r="10" ht="15.6" customHeight="1" s="116">
      <c r="A10" s="120" t="inlineStr">
        <is>
          <t>1.4</t>
        </is>
      </c>
      <c r="B10" s="125" t="inlineStr">
        <is>
          <t>Средний разряд работ</t>
        </is>
      </c>
      <c r="C10" s="139" t="n"/>
      <c r="D10" s="139" t="n"/>
      <c r="E10" s="197" t="n">
        <v>3.8</v>
      </c>
      <c r="F10" s="125" t="inlineStr">
        <is>
          <t>РТМ</t>
        </is>
      </c>
      <c r="G10" s="127" t="n"/>
    </row>
    <row r="11" ht="78" customHeight="1" s="116">
      <c r="A11" s="120" t="inlineStr">
        <is>
          <t>1.5</t>
        </is>
      </c>
      <c r="B11" s="125" t="inlineStr">
        <is>
          <t>Тарифный коэффициент среднего разряда работ</t>
        </is>
      </c>
      <c r="C11" s="139" t="inlineStr">
        <is>
          <t>КТ</t>
        </is>
      </c>
      <c r="D11" s="139" t="inlineStr">
        <is>
          <t>-</t>
        </is>
      </c>
      <c r="E11" s="198" t="n">
        <v>1.308</v>
      </c>
      <c r="F11" s="1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" customHeight="1" s="116">
      <c r="A12" s="120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39" t="inlineStr">
        <is>
          <t>Кинф</t>
        </is>
      </c>
      <c r="D12" s="139" t="inlineStr">
        <is>
          <t>-</t>
        </is>
      </c>
      <c r="E12" s="199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n"/>
    </row>
    <row r="13" ht="62.45" customHeight="1" s="116">
      <c r="A13" s="172" t="inlineStr">
        <is>
          <t>1.7</t>
        </is>
      </c>
      <c r="B13" s="173" t="inlineStr">
        <is>
          <t>Размер средств на оплату труда рабочих-строителей в текущем уровне цен (ФОТр.тек.), руб/чел.-ч</t>
        </is>
      </c>
      <c r="C13" s="174" t="inlineStr">
        <is>
          <t>ФОТр.тек.</t>
        </is>
      </c>
      <c r="D13" s="174" t="inlineStr">
        <is>
          <t>(С1ср/tср*КТ*Т*Кув)*Кинф</t>
        </is>
      </c>
      <c r="E13" s="175">
        <f>((E7*E9/E8)*E11)*E12</f>
        <v/>
      </c>
      <c r="F13" s="1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2025-01-24T12:02:00Z</dcterms:modified>
  <cp:lastModifiedBy>Nikolay Ivanov</cp:lastModifiedBy>
  <cp:lastPrinted>2023-11-30T14:25:27Z</cp:lastPrinted>
</cp:coreProperties>
</file>