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  <numFmt numFmtId="170" formatCode="_-* #,##0.00\ _₽_-;\-* #,##0.00\ _₽_-;_-* &quot;-&quot;??\ _₽_-;_-@_-"/>
  </numFmts>
  <fonts count="18">
    <font>
      <name val="Calibri"/>
      <color rgb="FF000000"/>
      <sz val="11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8"/>
    </font>
    <font>
      <name val="Arial"/>
      <charset val="204"/>
      <family val="2"/>
      <b val="1"/>
      <color rgb="FFC0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  <vertAlign val="superscript"/>
    </font>
    <font>
      <name val="Arial"/>
      <charset val="204"/>
      <family val="2"/>
      <b val="1"/>
      <color rgb="FF000000"/>
      <sz val="11"/>
    </font>
    <font>
      <name val="Arial"/>
      <charset val="204"/>
      <family val="2"/>
      <color rgb="FF0070C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FF"/>
      <sz val="12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1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0" pivotButton="0" quotePrefix="0" xfId="0"/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49" fontId="6" fillId="0" borderId="0" applyAlignment="1" pivotButton="0" quotePrefix="0" xfId="0">
      <alignment horizontal="left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6" fillId="0" borderId="0" pivotButton="0" quotePrefix="0" xfId="0"/>
    <xf numFmtId="4" fontId="10" fillId="0" borderId="1" applyAlignment="1" pivotButton="0" quotePrefix="0" xfId="0">
      <alignment vertical="center" wrapText="1"/>
    </xf>
    <xf numFmtId="170" fontId="10" fillId="0" borderId="0" pivotButton="0" quotePrefix="0" xfId="0"/>
    <xf numFmtId="1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170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tabSelected="1" view="pageBreakPreview" topLeftCell="A19" zoomScaleNormal="85" zoomScaleSheetLayoutView="100" workbookViewId="0">
      <selection activeCell="C28" sqref="C28"/>
    </sheetView>
  </sheetViews>
  <sheetFormatPr baseColWidth="8" defaultColWidth="9.140625" defaultRowHeight="15.75"/>
  <cols>
    <col width="9.140625" customWidth="1" style="48" min="1" max="2"/>
    <col width="36.85546875" customWidth="1" style="48" min="3" max="3"/>
    <col width="36.5703125" customWidth="1" style="48" min="4" max="4"/>
    <col hidden="1" width="36.5703125" customWidth="1" style="48" min="5" max="6"/>
    <col width="14.28515625" customWidth="1" min="7" max="7"/>
    <col width="12.140625" customWidth="1" min="8" max="8"/>
    <col width="12.28515625" customWidth="1" min="9" max="9"/>
    <col width="15" customWidth="1" min="10" max="10"/>
  </cols>
  <sheetData>
    <row r="1">
      <c r="G1" s="48" t="n"/>
      <c r="H1" s="48" t="n"/>
      <c r="I1" s="48" t="n"/>
      <c r="J1" s="48" t="n"/>
      <c r="K1" s="48" t="n"/>
    </row>
    <row r="2">
      <c r="G2" s="48" t="n"/>
      <c r="H2" s="48" t="n"/>
      <c r="I2" s="48" t="n"/>
      <c r="J2" s="48" t="n"/>
      <c r="K2" s="48" t="n"/>
    </row>
    <row r="3">
      <c r="B3" s="125" t="inlineStr">
        <is>
          <t>Приложение № 1</t>
        </is>
      </c>
      <c r="G3" s="48" t="n"/>
      <c r="H3" s="48" t="n"/>
      <c r="I3" s="48" t="n"/>
      <c r="J3" s="48" t="n"/>
      <c r="K3" s="48" t="n"/>
    </row>
    <row r="4">
      <c r="B4" s="126" t="inlineStr">
        <is>
          <t>Сравнительная таблица отбора объекта-представителя</t>
        </is>
      </c>
      <c r="G4" s="48" t="n"/>
      <c r="H4" s="48" t="n"/>
      <c r="I4" s="48" t="n"/>
      <c r="J4" s="48" t="n"/>
      <c r="K4" s="48" t="n"/>
    </row>
    <row r="5">
      <c r="B5" s="57" t="n"/>
      <c r="C5" s="57" t="n"/>
      <c r="D5" s="57" t="n"/>
      <c r="E5" s="57" t="n"/>
      <c r="F5" s="57" t="n"/>
      <c r="G5" s="48" t="n"/>
      <c r="H5" s="48" t="n"/>
      <c r="I5" s="48" t="n"/>
      <c r="J5" s="48" t="n"/>
      <c r="K5" s="48" t="n"/>
    </row>
    <row r="6">
      <c r="B6" s="57" t="n"/>
      <c r="C6" s="57" t="n"/>
      <c r="D6" s="57" t="n"/>
      <c r="E6" s="57" t="n"/>
      <c r="F6" s="57" t="n"/>
      <c r="G6" s="48" t="n"/>
      <c r="H6" s="48" t="n"/>
      <c r="I6" s="48" t="n"/>
      <c r="J6" s="48" t="n"/>
      <c r="K6" s="48" t="n"/>
    </row>
    <row r="7" ht="59.25" customHeight="1">
      <c r="B7" s="124">
        <f>CONCATENATE(TEXT('Прил.5 Расчет СМР и ОБ'!A6,0)," - ",TEXT('Прил.5 Расчет СМР и ОБ'!D6,0))</f>
        <v/>
      </c>
      <c r="G7" s="58" t="n"/>
      <c r="H7" s="48" t="n"/>
      <c r="I7" s="48" t="n"/>
      <c r="J7" s="48" t="n"/>
      <c r="K7" s="48" t="n"/>
    </row>
    <row r="8" ht="15.75" customHeight="1">
      <c r="B8" s="56" t="inlineStr">
        <is>
          <t xml:space="preserve">Сопоставимый уровень цен: </t>
        </is>
      </c>
      <c r="C8" s="56" t="n"/>
      <c r="D8" s="56">
        <f>D22</f>
        <v/>
      </c>
      <c r="E8" s="56" t="n"/>
      <c r="F8" s="56" t="n"/>
      <c r="G8" s="48" t="n"/>
      <c r="H8" s="48" t="n"/>
      <c r="I8" s="48" t="n"/>
      <c r="J8" s="48" t="n"/>
      <c r="K8" s="48" t="n"/>
    </row>
    <row r="9" ht="15.75" customHeight="1">
      <c r="B9" s="124" t="inlineStr">
        <is>
          <t>Единица измерения  — 1 терминал</t>
        </is>
      </c>
      <c r="G9" s="58" t="n"/>
      <c r="H9" s="48" t="n"/>
      <c r="I9" s="48" t="n"/>
      <c r="J9" s="48" t="n"/>
      <c r="K9" s="48" t="n"/>
    </row>
    <row r="10">
      <c r="B10" s="124" t="n"/>
      <c r="G10" s="48" t="n"/>
      <c r="H10" s="48" t="n"/>
      <c r="I10" s="48" t="n"/>
      <c r="J10" s="48" t="n"/>
      <c r="K10" s="48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>Объект-представитель 1</t>
        </is>
      </c>
      <c r="E11" s="129" t="inlineStr">
        <is>
          <t>Объект-представитель 2</t>
        </is>
      </c>
      <c r="F11" s="129" t="inlineStr">
        <is>
          <t>Объект-представитель 3</t>
        </is>
      </c>
      <c r="G11" s="58" t="n"/>
      <c r="H11" s="48" t="n"/>
      <c r="I11" s="48" t="n"/>
      <c r="J11" s="48" t="n"/>
      <c r="K11" s="48" t="n"/>
    </row>
    <row r="12" ht="31.5" customHeight="1">
      <c r="B12" s="129" t="n">
        <v>1</v>
      </c>
      <c r="C12" s="59" t="inlineStr">
        <is>
          <t>Наименование объекта-представителя</t>
        </is>
      </c>
      <c r="D12" s="129" t="inlineStr">
        <is>
          <t>Строительство ПС 220 кВ Налдинская с заходами ВЛ 220 кВ</t>
        </is>
      </c>
      <c r="E12" s="129" t="n"/>
      <c r="F12" s="129" t="n"/>
      <c r="G12" s="48" t="n"/>
      <c r="H12" s="48" t="n"/>
      <c r="I12" s="48" t="n"/>
      <c r="J12" s="48" t="n"/>
      <c r="K12" s="48" t="n"/>
    </row>
    <row r="13" ht="31.35" customHeight="1">
      <c r="B13" s="129" t="n">
        <v>2</v>
      </c>
      <c r="C13" s="59" t="inlineStr">
        <is>
          <t>Наименование субъекта Российской Федерации</t>
        </is>
      </c>
      <c r="D13" s="129" t="inlineStr">
        <is>
          <t>Республика Саха (Якутия)</t>
        </is>
      </c>
      <c r="E13" s="129" t="n"/>
      <c r="F13" s="129" t="n"/>
      <c r="G13" s="48" t="n"/>
      <c r="H13" s="48" t="n"/>
      <c r="I13" s="48" t="n"/>
      <c r="J13" s="48" t="n"/>
      <c r="K13" s="48" t="n"/>
    </row>
    <row r="14">
      <c r="B14" s="129" t="n">
        <v>3</v>
      </c>
      <c r="C14" s="59" t="inlineStr">
        <is>
          <t>Климатический район и подрайон</t>
        </is>
      </c>
      <c r="D14" s="129" t="inlineStr">
        <is>
          <t>IА</t>
        </is>
      </c>
      <c r="E14" s="129" t="n"/>
      <c r="F14" s="129" t="n"/>
      <c r="G14" s="48" t="n"/>
      <c r="H14" s="48" t="n"/>
      <c r="I14" s="48" t="n"/>
      <c r="J14" s="48" t="n"/>
      <c r="K14" s="48" t="n"/>
    </row>
    <row r="15">
      <c r="B15" s="129" t="n">
        <v>4</v>
      </c>
      <c r="C15" s="59" t="inlineStr">
        <is>
          <t>Мощность объекта</t>
        </is>
      </c>
      <c r="D15" s="129" t="n">
        <v>1</v>
      </c>
      <c r="E15" s="129" t="n">
        <v>4</v>
      </c>
      <c r="F15" s="129" t="n">
        <v>3</v>
      </c>
      <c r="G15" s="48" t="n"/>
      <c r="H15" s="48" t="n"/>
      <c r="I15" s="48" t="n"/>
      <c r="J15" s="48" t="n"/>
      <c r="K15" s="48" t="n"/>
    </row>
    <row r="16" ht="100.5" customHeight="1">
      <c r="B16" s="129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8" t="inlineStr">
        <is>
          <t>Спутниковая связь - 1 комплект</t>
        </is>
      </c>
      <c r="E16" s="129" t="n"/>
      <c r="F16" s="129" t="n"/>
      <c r="G16" s="48" t="n"/>
      <c r="H16" s="48" t="n"/>
      <c r="I16" s="48" t="n"/>
      <c r="J16" s="48" t="n"/>
      <c r="K16" s="48" t="n"/>
    </row>
    <row r="17" ht="82.5" customHeight="1">
      <c r="B17" s="129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0">
        <f>D18+D19+D20+D21</f>
        <v/>
      </c>
      <c r="E17" s="160" t="n"/>
      <c r="F17" s="160" t="n"/>
      <c r="G17" s="60" t="n"/>
      <c r="H17" s="48" t="n"/>
      <c r="I17" s="48" t="n"/>
      <c r="J17" s="48" t="n"/>
      <c r="K17" s="48" t="n"/>
    </row>
    <row r="18">
      <c r="B18" s="61" t="inlineStr">
        <is>
          <t>6.1</t>
        </is>
      </c>
      <c r="C18" s="59" t="inlineStr">
        <is>
          <t>строительно-монтажные работы</t>
        </is>
      </c>
      <c r="D18" s="160">
        <f>'Прил.2 Расч стоим'!F13+'Прил.2 Расч стоим'!G13</f>
        <v/>
      </c>
      <c r="E18" s="160" t="n"/>
      <c r="F18" s="160" t="n"/>
      <c r="G18" s="48" t="n"/>
      <c r="H18" s="48" t="n"/>
      <c r="I18" s="48" t="n"/>
      <c r="J18" s="48" t="n"/>
      <c r="K18" s="48" t="n"/>
    </row>
    <row r="19">
      <c r="B19" s="61" t="inlineStr">
        <is>
          <t>6.2</t>
        </is>
      </c>
      <c r="C19" s="59" t="inlineStr">
        <is>
          <t>оборудование и инвентарь</t>
        </is>
      </c>
      <c r="D19" s="160">
        <f>'Прил.2 Расч стоим'!H12</f>
        <v/>
      </c>
      <c r="E19" s="160" t="n"/>
      <c r="F19" s="160" t="n"/>
      <c r="G19" s="48" t="n"/>
      <c r="H19" s="48" t="n"/>
      <c r="I19" s="48" t="n"/>
      <c r="J19" s="48" t="n"/>
      <c r="K19" s="48" t="n"/>
    </row>
    <row r="20">
      <c r="B20" s="61" t="inlineStr">
        <is>
          <t>6.3</t>
        </is>
      </c>
      <c r="C20" s="59" t="inlineStr">
        <is>
          <t>пусконаладочные работы</t>
        </is>
      </c>
      <c r="D20" s="160" t="n"/>
      <c r="E20" s="160" t="n"/>
      <c r="F20" s="160" t="n"/>
      <c r="G20" s="48" t="n"/>
      <c r="H20" s="48" t="n"/>
      <c r="I20" s="48" t="n"/>
      <c r="J20" s="48" t="n"/>
      <c r="K20" s="48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15">
        <f>D18*0.039+(D18*0.039+D18)*0.047</f>
        <v/>
      </c>
      <c r="E21" s="160" t="n"/>
      <c r="F21" s="160" t="n"/>
      <c r="G21" s="48" t="n"/>
      <c r="H21" s="48" t="n"/>
      <c r="I21" s="48" t="n"/>
      <c r="J21" s="48" t="n"/>
      <c r="K21" s="48" t="n"/>
    </row>
    <row r="22">
      <c r="B22" s="129" t="n">
        <v>7</v>
      </c>
      <c r="C22" s="62" t="inlineStr">
        <is>
          <t>Сопоставимый уровень цен</t>
        </is>
      </c>
      <c r="D22" s="129" t="inlineStr">
        <is>
          <t>3 квартал 2021г.</t>
        </is>
      </c>
      <c r="E22" s="129" t="n"/>
      <c r="F22" s="129" t="n"/>
      <c r="G22" s="60" t="n"/>
      <c r="H22" s="48" t="n"/>
      <c r="I22" s="48" t="n"/>
      <c r="J22" s="48" t="n"/>
      <c r="K22" s="48" t="n"/>
    </row>
    <row r="23" ht="119.25" customHeight="1">
      <c r="B23" s="129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0">
        <f>D17</f>
        <v/>
      </c>
      <c r="E23" s="160" t="n"/>
      <c r="F23" s="160" t="n"/>
      <c r="G23" s="48" t="n"/>
      <c r="H23" s="48" t="n"/>
      <c r="I23" s="48" t="n"/>
      <c r="J23" s="48" t="n"/>
      <c r="K23" s="48" t="n"/>
    </row>
    <row r="24" ht="46.9" customHeight="1">
      <c r="B24" s="129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60">
        <f>D23/D15</f>
        <v/>
      </c>
      <c r="E24" s="160" t="n"/>
      <c r="F24" s="160" t="n"/>
      <c r="G24" s="60" t="n"/>
      <c r="H24" s="48" t="n"/>
      <c r="I24" s="48" t="n"/>
      <c r="J24" s="48" t="n"/>
      <c r="K24" s="48" t="n"/>
    </row>
    <row r="25" hidden="1" ht="46.9" customHeight="1">
      <c r="B25" s="129" t="n">
        <v>10</v>
      </c>
      <c r="C25" s="59" t="inlineStr">
        <is>
          <t>Примечание</t>
        </is>
      </c>
      <c r="D25" s="59" t="n"/>
      <c r="E25" s="73" t="n"/>
      <c r="F25" s="59" t="inlineStr">
        <is>
          <t xml:space="preserve">Выбран объектом-представителем с учетом минимальной удельной стоимости </t>
        </is>
      </c>
      <c r="G25" s="48" t="n"/>
      <c r="H25" s="48" t="n"/>
      <c r="I25" s="48" t="n"/>
      <c r="J25" s="48" t="n"/>
      <c r="K25" s="48" t="n"/>
    </row>
    <row r="26">
      <c r="B26" s="158" t="n"/>
      <c r="C26" s="64" t="n"/>
      <c r="D26" s="64" t="n"/>
      <c r="E26" s="64" t="n"/>
      <c r="F26" s="64" t="n"/>
      <c r="G26" s="48" t="n"/>
      <c r="H26" s="48" t="n"/>
      <c r="I26" s="48" t="n"/>
      <c r="J26" s="48" t="n"/>
      <c r="K26" s="48" t="n"/>
    </row>
    <row r="27">
      <c r="B27" s="56" t="n"/>
      <c r="G27" s="48" t="n"/>
      <c r="H27" s="48" t="n"/>
      <c r="I27" s="48" t="n"/>
      <c r="J27" s="48" t="n"/>
      <c r="K27" s="48" t="n"/>
    </row>
    <row r="28">
      <c r="B28" s="48" t="inlineStr">
        <is>
          <t>Составил ______________________        Е.А. Князева</t>
        </is>
      </c>
      <c r="G28" s="48" t="n"/>
      <c r="H28" s="48" t="n"/>
      <c r="I28" s="48" t="n"/>
      <c r="J28" s="48" t="n"/>
      <c r="K28" s="48" t="n"/>
    </row>
    <row r="29" ht="21.75" customHeight="1">
      <c r="B29" s="74" t="inlineStr">
        <is>
          <t xml:space="preserve">                         (подпись, инициалы, фамилия)</t>
        </is>
      </c>
      <c r="G29" s="48" t="n"/>
      <c r="H29" s="48" t="n"/>
      <c r="I29" s="48" t="n"/>
      <c r="J29" s="48" t="n"/>
      <c r="K29" s="48" t="n"/>
    </row>
    <row r="30">
      <c r="G30" s="48" t="n"/>
      <c r="H30" s="48" t="n"/>
      <c r="I30" s="48" t="n"/>
      <c r="J30" s="48" t="n"/>
      <c r="K30" s="48" t="n"/>
    </row>
    <row r="31">
      <c r="B31" s="48" t="inlineStr">
        <is>
          <t>Проверил ______________________        А.В. Костянецкая</t>
        </is>
      </c>
      <c r="G31" s="48" t="n"/>
      <c r="H31" s="48" t="n"/>
      <c r="I31" s="48" t="n"/>
      <c r="J31" s="48" t="n"/>
      <c r="K31" s="48" t="n"/>
    </row>
    <row r="32" ht="21.75" customHeight="1">
      <c r="B32" s="74" t="inlineStr">
        <is>
          <t xml:space="preserve">                        (подпись, инициалы, фамилия)</t>
        </is>
      </c>
      <c r="G32" s="48" t="n"/>
      <c r="H32" s="48" t="n"/>
      <c r="I32" s="48" t="n"/>
      <c r="J32" s="48" t="n"/>
      <c r="K32" s="48" t="n"/>
    </row>
    <row r="33">
      <c r="G33" s="48" t="n"/>
      <c r="H33" s="48" t="n"/>
      <c r="I33" s="48" t="n"/>
      <c r="J33" s="48" t="n"/>
      <c r="K33" s="48" t="n"/>
    </row>
    <row r="34">
      <c r="G34" s="48" t="n"/>
      <c r="H34" s="48" t="n"/>
      <c r="I34" s="48" t="n"/>
      <c r="J34" s="48" t="n"/>
      <c r="K34" s="48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95" fitToHeight="0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C19" sqref="C19"/>
    </sheetView>
  </sheetViews>
  <sheetFormatPr baseColWidth="8" defaultColWidth="9.140625" defaultRowHeight="15"/>
  <cols>
    <col width="5.5703125" customWidth="1" min="1" max="1"/>
    <col width="35.28515625" customWidth="1" min="3" max="3"/>
    <col width="13.85546875" customWidth="1" min="4" max="4"/>
    <col width="24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3.140625" customWidth="1" min="12" max="12"/>
  </cols>
  <sheetData>
    <row r="1" ht="15.6" customHeight="1">
      <c r="A1" s="48" t="n"/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</row>
    <row r="2" ht="15.6" customHeight="1">
      <c r="A2" s="48" t="n"/>
      <c r="B2" s="48" t="n"/>
      <c r="C2" s="48" t="n"/>
      <c r="D2" s="48" t="n"/>
      <c r="E2" s="48" t="n"/>
      <c r="F2" s="48" t="n"/>
      <c r="G2" s="48" t="n"/>
      <c r="H2" s="48" t="n"/>
      <c r="I2" s="48" t="n"/>
      <c r="J2" s="48" t="n"/>
    </row>
    <row r="3" ht="15.6" customHeight="1">
      <c r="A3" s="48" t="n"/>
      <c r="B3" s="125" t="inlineStr">
        <is>
          <t>Приложение № 2</t>
        </is>
      </c>
    </row>
    <row r="4" ht="15.6" customHeight="1">
      <c r="A4" s="48" t="n"/>
      <c r="B4" s="126" t="inlineStr">
        <is>
          <t>Расчет стоимости основных видов работ для выбора объекта-представителя</t>
        </is>
      </c>
    </row>
    <row r="5" ht="15.6" customHeight="1">
      <c r="A5" s="48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>
      <c r="A6" s="48" t="n"/>
      <c r="B6" s="128">
        <f>'Прил.1 Сравнит табл'!B7</f>
        <v/>
      </c>
    </row>
    <row r="7" ht="15.75" customHeight="1">
      <c r="A7" s="48" t="n"/>
      <c r="B7" s="124">
        <f>'Прил.1 Сравнит табл'!B9</f>
        <v/>
      </c>
    </row>
    <row r="8" ht="15.6" customHeight="1">
      <c r="A8" s="48" t="n"/>
      <c r="B8" s="124" t="n"/>
      <c r="C8" s="48" t="n"/>
      <c r="D8" s="48" t="n"/>
      <c r="E8" s="48" t="n"/>
      <c r="F8" s="48" t="n"/>
      <c r="G8" s="48" t="n"/>
      <c r="H8" s="48" t="n"/>
      <c r="I8" s="48" t="n"/>
      <c r="J8" s="48" t="n"/>
    </row>
    <row r="9" ht="15.75" customHeight="1">
      <c r="A9" s="48" t="n"/>
      <c r="B9" s="129" t="inlineStr">
        <is>
          <t>№ п/п</t>
        </is>
      </c>
      <c r="C9" s="1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9" t="inlineStr">
        <is>
          <t>Объект-представитель 1</t>
        </is>
      </c>
      <c r="E9" s="161" t="n"/>
      <c r="F9" s="161" t="n"/>
      <c r="G9" s="161" t="n"/>
      <c r="H9" s="161" t="n"/>
      <c r="I9" s="161" t="n"/>
      <c r="J9" s="162" t="n"/>
      <c r="K9" s="48" t="n"/>
      <c r="L9" s="48" t="n"/>
    </row>
    <row r="10" ht="15.75" customHeight="1">
      <c r="A10" s="48" t="n"/>
      <c r="B10" s="163" t="n"/>
      <c r="C10" s="163" t="n"/>
      <c r="D10" s="129" t="inlineStr">
        <is>
          <t>Номер сметы</t>
        </is>
      </c>
      <c r="E10" s="129" t="inlineStr">
        <is>
          <t>Наименование сметы</t>
        </is>
      </c>
      <c r="F10" s="129" t="inlineStr">
        <is>
          <t>Сметная стоимость в уровне цен 3 кв. 2021 г., тыс. руб.</t>
        </is>
      </c>
      <c r="G10" s="161" t="n"/>
      <c r="H10" s="161" t="n"/>
      <c r="I10" s="161" t="n"/>
      <c r="J10" s="162" t="n"/>
      <c r="K10" s="48" t="n"/>
      <c r="L10" s="48" t="n"/>
    </row>
    <row r="11" ht="69.75" customHeight="1">
      <c r="A11" s="48" t="n"/>
      <c r="B11" s="164" t="n"/>
      <c r="C11" s="164" t="n"/>
      <c r="D11" s="164" t="n"/>
      <c r="E11" s="164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  <c r="K11" s="48" t="n"/>
      <c r="L11" s="48" t="n"/>
    </row>
    <row r="12" ht="31.5" customHeight="1">
      <c r="A12" s="48" t="n"/>
      <c r="B12" s="73" t="n">
        <v>1</v>
      </c>
      <c r="C12" s="66">
        <f>'Прил.1 Сравнит табл'!D16</f>
        <v/>
      </c>
      <c r="D12" s="116" t="inlineStr">
        <is>
          <t>05-02-09</t>
        </is>
      </c>
      <c r="E12" s="59" t="inlineStr">
        <is>
          <t>Система спутниковой связи</t>
        </is>
      </c>
      <c r="F12" s="117" t="n">
        <v>2.618401</v>
      </c>
      <c r="G12" s="117" t="n">
        <v>78.7039786</v>
      </c>
      <c r="H12" s="117" t="n">
        <v>1988.4887972</v>
      </c>
      <c r="I12" s="117" t="n"/>
      <c r="J12" s="118">
        <f>SUM(F12:I12)</f>
        <v/>
      </c>
      <c r="K12" s="119" t="n"/>
      <c r="L12" s="119" t="n"/>
    </row>
    <row r="13" ht="15.6" customHeight="1">
      <c r="A13" s="48" t="n"/>
      <c r="B13" s="127" t="inlineStr">
        <is>
          <t>Всего по объекту:</t>
        </is>
      </c>
      <c r="C13" s="161" t="n"/>
      <c r="D13" s="161" t="n"/>
      <c r="E13" s="162" t="n"/>
      <c r="F13" s="120">
        <f>SUM(F12:F12)</f>
        <v/>
      </c>
      <c r="G13" s="120">
        <f>SUM(G12:G12)</f>
        <v/>
      </c>
      <c r="H13" s="120">
        <f>SUM(H12:H12)</f>
        <v/>
      </c>
      <c r="I13" s="120" t="n"/>
      <c r="J13" s="120">
        <f>SUM(F13:I13)</f>
        <v/>
      </c>
      <c r="K13" s="119" t="n"/>
      <c r="L13" s="119" t="n"/>
    </row>
    <row r="14" ht="15.6" customHeight="1">
      <c r="A14" s="48" t="n"/>
      <c r="B14" s="127" t="inlineStr">
        <is>
          <t>Всего по объекту в сопоставимом уровне цен 3 кв. 2021 г. :</t>
        </is>
      </c>
      <c r="C14" s="161" t="n"/>
      <c r="D14" s="161" t="n"/>
      <c r="E14" s="162" t="n"/>
      <c r="F14" s="120">
        <f>F13</f>
        <v/>
      </c>
      <c r="G14" s="120">
        <f>G13</f>
        <v/>
      </c>
      <c r="H14" s="120">
        <f>H13</f>
        <v/>
      </c>
      <c r="I14" s="120">
        <f>'Прил.1 Сравнит табл'!D21</f>
        <v/>
      </c>
      <c r="J14" s="120">
        <f>SUM(F14:I14)</f>
        <v/>
      </c>
      <c r="K14" s="48" t="n"/>
      <c r="L14" s="119" t="n"/>
    </row>
    <row r="15" ht="15.75" customHeight="1">
      <c r="A15" s="48" t="n"/>
      <c r="B15" s="124" t="n"/>
      <c r="C15" s="48" t="n"/>
      <c r="D15" s="48" t="n"/>
      <c r="E15" s="48" t="n"/>
      <c r="F15" s="48" t="n"/>
      <c r="G15" s="48" t="n"/>
      <c r="H15" s="48" t="n"/>
      <c r="I15" s="48" t="n"/>
      <c r="J15" s="48" t="n"/>
    </row>
    <row r="16" ht="15.6" customHeight="1">
      <c r="A16" s="48" t="n"/>
      <c r="B16" s="48" t="n"/>
      <c r="C16" s="48" t="n"/>
      <c r="D16" s="48" t="n"/>
      <c r="E16" s="48" t="n"/>
      <c r="F16" s="48" t="n"/>
      <c r="G16" s="48" t="n"/>
      <c r="H16" s="48" t="n"/>
      <c r="I16" s="48" t="n"/>
      <c r="J16" s="48" t="n"/>
    </row>
    <row r="17" ht="15.6" customHeight="1">
      <c r="A17" s="48" t="n"/>
      <c r="B17" s="48" t="n"/>
      <c r="C17" s="48" t="n"/>
      <c r="D17" s="48" t="n"/>
      <c r="E17" s="48" t="n"/>
      <c r="F17" s="48" t="n"/>
      <c r="G17" s="48" t="n"/>
      <c r="H17" s="48" t="n"/>
      <c r="I17" s="48" t="n"/>
      <c r="J17" s="48" t="n"/>
    </row>
    <row r="18" ht="15.6" customHeight="1">
      <c r="A18" s="48" t="n"/>
      <c r="B18" s="48" t="n"/>
      <c r="C18" s="48" t="n"/>
      <c r="D18" s="48" t="n"/>
      <c r="E18" s="48" t="n"/>
      <c r="F18" s="48" t="n"/>
      <c r="G18" s="48" t="n"/>
      <c r="H18" s="48" t="n"/>
      <c r="I18" s="48" t="n"/>
      <c r="J18" s="48" t="n"/>
    </row>
    <row r="19" ht="15.6" customHeight="1">
      <c r="A19" s="48" t="n"/>
      <c r="B19" s="48" t="inlineStr">
        <is>
          <t>Составил ______________________        Е.А. Князева</t>
        </is>
      </c>
      <c r="C19" s="48" t="n"/>
      <c r="D19" s="48" t="n"/>
      <c r="E19" s="48" t="n"/>
      <c r="F19" s="48" t="n"/>
      <c r="G19" s="48" t="n"/>
      <c r="H19" s="48" t="n"/>
      <c r="I19" s="48" t="n"/>
      <c r="J19" s="48" t="n"/>
    </row>
    <row r="20" ht="21.75" customHeight="1">
      <c r="A20" s="48" t="n"/>
      <c r="B20" s="74" t="inlineStr">
        <is>
          <t xml:space="preserve">                         (подпись, инициалы, фамилия)</t>
        </is>
      </c>
      <c r="C20" s="48" t="n"/>
      <c r="D20" s="48" t="n"/>
      <c r="E20" s="48" t="n"/>
      <c r="F20" s="48" t="n"/>
      <c r="G20" s="48" t="n"/>
      <c r="H20" s="48" t="n"/>
      <c r="I20" s="48" t="n"/>
      <c r="J20" s="48" t="n"/>
    </row>
    <row r="21" ht="15.6" customHeight="1">
      <c r="A21" s="48" t="n"/>
      <c r="B21" s="48" t="n"/>
      <c r="C21" s="48" t="n"/>
      <c r="D21" s="48" t="n"/>
      <c r="E21" s="48" t="n"/>
      <c r="F21" s="48" t="n"/>
      <c r="G21" s="48" t="n"/>
      <c r="H21" s="48" t="n"/>
      <c r="I21" s="48" t="n"/>
      <c r="J21" s="48" t="n"/>
    </row>
    <row r="22" ht="15.6" customHeight="1">
      <c r="A22" s="48" t="n"/>
      <c r="B22" s="48" t="inlineStr">
        <is>
          <t>Проверил ______________________        А.В. Костянецкая</t>
        </is>
      </c>
      <c r="C22" s="48" t="n"/>
      <c r="D22" s="48" t="n"/>
      <c r="E22" s="48" t="n"/>
      <c r="F22" s="48" t="n"/>
      <c r="G22" s="48" t="n"/>
      <c r="H22" s="48" t="n"/>
      <c r="I22" s="48" t="n"/>
      <c r="J22" s="48" t="n"/>
    </row>
    <row r="23" ht="21.75" customHeight="1">
      <c r="A23" s="48" t="n"/>
      <c r="B23" s="74" t="inlineStr">
        <is>
          <t xml:space="preserve">                        (подпись, инициалы, фамилия)</t>
        </is>
      </c>
      <c r="C23" s="48" t="n"/>
      <c r="D23" s="48" t="n"/>
      <c r="E23" s="48" t="n"/>
      <c r="F23" s="48" t="n"/>
      <c r="G23" s="48" t="n"/>
      <c r="H23" s="48" t="n"/>
      <c r="I23" s="48" t="n"/>
      <c r="J23" s="4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6"/>
  <sheetViews>
    <sheetView view="pageBreakPreview" topLeftCell="A46" workbookViewId="0">
      <selection activeCell="C51" sqref="C51"/>
    </sheetView>
  </sheetViews>
  <sheetFormatPr baseColWidth="8" defaultColWidth="9.140625" defaultRowHeight="15.75"/>
  <cols>
    <col width="9.140625" customWidth="1" style="48" min="1" max="1"/>
    <col width="12.5703125" customWidth="1" style="48" min="2" max="2"/>
    <col width="22.42578125" customWidth="1" style="48" min="3" max="3"/>
    <col width="49.7109375" customWidth="1" style="48" min="4" max="4"/>
    <col width="10.140625" customWidth="1" style="48" min="5" max="5"/>
    <col width="20.7109375" customWidth="1" style="48" min="6" max="6"/>
    <col width="16.140625" customWidth="1" style="48" min="7" max="7"/>
    <col width="16.7109375" customWidth="1" style="48" min="8" max="8"/>
    <col width="9.140625" customWidth="1" style="48" min="9" max="9"/>
    <col width="19.42578125" customWidth="1" style="48" min="10" max="10"/>
    <col width="13" customWidth="1" min="11" max="11"/>
  </cols>
  <sheetData>
    <row r="1">
      <c r="K1" s="48" t="n"/>
    </row>
    <row r="2">
      <c r="A2" s="125" t="inlineStr">
        <is>
          <t xml:space="preserve">Приложение № 3 </t>
        </is>
      </c>
      <c r="K2" s="48" t="n"/>
    </row>
    <row r="3">
      <c r="A3" s="126" t="inlineStr">
        <is>
          <t>Объектная ресурсная ведомость</t>
        </is>
      </c>
      <c r="K3" s="48" t="n"/>
    </row>
    <row r="4" ht="18.75" customHeight="1">
      <c r="A4" s="124" t="n"/>
      <c r="K4" s="48" t="n"/>
    </row>
    <row r="5" ht="36.75" customHeight="1">
      <c r="A5" s="128">
        <f>'Прил.1 Сравнит табл'!B7</f>
        <v/>
      </c>
      <c r="K5" s="48" t="n"/>
    </row>
    <row r="6" ht="36.75" customHeight="1">
      <c r="A6" s="128" t="n"/>
      <c r="B6" s="128" t="n"/>
      <c r="C6" s="128" t="n"/>
      <c r="D6" s="128" t="n"/>
      <c r="E6" s="128" t="n"/>
      <c r="F6" s="128" t="n"/>
      <c r="G6" s="128" t="n"/>
      <c r="H6" s="128" t="n"/>
      <c r="K6" s="48" t="n"/>
    </row>
    <row r="7" ht="36.75" customHeight="1">
      <c r="A7" s="128" t="n"/>
      <c r="B7" s="128" t="n"/>
      <c r="C7" s="128" t="n"/>
      <c r="D7" s="128" t="n"/>
      <c r="E7" s="128" t="n"/>
      <c r="F7" s="128" t="n"/>
      <c r="G7" s="128" t="n"/>
      <c r="H7" s="128" t="n"/>
      <c r="K7" s="48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48" t="n"/>
    </row>
    <row r="9" ht="33" customHeight="1">
      <c r="A9" s="129" t="inlineStr">
        <is>
          <t>п/п</t>
        </is>
      </c>
      <c r="B9" s="129" t="inlineStr">
        <is>
          <t>№ЛСР</t>
        </is>
      </c>
      <c r="C9" s="129" t="inlineStr">
        <is>
          <t>Код ресурса</t>
        </is>
      </c>
      <c r="D9" s="129" t="inlineStr">
        <is>
          <t>Наименование ресурса</t>
        </is>
      </c>
      <c r="E9" s="129" t="inlineStr">
        <is>
          <t>Ед. изм.</t>
        </is>
      </c>
      <c r="F9" s="129" t="inlineStr">
        <is>
          <t>Кол-во единиц по данным объекта-представителя</t>
        </is>
      </c>
      <c r="G9" s="129" t="inlineStr">
        <is>
          <t>Сметная стоимость в ценах на 01.01.2000 (руб.)</t>
        </is>
      </c>
      <c r="H9" s="162" t="n"/>
      <c r="K9" s="48" t="n"/>
    </row>
    <row r="10" ht="33" customHeight="1">
      <c r="A10" s="164" t="n"/>
      <c r="B10" s="164" t="n"/>
      <c r="C10" s="164" t="n"/>
      <c r="D10" s="164" t="n"/>
      <c r="E10" s="164" t="n"/>
      <c r="F10" s="164" t="n"/>
      <c r="G10" s="129" t="inlineStr">
        <is>
          <t>на ед.изм.</t>
        </is>
      </c>
      <c r="H10" s="129" t="inlineStr">
        <is>
          <t>общая</t>
        </is>
      </c>
      <c r="K10" s="48" t="n"/>
    </row>
    <row r="11">
      <c r="A11" s="66" t="n">
        <v>1</v>
      </c>
      <c r="B11" s="66" t="n"/>
      <c r="C11" s="66" t="n">
        <v>2</v>
      </c>
      <c r="D11" s="66" t="inlineStr">
        <is>
          <t>З</t>
        </is>
      </c>
      <c r="E11" s="66" t="n">
        <v>4</v>
      </c>
      <c r="F11" s="66" t="n">
        <v>5</v>
      </c>
      <c r="G11" s="66" t="n">
        <v>6</v>
      </c>
      <c r="H11" s="66" t="n">
        <v>7</v>
      </c>
      <c r="I11" s="165" t="n"/>
      <c r="K11" s="48" t="n"/>
    </row>
    <row r="12">
      <c r="A12" s="130" t="inlineStr">
        <is>
          <t>Затраты труда рабочих</t>
        </is>
      </c>
      <c r="B12" s="161" t="n"/>
      <c r="C12" s="161" t="n"/>
      <c r="D12" s="161" t="n"/>
      <c r="E12" s="162" t="n"/>
      <c r="F12" s="67" t="n">
        <v>47.4</v>
      </c>
      <c r="G12" s="67" t="n"/>
      <c r="H12" s="67">
        <f>SUM(H13:H16)</f>
        <v/>
      </c>
      <c r="I12" s="166" t="n"/>
      <c r="J12" s="166" t="n"/>
      <c r="K12" s="68" t="n"/>
    </row>
    <row r="13">
      <c r="A13" s="131" t="n">
        <v>1</v>
      </c>
      <c r="B13" s="83" t="n"/>
      <c r="C13" s="98" t="inlineStr">
        <is>
          <t>1-3-0</t>
        </is>
      </c>
      <c r="D13" s="132" t="inlineStr">
        <is>
          <t>Затраты труда рабочих (ср 3)</t>
        </is>
      </c>
      <c r="E13" s="131" t="inlineStr">
        <is>
          <t>чел.-ч</t>
        </is>
      </c>
      <c r="F13" s="131" t="n">
        <v>23.4</v>
      </c>
      <c r="G13" s="71" t="n">
        <v>8.529999999999999</v>
      </c>
      <c r="H13" s="71">
        <f>ROUND(F13*G13,2)</f>
        <v/>
      </c>
      <c r="K13" s="48" t="n"/>
    </row>
    <row r="14" ht="15" customHeight="1">
      <c r="A14" s="131" t="n">
        <v>2</v>
      </c>
      <c r="B14" s="83" t="n"/>
      <c r="C14" s="98" t="inlineStr">
        <is>
          <t>1-5-0</t>
        </is>
      </c>
      <c r="D14" s="132" t="inlineStr">
        <is>
          <t>Затраты труда рабочих (ср 5)</t>
        </is>
      </c>
      <c r="E14" s="131" t="inlineStr">
        <is>
          <t>чел.-ч</t>
        </is>
      </c>
      <c r="F14" s="131" t="n">
        <v>13.16</v>
      </c>
      <c r="G14" s="71" t="n">
        <v>11.09</v>
      </c>
      <c r="H14" s="71">
        <f>ROUND(F14*G14,2)</f>
        <v/>
      </c>
      <c r="K14" s="48" t="n"/>
    </row>
    <row r="15" ht="15" customHeight="1">
      <c r="A15" s="131" t="n">
        <v>3</v>
      </c>
      <c r="B15" s="83" t="n"/>
      <c r="C15" s="98" t="inlineStr">
        <is>
          <t>1-3-8</t>
        </is>
      </c>
      <c r="D15" s="132" t="inlineStr">
        <is>
          <t>Затраты труда рабочих (ср 3,8)</t>
        </is>
      </c>
      <c r="E15" s="131" t="inlineStr">
        <is>
          <t>чел.-ч</t>
        </is>
      </c>
      <c r="F15" s="131" t="n">
        <v>9.279999999999999</v>
      </c>
      <c r="G15" s="71" t="n">
        <v>9.4</v>
      </c>
      <c r="H15" s="71">
        <f>ROUND(F15*G15,2)</f>
        <v/>
      </c>
      <c r="K15" s="48" t="n"/>
    </row>
    <row r="16" ht="15" customHeight="1">
      <c r="A16" s="131" t="n">
        <v>4</v>
      </c>
      <c r="B16" s="83" t="n"/>
      <c r="C16" s="98" t="inlineStr">
        <is>
          <t>1-4-2</t>
        </is>
      </c>
      <c r="D16" s="132" t="inlineStr">
        <is>
          <t>Затраты труда рабочих (ср 4,2)</t>
        </is>
      </c>
      <c r="E16" s="131" t="inlineStr">
        <is>
          <t>чел.-ч</t>
        </is>
      </c>
      <c r="F16" s="131" t="n">
        <v>1.56</v>
      </c>
      <c r="G16" s="71" t="n">
        <v>9.92</v>
      </c>
      <c r="H16" s="71">
        <f>ROUND(F16*G16,2)</f>
        <v/>
      </c>
      <c r="K16" s="48" t="n"/>
    </row>
    <row r="17">
      <c r="A17" s="130" t="inlineStr">
        <is>
          <t>Затраты труда машинистов</t>
        </is>
      </c>
      <c r="B17" s="161" t="n"/>
      <c r="C17" s="161" t="n"/>
      <c r="D17" s="161" t="n"/>
      <c r="E17" s="162" t="n"/>
      <c r="F17" s="130" t="n">
        <v>2.3</v>
      </c>
      <c r="G17" s="67" t="n"/>
      <c r="H17" s="67">
        <f>H18</f>
        <v/>
      </c>
      <c r="K17" s="48" t="n"/>
    </row>
    <row r="18">
      <c r="A18" s="131" t="n">
        <v>5</v>
      </c>
      <c r="B18" s="84" t="n"/>
      <c r="C18" s="78" t="n">
        <v>2</v>
      </c>
      <c r="D18" s="132" t="inlineStr">
        <is>
          <t>Затраты труда машинистов</t>
        </is>
      </c>
      <c r="E18" s="131" t="inlineStr">
        <is>
          <t>чел.-ч</t>
        </is>
      </c>
      <c r="F18" s="131" t="n">
        <v>2.3</v>
      </c>
      <c r="G18" s="71" t="n"/>
      <c r="H18" s="71" t="n">
        <v>27.06</v>
      </c>
      <c r="K18" s="48" t="n"/>
    </row>
    <row r="19">
      <c r="A19" s="130" t="inlineStr">
        <is>
          <t>Машины и механизмы</t>
        </is>
      </c>
      <c r="B19" s="161" t="n"/>
      <c r="C19" s="161" t="n"/>
      <c r="D19" s="161" t="n"/>
      <c r="E19" s="162" t="n"/>
      <c r="F19" s="130" t="n"/>
      <c r="G19" s="67" t="n"/>
      <c r="H19" s="67">
        <f>SUM(H20:H25)</f>
        <v/>
      </c>
      <c r="I19" s="166" t="n"/>
      <c r="J19" s="166" t="n"/>
      <c r="K19" s="68" t="n"/>
    </row>
    <row r="20" ht="31.35" customHeight="1">
      <c r="A20" s="131" t="n">
        <v>6</v>
      </c>
      <c r="B20" s="84" t="n"/>
      <c r="C20" s="132" t="inlineStr">
        <is>
          <t>91.11.01-012</t>
        </is>
      </c>
      <c r="D20" s="132" t="inlineStr">
        <is>
          <t>Машины монтажные для выполнения работ при прокладке и монтаже кабеля на базе автомобиля</t>
        </is>
      </c>
      <c r="E20" s="131" t="inlineStr">
        <is>
          <t>маш.час</t>
        </is>
      </c>
      <c r="F20" s="131" t="n">
        <v>1.9</v>
      </c>
      <c r="G20" s="71" t="n">
        <v>110.86</v>
      </c>
      <c r="H20" s="71">
        <f>ROUND(F20*G20,2)</f>
        <v/>
      </c>
      <c r="I20" s="122" t="n"/>
      <c r="J20" s="122" t="n"/>
      <c r="K20" s="48" t="n"/>
    </row>
    <row r="21" ht="31.35" customHeight="1">
      <c r="A21" s="131" t="n">
        <v>7</v>
      </c>
      <c r="B21" s="84" t="n"/>
      <c r="C21" s="132" t="inlineStr">
        <is>
          <t>91.14.05-041</t>
        </is>
      </c>
      <c r="D21" s="132" t="inlineStr">
        <is>
          <t>Транспортеры прицепные кабельные, грузоподъемность до 7 т</t>
        </is>
      </c>
      <c r="E21" s="131" t="inlineStr">
        <is>
          <t>маш.час</t>
        </is>
      </c>
      <c r="F21" s="131" t="n">
        <v>2.204</v>
      </c>
      <c r="G21" s="71" t="n">
        <v>58.03</v>
      </c>
      <c r="H21" s="71">
        <f>ROUND(F21*G21,2)</f>
        <v/>
      </c>
      <c r="I21" s="122" t="n"/>
      <c r="J21" s="122" t="n"/>
      <c r="K21" s="68" t="n"/>
    </row>
    <row r="22" ht="31.35" customHeight="1">
      <c r="A22" s="131" t="n">
        <v>8</v>
      </c>
      <c r="B22" s="84" t="n"/>
      <c r="C22" s="132" t="inlineStr">
        <is>
          <t>91.05.05-015</t>
        </is>
      </c>
      <c r="D22" s="132" t="inlineStr">
        <is>
          <t>Краны на автомобильном ходу, грузоподъемность 16 т</t>
        </is>
      </c>
      <c r="E22" s="131" t="inlineStr">
        <is>
          <t>маш.час</t>
        </is>
      </c>
      <c r="F22" s="131" t="n">
        <v>0.2</v>
      </c>
      <c r="G22" s="71" t="n">
        <v>115.4</v>
      </c>
      <c r="H22" s="71">
        <f>ROUND(F22*G22,2)</f>
        <v/>
      </c>
      <c r="I22" s="122" t="n"/>
      <c r="J22" s="122" t="n"/>
      <c r="K22" s="48" t="n"/>
    </row>
    <row r="23">
      <c r="A23" s="131" t="n">
        <v>9</v>
      </c>
      <c r="B23" s="84" t="n"/>
      <c r="C23" s="132" t="inlineStr">
        <is>
          <t>91.14.02-001</t>
        </is>
      </c>
      <c r="D23" s="132" t="inlineStr">
        <is>
          <t>Автомобили бортовые, грузоподъемность до 5 т</t>
        </is>
      </c>
      <c r="E23" s="131" t="inlineStr">
        <is>
          <t>маш.час</t>
        </is>
      </c>
      <c r="F23" s="131" t="n">
        <v>0.2</v>
      </c>
      <c r="G23" s="71" t="n">
        <v>65.70999999999999</v>
      </c>
      <c r="H23" s="71">
        <f>ROUND(F23*G23,2)</f>
        <v/>
      </c>
      <c r="K23" s="48" t="n"/>
    </row>
    <row r="24" ht="31.35" customHeight="1">
      <c r="A24" s="131" t="n">
        <v>10</v>
      </c>
      <c r="B24" s="84" t="n"/>
      <c r="C24" s="132" t="inlineStr">
        <is>
          <t>91.06.03-061</t>
        </is>
      </c>
      <c r="D24" s="132" t="inlineStr">
        <is>
          <t>Лебедки электрические тяговым усилием до 12,26 кН (1,25 т)</t>
        </is>
      </c>
      <c r="E24" s="131" t="inlineStr">
        <is>
          <t>маш.час</t>
        </is>
      </c>
      <c r="F24" s="131" t="n">
        <v>2.32</v>
      </c>
      <c r="G24" s="71" t="n">
        <v>3.28</v>
      </c>
      <c r="H24" s="71">
        <f>ROUND(F24*G24,2)</f>
        <v/>
      </c>
      <c r="K24" s="48" t="n"/>
    </row>
    <row r="25" ht="31.35" customHeight="1">
      <c r="A25" s="131" t="n">
        <v>11</v>
      </c>
      <c r="B25" s="84" t="n"/>
      <c r="C25" s="132" t="inlineStr">
        <is>
          <t>91.06.01-003</t>
        </is>
      </c>
      <c r="D25" s="132" t="inlineStr">
        <is>
          <t>Домкраты гидравлические, грузоподъемность 63-100 т</t>
        </is>
      </c>
      <c r="E25" s="131" t="inlineStr">
        <is>
          <t>маш.час</t>
        </is>
      </c>
      <c r="F25" s="131" t="n">
        <v>2.2</v>
      </c>
      <c r="G25" s="71" t="n">
        <v>0.9</v>
      </c>
      <c r="H25" s="71">
        <f>ROUND(F25*G25,2)</f>
        <v/>
      </c>
      <c r="K25" s="48" t="n"/>
    </row>
    <row r="26">
      <c r="A26" s="130" t="inlineStr">
        <is>
          <t>Оборудование</t>
        </is>
      </c>
      <c r="B26" s="161" t="n"/>
      <c r="C26" s="161" t="n"/>
      <c r="D26" s="161" t="n"/>
      <c r="E26" s="162" t="n"/>
      <c r="F26" s="130" t="n"/>
      <c r="G26" s="67" t="n"/>
      <c r="H26" s="67">
        <f>SUM(H27:H30)</f>
        <v/>
      </c>
      <c r="I26" s="166" t="n"/>
      <c r="J26" s="166" t="n"/>
    </row>
    <row r="27" ht="62.45" customHeight="1">
      <c r="A27" s="131" t="n">
        <v>12</v>
      </c>
      <c r="B27" s="84" t="n"/>
      <c r="C27" s="132" t="inlineStr">
        <is>
          <t>Прайс из СД ОП</t>
        </is>
      </c>
      <c r="D27" s="132" t="inlineStr">
        <is>
          <t>Спутниковая антенна 1,8 м с малошумящим усилителем, с встроенным блоком преобразования частоты «вниз» и усилителем мощности</t>
        </is>
      </c>
      <c r="E27" s="131" t="inlineStr">
        <is>
          <t>шт</t>
        </is>
      </c>
      <c r="F27" s="131" t="n">
        <v>1</v>
      </c>
      <c r="G27" s="71" t="n">
        <v>32348.24</v>
      </c>
      <c r="H27" s="71">
        <f>ROUND(F27*G27,2)</f>
        <v/>
      </c>
    </row>
    <row r="28" ht="62.45" customHeight="1">
      <c r="A28" s="131" t="n">
        <v>13</v>
      </c>
      <c r="B28" s="84" t="n"/>
      <c r="C28" s="132" t="inlineStr">
        <is>
          <t>Прайс из СД ОП</t>
        </is>
      </c>
      <c r="D28" s="132" t="inlineStr">
        <is>
          <t>Спутниковый модем в минимальной комплектации:
- 2xFXO/FXS
- 1х10/100/1000Base-Tx</t>
        </is>
      </c>
      <c r="E28" s="131" t="inlineStr">
        <is>
          <t>шт</t>
        </is>
      </c>
      <c r="F28" s="131" t="n">
        <v>1</v>
      </c>
      <c r="G28" s="71" t="n">
        <v>213871.9</v>
      </c>
      <c r="H28" s="71">
        <f>ROUND(F28*G28,2)</f>
        <v/>
      </c>
      <c r="K28" s="48" t="n"/>
    </row>
    <row r="29" ht="78.2" customHeight="1">
      <c r="A29" s="131" t="n">
        <v>14</v>
      </c>
      <c r="B29" s="84" t="n"/>
      <c r="C29" s="132" t="inlineStr">
        <is>
          <t>Прайс из СД ОП</t>
        </is>
      </c>
      <c r="D29" s="132" t="inlineStr">
        <is>
          <t>Голосовой шлюз:
- 4 порта FXS, 
- 1 порт 10/100BASE-T (LAN), 
- 1 порт 10/100BASE-T (WAN),
- внешний БП (12В), 100-240В AC</t>
        </is>
      </c>
      <c r="E29" s="131" t="inlineStr">
        <is>
          <t>шт</t>
        </is>
      </c>
      <c r="F29" s="131" t="n">
        <v>1</v>
      </c>
      <c r="G29" s="71" t="n">
        <v>25159.74</v>
      </c>
      <c r="H29" s="71">
        <f>ROUND(F29*G29,2)</f>
        <v/>
      </c>
      <c r="I29" s="82" t="n"/>
      <c r="K29" s="48" t="n"/>
    </row>
    <row r="30" ht="31.35" customHeight="1">
      <c r="A30" s="131" t="n">
        <v>15</v>
      </c>
      <c r="B30" s="84" t="n"/>
      <c r="C30" s="132" t="inlineStr">
        <is>
          <t>Прайс из СД ОП</t>
        </is>
      </c>
      <c r="D30" s="132" t="inlineStr">
        <is>
          <t>Маршрутизатор: 
5х 10/100 Mbit/s Fast Ethernet</t>
        </is>
      </c>
      <c r="E30" s="131" t="inlineStr">
        <is>
          <t>шт</t>
        </is>
      </c>
      <c r="F30" s="131" t="n">
        <v>1</v>
      </c>
      <c r="G30" s="71" t="n">
        <v>86261.99000000001</v>
      </c>
      <c r="H30" s="71">
        <f>ROUND(F30*G30,2)</f>
        <v/>
      </c>
    </row>
    <row r="31">
      <c r="A31" s="130" t="inlineStr">
        <is>
          <t>Материалы</t>
        </is>
      </c>
      <c r="B31" s="161" t="n"/>
      <c r="C31" s="161" t="n"/>
      <c r="D31" s="161" t="n"/>
      <c r="E31" s="162" t="n"/>
      <c r="F31" s="130" t="n"/>
      <c r="G31" s="67" t="n"/>
      <c r="H31" s="67">
        <f>SUM(H32:H49)</f>
        <v/>
      </c>
      <c r="I31" s="166" t="n"/>
      <c r="J31" s="166" t="n"/>
      <c r="K31" s="48" t="n"/>
    </row>
    <row r="32">
      <c r="A32" s="131" t="n">
        <v>16</v>
      </c>
      <c r="B32" s="85" t="n"/>
      <c r="C32" s="132" t="inlineStr">
        <is>
          <t>21.1.03.01-0002</t>
        </is>
      </c>
      <c r="D32" s="132" t="inlineStr">
        <is>
          <t>Кабели коаксиальные магистральные RG 11</t>
        </is>
      </c>
      <c r="E32" s="131" t="inlineStr">
        <is>
          <t>1000 м</t>
        </is>
      </c>
      <c r="F32" s="131" t="n">
        <v>0.306</v>
      </c>
      <c r="G32" s="71" t="n">
        <v>4073.05</v>
      </c>
      <c r="H32" s="71">
        <f>ROUND(F32*G32,2)</f>
        <v/>
      </c>
      <c r="I32" s="166" t="n"/>
      <c r="J32" s="166" t="n"/>
      <c r="K32" s="166" t="n"/>
    </row>
    <row r="33">
      <c r="A33" s="131" t="n">
        <v>17</v>
      </c>
      <c r="B33" s="85" t="n"/>
      <c r="C33" s="132" t="inlineStr">
        <is>
          <t>01.3.01.02-0002</t>
        </is>
      </c>
      <c r="D33" s="132" t="inlineStr">
        <is>
          <t>Вазелин технический</t>
        </is>
      </c>
      <c r="E33" s="131" t="inlineStr">
        <is>
          <t>кг</t>
        </is>
      </c>
      <c r="F33" s="131" t="n">
        <v>6</v>
      </c>
      <c r="G33" s="71" t="n">
        <v>44.97</v>
      </c>
      <c r="H33" s="71">
        <f>ROUND(F33*G33,2)</f>
        <v/>
      </c>
    </row>
    <row r="34" ht="31.35" customHeight="1">
      <c r="A34" s="131" t="n">
        <v>18</v>
      </c>
      <c r="B34" s="85" t="n"/>
      <c r="C34" s="132" t="inlineStr">
        <is>
          <t>22.2.02.06-0001</t>
        </is>
      </c>
      <c r="D34" s="132" t="inlineStr">
        <is>
          <t>Консоли для кабельных колодцев и шахт связи ККч-1</t>
        </is>
      </c>
      <c r="E34" s="131" t="inlineStr">
        <is>
          <t>100 шт</t>
        </is>
      </c>
      <c r="F34" s="131" t="n">
        <v>0.056</v>
      </c>
      <c r="G34" s="71" t="n">
        <v>1442.45</v>
      </c>
      <c r="H34" s="71">
        <f>ROUND(F34*G34,2)</f>
        <v/>
      </c>
    </row>
    <row r="35" ht="31.35" customHeight="1">
      <c r="A35" s="131" t="n">
        <v>19</v>
      </c>
      <c r="B35" s="85" t="n"/>
      <c r="C35" s="132" t="inlineStr">
        <is>
          <t>08.3.03.05-0017</t>
        </is>
      </c>
      <c r="D35" s="132" t="inlineStr">
        <is>
          <t>Проволока стальная низкоуглеродистая разного назначения оцинкованная, диаметр 3,0 мм</t>
        </is>
      </c>
      <c r="E35" s="131" t="inlineStr">
        <is>
          <t>т</t>
        </is>
      </c>
      <c r="F35" s="131" t="n">
        <v>0.002</v>
      </c>
      <c r="G35" s="71" t="n">
        <v>12242</v>
      </c>
      <c r="H35" s="71">
        <f>ROUND(F35*G35,2)</f>
        <v/>
      </c>
    </row>
    <row r="36" ht="15" customHeight="1">
      <c r="A36" s="131" t="n">
        <v>20</v>
      </c>
      <c r="B36" s="85" t="n"/>
      <c r="C36" s="132" t="inlineStr">
        <is>
          <t>10.3.02.03-0011</t>
        </is>
      </c>
      <c r="D36" s="132" t="inlineStr">
        <is>
          <t>Припои оловянно-свинцовые бессурьмянистые, марка ПОС30</t>
        </is>
      </c>
      <c r="E36" s="131" t="inlineStr">
        <is>
          <t>т</t>
        </is>
      </c>
      <c r="F36" s="131" t="n">
        <v>0.000272</v>
      </c>
      <c r="G36" s="71" t="n">
        <v>68050</v>
      </c>
      <c r="H36" s="71">
        <f>ROUND(F36*G36,2)</f>
        <v/>
      </c>
    </row>
    <row r="37" ht="31.35" customHeight="1">
      <c r="A37" s="131" t="n">
        <v>21</v>
      </c>
      <c r="B37" s="85" t="n"/>
      <c r="C37" s="132" t="inlineStr">
        <is>
          <t>999-9950</t>
        </is>
      </c>
      <c r="D37" s="132" t="inlineStr">
        <is>
          <t>Вспомогательные ненормируемые ресурсы (2% от Оплаты труда рабочих)</t>
        </is>
      </c>
      <c r="E37" s="131" t="inlineStr">
        <is>
          <t>руб</t>
        </is>
      </c>
      <c r="F37" s="131" t="n">
        <v>8.949999999999999</v>
      </c>
      <c r="G37" s="71" t="n">
        <v>1</v>
      </c>
      <c r="H37" s="71">
        <f>ROUND(F37*G37,2)</f>
        <v/>
      </c>
    </row>
    <row r="38">
      <c r="A38" s="131" t="n">
        <v>22</v>
      </c>
      <c r="B38" s="85" t="n"/>
      <c r="C38" s="132" t="inlineStr">
        <is>
          <t>14.4.03.03-0002</t>
        </is>
      </c>
      <c r="D38" s="132" t="inlineStr">
        <is>
          <t>Лак битумный БТ-123</t>
        </is>
      </c>
      <c r="E38" s="131" t="inlineStr">
        <is>
          <t>т</t>
        </is>
      </c>
      <c r="F38" s="131" t="n">
        <v>0.00072</v>
      </c>
      <c r="G38" s="71" t="n">
        <v>7826.9</v>
      </c>
      <c r="H38" s="71">
        <f>ROUND(F38*G38,2)</f>
        <v/>
      </c>
    </row>
    <row r="39" ht="15" customHeight="1">
      <c r="A39" s="131" t="n">
        <v>23</v>
      </c>
      <c r="B39" s="85" t="n"/>
      <c r="C39" s="132" t="inlineStr">
        <is>
          <t>14.5.05.02-0001</t>
        </is>
      </c>
      <c r="D39" s="132" t="inlineStr">
        <is>
          <t>Олифа натуральная</t>
        </is>
      </c>
      <c r="E39" s="131" t="inlineStr">
        <is>
          <t>кг</t>
        </is>
      </c>
      <c r="F39" s="131" t="n">
        <v>0.14</v>
      </c>
      <c r="G39" s="71" t="n">
        <v>32.6</v>
      </c>
      <c r="H39" s="71">
        <f>ROUND(F39*G39,2)</f>
        <v/>
      </c>
    </row>
    <row r="40" ht="31.35" customHeight="1">
      <c r="A40" s="131" t="n">
        <v>24</v>
      </c>
      <c r="B40" s="85" t="n"/>
      <c r="C40" s="132" t="inlineStr">
        <is>
          <t>01.7.15.03-0031</t>
        </is>
      </c>
      <c r="D40" s="132" t="inlineStr">
        <is>
          <t>Болты с гайками и шайбами оцинкованные, диаметр 6 мм</t>
        </is>
      </c>
      <c r="E40" s="131" t="inlineStr">
        <is>
          <t>кг</t>
        </is>
      </c>
      <c r="F40" s="131" t="n">
        <v>0.105</v>
      </c>
      <c r="G40" s="71" t="n">
        <v>28.22</v>
      </c>
      <c r="H40" s="71">
        <f>ROUND(F40*G40,2)</f>
        <v/>
      </c>
    </row>
    <row r="41">
      <c r="A41" s="131" t="n">
        <v>25</v>
      </c>
      <c r="B41" s="85" t="n"/>
      <c r="C41" s="132" t="inlineStr">
        <is>
          <t>14.5.02.01-0002</t>
        </is>
      </c>
      <c r="D41" s="132" t="inlineStr">
        <is>
          <t>Замазка уплотнительная</t>
        </is>
      </c>
      <c r="E41" s="131" t="inlineStr">
        <is>
          <t>кг</t>
        </is>
      </c>
      <c r="F41" s="131" t="n">
        <v>0.14</v>
      </c>
      <c r="G41" s="71" t="n">
        <v>18.32</v>
      </c>
      <c r="H41" s="71">
        <f>ROUND(F41*G41,2)</f>
        <v/>
      </c>
    </row>
    <row r="42" ht="46.9" customHeight="1">
      <c r="A42" s="131" t="n">
        <v>26</v>
      </c>
      <c r="B42" s="85" t="n"/>
      <c r="C42" s="132" t="inlineStr">
        <is>
          <t>01.7.06.05-0042</t>
        </is>
      </c>
      <c r="D42" s="132" t="inlineStr">
        <is>
          <t>Лента липкая изоляционная на поликасиновом компаунде, ширина 20-30 мм, толщина от 0,14 до 0,19 мм</t>
        </is>
      </c>
      <c r="E42" s="131" t="inlineStr">
        <is>
          <t>кг</t>
        </is>
      </c>
      <c r="F42" s="131" t="n">
        <v>0.028</v>
      </c>
      <c r="G42" s="71" t="n">
        <v>91.29000000000001</v>
      </c>
      <c r="H42" s="71">
        <f>ROUND(F42*G42,2)</f>
        <v/>
      </c>
    </row>
    <row r="43">
      <c r="A43" s="131" t="n">
        <v>27</v>
      </c>
      <c r="B43" s="85" t="n"/>
      <c r="C43" s="132" t="inlineStr">
        <is>
          <t>01.7.06.07-0002</t>
        </is>
      </c>
      <c r="D43" s="132" t="inlineStr">
        <is>
          <t>Лента монтажная, тип ЛМ-5</t>
        </is>
      </c>
      <c r="E43" s="131" t="inlineStr">
        <is>
          <t>10 м</t>
        </is>
      </c>
      <c r="F43" s="131" t="n">
        <v>0.245</v>
      </c>
      <c r="G43" s="71" t="n">
        <v>6.9</v>
      </c>
      <c r="H43" s="71">
        <f>ROUND(F43*G43,2)</f>
        <v/>
      </c>
    </row>
    <row r="44">
      <c r="A44" s="131" t="n">
        <v>28</v>
      </c>
      <c r="B44" s="85" t="n"/>
      <c r="C44" s="132" t="inlineStr">
        <is>
          <t>01.7.15.14-0165</t>
        </is>
      </c>
      <c r="D44" s="132" t="inlineStr">
        <is>
          <t>Шурупы с полукруглой головкой 4х40 мм</t>
        </is>
      </c>
      <c r="E44" s="131" t="inlineStr">
        <is>
          <t>т</t>
        </is>
      </c>
      <c r="F44" s="131" t="n">
        <v>0.00011</v>
      </c>
      <c r="G44" s="71" t="n">
        <v>12430</v>
      </c>
      <c r="H44" s="71">
        <f>ROUND(F44*G44,2)</f>
        <v/>
      </c>
    </row>
    <row r="45" ht="31.35" customHeight="1">
      <c r="A45" s="131" t="n">
        <v>29</v>
      </c>
      <c r="B45" s="85" t="n"/>
      <c r="C45" s="132" t="inlineStr">
        <is>
          <t>14.4.02.04-0142</t>
        </is>
      </c>
      <c r="D45" s="132" t="inlineStr">
        <is>
          <t>Краска масляная земляная МА-0115, мумия, сурик железный</t>
        </is>
      </c>
      <c r="E45" s="131" t="inlineStr">
        <is>
          <t>кг</t>
        </is>
      </c>
      <c r="F45" s="131" t="n">
        <v>0.06</v>
      </c>
      <c r="G45" s="71" t="n">
        <v>15.12</v>
      </c>
      <c r="H45" s="71">
        <f>ROUND(F45*G45,2)</f>
        <v/>
      </c>
    </row>
    <row r="46">
      <c r="A46" s="131" t="n">
        <v>30</v>
      </c>
      <c r="B46" s="85" t="n"/>
      <c r="C46" s="132" t="inlineStr">
        <is>
          <t>01.7.07.29-0111</t>
        </is>
      </c>
      <c r="D46" s="132" t="inlineStr">
        <is>
          <t>Пакля пропитанная</t>
        </is>
      </c>
      <c r="E46" s="131" t="inlineStr">
        <is>
          <t>кг</t>
        </is>
      </c>
      <c r="F46" s="131" t="n">
        <v>0.066</v>
      </c>
      <c r="G46" s="71" t="n">
        <v>9.039999999999999</v>
      </c>
      <c r="H46" s="71">
        <f>ROUND(F46*G46,2)</f>
        <v/>
      </c>
    </row>
    <row r="47">
      <c r="A47" s="131" t="n">
        <v>31</v>
      </c>
      <c r="B47" s="85" t="n"/>
      <c r="C47" s="132" t="inlineStr">
        <is>
          <t>01.7.20.04-0003</t>
        </is>
      </c>
      <c r="D47" s="132" t="inlineStr">
        <is>
          <t>Нитки суровые</t>
        </is>
      </c>
      <c r="E47" s="131" t="inlineStr">
        <is>
          <t>кг</t>
        </is>
      </c>
      <c r="F47" s="131" t="n">
        <v>0.0032</v>
      </c>
      <c r="G47" s="71" t="n">
        <v>155</v>
      </c>
      <c r="H47" s="71">
        <f>ROUND(F47*G47,2)</f>
        <v/>
      </c>
    </row>
    <row r="48" ht="46.9" customHeight="1">
      <c r="A48" s="131" t="n">
        <v>32</v>
      </c>
      <c r="B48" s="85" t="n"/>
      <c r="C48" s="132" t="inlineStr">
        <is>
          <t>01.7.06.05-0041</t>
        </is>
      </c>
      <c r="D48" s="132" t="inlineStr">
        <is>
          <t>Лента изоляционная прорезиненная односторонняя, ширина 20 мм, толщина 0,25-0,35 мм</t>
        </is>
      </c>
      <c r="E48" s="131" t="inlineStr">
        <is>
          <t>кг</t>
        </is>
      </c>
      <c r="F48" s="131" t="n">
        <v>0.007</v>
      </c>
      <c r="G48" s="71" t="n">
        <v>30.4</v>
      </c>
      <c r="H48" s="71">
        <f>ROUND(F48*G48,2)</f>
        <v/>
      </c>
    </row>
    <row r="49">
      <c r="A49" s="131" t="n">
        <v>33</v>
      </c>
      <c r="B49" s="85" t="n"/>
      <c r="C49" s="132" t="inlineStr">
        <is>
          <t>01.7.19.11-0012</t>
        </is>
      </c>
      <c r="D49" s="132" t="inlineStr">
        <is>
          <t>Трубка резиновая техническая</t>
        </is>
      </c>
      <c r="E49" s="131" t="inlineStr">
        <is>
          <t>кг</t>
        </is>
      </c>
      <c r="F49" s="131" t="n">
        <v>0.004</v>
      </c>
      <c r="G49" s="71" t="n">
        <v>51.38</v>
      </c>
      <c r="H49" s="71">
        <f>ROUND(F49*G49,2)</f>
        <v/>
      </c>
    </row>
    <row r="50">
      <c r="J50" s="80" t="n"/>
    </row>
    <row r="52">
      <c r="B52" s="48" t="inlineStr">
        <is>
          <t>Составил ______________________        Е.А. Князева</t>
        </is>
      </c>
    </row>
    <row r="53">
      <c r="B53" s="100" t="inlineStr">
        <is>
          <t xml:space="preserve">                         (подпись, инициалы, фамилия)</t>
        </is>
      </c>
    </row>
    <row r="55">
      <c r="B55" s="48" t="inlineStr">
        <is>
          <t>Проверил ______________________        А.В. Костянецкая</t>
        </is>
      </c>
    </row>
    <row r="56">
      <c r="B56" s="10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26:E26"/>
    <mergeCell ref="A9:A10"/>
    <mergeCell ref="A17:E17"/>
    <mergeCell ref="A2:H2"/>
    <mergeCell ref="A19:E19"/>
    <mergeCell ref="A5:H5"/>
    <mergeCell ref="G9:H9"/>
    <mergeCell ref="A31:E31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2.85546875" customWidth="1" min="7" max="7"/>
    <col width="13.5703125" customWidth="1" min="12" max="12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56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33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>
      <c r="B7" s="134">
        <f>'Прил.1 Сравнит табл'!B7</f>
        <v/>
      </c>
    </row>
    <row r="8">
      <c r="B8" s="135">
        <f>'Прил.1 Сравнит табл'!B9</f>
        <v/>
      </c>
    </row>
    <row r="9">
      <c r="B9" s="16" t="n"/>
      <c r="C9" s="6" t="n"/>
      <c r="D9" s="6" t="n"/>
      <c r="E9" s="6" t="n"/>
    </row>
    <row r="10" ht="51.6" customHeight="1">
      <c r="B10" s="137" t="inlineStr">
        <is>
          <t>Наименование</t>
        </is>
      </c>
      <c r="C10" s="137" t="inlineStr">
        <is>
          <t>Сметная стоимость в ценах на 01.01.2023
 (руб.)</t>
        </is>
      </c>
      <c r="D10" s="137" t="inlineStr">
        <is>
          <t>Удельный вес, 
(в СМР)</t>
        </is>
      </c>
      <c r="E10" s="13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ОБ'!J59</f>
        <v/>
      </c>
      <c r="D17" s="26">
        <f>C17/$C$24</f>
        <v/>
      </c>
      <c r="E17" s="26">
        <f>C17/$C$40</f>
        <v/>
      </c>
      <c r="G17" s="167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ОБ'!E63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ОБ'!E62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9" customHeight="1">
      <c r="B25" s="7" t="inlineStr">
        <is>
          <t>ВСЕГО стоимость оборудования, в том числе</t>
        </is>
      </c>
      <c r="C25" s="27">
        <f>'Прил.5 Расчет СМР и ОБ'!J36</f>
        <v/>
      </c>
      <c r="D25" s="26" t="n"/>
      <c r="E25" s="26">
        <f>C25/$C$40</f>
        <v/>
      </c>
    </row>
    <row r="26" ht="25.9" customHeight="1">
      <c r="B26" s="7" t="inlineStr">
        <is>
          <t>стоимость оборудования технологического</t>
        </is>
      </c>
      <c r="C26" s="27">
        <f>'Прил.5 Расчет СМР и ОБ'!J37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- 2,5%</t>
        </is>
      </c>
      <c r="C29" s="25">
        <f>ROUND(C24*2.5%,2)</f>
        <v/>
      </c>
      <c r="D29" s="7" t="n"/>
      <c r="E29" s="26">
        <f>C29/$C$40</f>
        <v/>
      </c>
    </row>
    <row r="30" ht="38.8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>
        <f>31380.3*3</f>
        <v/>
      </c>
      <c r="D31" s="7" t="n"/>
      <c r="E31" s="26">
        <f>C31/$C$40</f>
        <v/>
      </c>
    </row>
    <row r="32" ht="25.9" customHeight="1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9" customHeight="1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.6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7.4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9" customHeight="1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85" customHeight="1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7" customHeight="1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ОБ'!E66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73"/>
  <sheetViews>
    <sheetView view="pageBreakPreview" topLeftCell="A26" workbookViewId="0">
      <selection activeCell="B69" sqref="B69"/>
    </sheetView>
  </sheetViews>
  <sheetFormatPr baseColWidth="8" defaultColWidth="9.140625" defaultRowHeight="15" outlineLevelRow="1"/>
  <cols>
    <col width="5.7109375" customWidth="1" style="1" min="1" max="1"/>
    <col width="20.285156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6" customHeight="1">
      <c r="I2" s="48" t="n"/>
      <c r="J2" s="47" t="inlineStr">
        <is>
          <t>Приложение №5</t>
        </is>
      </c>
    </row>
    <row r="4" ht="13.7" customFormat="1" customHeight="1" s="6">
      <c r="A4" s="133" t="inlineStr">
        <is>
          <t>Расчет стоимости СМР и оборудования</t>
        </is>
      </c>
      <c r="I4" s="133" t="n"/>
      <c r="J4" s="133" t="n"/>
    </row>
    <row r="5" ht="13.7" customFormat="1" customHeight="1" s="6">
      <c r="A5" s="133" t="n"/>
      <c r="B5" s="133" t="n"/>
      <c r="C5" s="133" t="n"/>
      <c r="D5" s="133" t="n"/>
      <c r="E5" s="133" t="n"/>
      <c r="F5" s="133" t="n"/>
      <c r="G5" s="133" t="n"/>
      <c r="H5" s="133" t="n"/>
      <c r="I5" s="133" t="n"/>
      <c r="J5" s="133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47" t="inlineStr">
        <is>
          <t>Спутниковая связь. Терминал спутниковой связи. Спутниковый терминал низкоскоростной передачи данных, с мощностью передачи до 5 Вт, 1 терминал</t>
        </is>
      </c>
    </row>
    <row r="7" ht="12.95" customFormat="1" customHeight="1" s="6">
      <c r="A7" s="147">
        <f>'Прил.1 Сравнит табл'!B9</f>
        <v/>
      </c>
      <c r="I7" s="134" t="n"/>
      <c r="J7" s="134" t="n"/>
    </row>
    <row r="8" ht="12.95" customFormat="1" customHeight="1" s="6"/>
    <row r="9" ht="27" customHeight="1">
      <c r="A9" s="137" t="inlineStr">
        <is>
          <t>№ пп.</t>
        </is>
      </c>
      <c r="B9" s="137" t="inlineStr">
        <is>
          <t>Код ресурса</t>
        </is>
      </c>
      <c r="C9" s="137" t="inlineStr">
        <is>
          <t>Наименование</t>
        </is>
      </c>
      <c r="D9" s="137" t="inlineStr">
        <is>
          <t>Ед. изм.</t>
        </is>
      </c>
      <c r="E9" s="137" t="inlineStr">
        <is>
          <t>Кол-во единиц по проектным данным</t>
        </is>
      </c>
      <c r="F9" s="137" t="inlineStr">
        <is>
          <t>Сметная стоимость в ценах на 01.01.2000 (руб.)</t>
        </is>
      </c>
      <c r="G9" s="162" t="n"/>
      <c r="H9" s="137" t="inlineStr">
        <is>
          <t>Удельный вес, %</t>
        </is>
      </c>
      <c r="I9" s="137" t="inlineStr">
        <is>
          <t>Сметная стоимость в ценах на 01.01.2023 (руб.)</t>
        </is>
      </c>
      <c r="J9" s="162" t="n"/>
    </row>
    <row r="10" ht="28.5" customHeight="1">
      <c r="A10" s="164" t="n"/>
      <c r="B10" s="164" t="n"/>
      <c r="C10" s="164" t="n"/>
      <c r="D10" s="164" t="n"/>
      <c r="E10" s="164" t="n"/>
      <c r="F10" s="137" t="inlineStr">
        <is>
          <t>на ед. изм.</t>
        </is>
      </c>
      <c r="G10" s="137" t="inlineStr">
        <is>
          <t>общая</t>
        </is>
      </c>
      <c r="H10" s="164" t="n"/>
      <c r="I10" s="137" t="inlineStr">
        <is>
          <t>на ед. изм.</t>
        </is>
      </c>
      <c r="J10" s="137" t="inlineStr">
        <is>
          <t>общая</t>
        </is>
      </c>
    </row>
    <row r="11">
      <c r="A11" s="137" t="n">
        <v>1</v>
      </c>
      <c r="B11" s="137" t="n">
        <v>2</v>
      </c>
      <c r="C11" s="137" t="n">
        <v>3</v>
      </c>
      <c r="D11" s="137" t="n">
        <v>4</v>
      </c>
      <c r="E11" s="137" t="n">
        <v>5</v>
      </c>
      <c r="F11" s="137" t="n">
        <v>6</v>
      </c>
      <c r="G11" s="137" t="n">
        <v>7</v>
      </c>
      <c r="H11" s="137" t="n">
        <v>8</v>
      </c>
      <c r="I11" s="137" t="n">
        <v>9</v>
      </c>
      <c r="J11" s="137" t="n">
        <v>10</v>
      </c>
      <c r="L11" s="44" t="n"/>
    </row>
    <row r="12">
      <c r="A12" s="137" t="n"/>
      <c r="B12" s="148" t="inlineStr">
        <is>
          <t>Затраты труда рабочих-строителей</t>
        </is>
      </c>
      <c r="C12" s="161" t="n"/>
      <c r="D12" s="161" t="n"/>
      <c r="E12" s="161" t="n"/>
      <c r="F12" s="161" t="n"/>
      <c r="G12" s="161" t="n"/>
      <c r="H12" s="162" t="n"/>
      <c r="I12" s="30" t="n"/>
      <c r="J12" s="30" t="n"/>
      <c r="L12" s="168" t="n"/>
    </row>
    <row r="13" ht="25.9" customHeight="1">
      <c r="A13" s="137" t="n">
        <v>1</v>
      </c>
      <c r="B13" s="34" t="inlineStr">
        <is>
          <t>1-3-8</t>
        </is>
      </c>
      <c r="C13" s="136" t="inlineStr">
        <is>
          <t>Затраты труда рабочих-строителей среднего разряда (3,8)</t>
        </is>
      </c>
      <c r="D13" s="137" t="inlineStr">
        <is>
          <t>чел.-ч.</t>
        </is>
      </c>
      <c r="E13" s="169">
        <f>G13/F13</f>
        <v/>
      </c>
      <c r="F13" s="14" t="n">
        <v>9.4</v>
      </c>
      <c r="G13" s="14" t="n">
        <v>448.25</v>
      </c>
      <c r="H13" s="149">
        <f>G13/$G$14</f>
        <v/>
      </c>
      <c r="I13" s="14">
        <f>ФОТр.тек.!E13</f>
        <v/>
      </c>
      <c r="J13" s="14">
        <f>ROUND(I13*E13,2)</f>
        <v/>
      </c>
    </row>
    <row r="14" ht="27.2" customFormat="1" customHeight="1" s="1">
      <c r="A14" s="137" t="n"/>
      <c r="B14" s="137" t="n"/>
      <c r="C14" s="148" t="inlineStr">
        <is>
          <t>Итого по разделу "Затраты труда рабочих-строителей"</t>
        </is>
      </c>
      <c r="D14" s="137" t="inlineStr">
        <is>
          <t>чел.-ч.</t>
        </is>
      </c>
      <c r="E14" s="169">
        <f>SUM(E13:E13)</f>
        <v/>
      </c>
      <c r="F14" s="14" t="n"/>
      <c r="G14" s="14">
        <f>SUM(G13:G13)</f>
        <v/>
      </c>
      <c r="H14" s="149" t="n">
        <v>1</v>
      </c>
      <c r="I14" s="14" t="n"/>
      <c r="J14" s="14">
        <f>SUM(J13:J13)</f>
        <v/>
      </c>
      <c r="L14" s="51" t="n"/>
    </row>
    <row r="15" ht="13.7" customFormat="1" customHeight="1" s="1">
      <c r="A15" s="137" t="n"/>
      <c r="B15" s="136" t="inlineStr">
        <is>
          <t>Затраты труда машинистов</t>
        </is>
      </c>
      <c r="C15" s="161" t="n"/>
      <c r="D15" s="161" t="n"/>
      <c r="E15" s="161" t="n"/>
      <c r="F15" s="161" t="n"/>
      <c r="G15" s="161" t="n"/>
      <c r="H15" s="162" t="n"/>
      <c r="I15" s="30" t="n"/>
      <c r="J15" s="30" t="n"/>
      <c r="L15" s="168" t="n"/>
    </row>
    <row r="16" ht="13.7" customFormat="1" customHeight="1" s="1">
      <c r="A16" s="137" t="n">
        <v>2</v>
      </c>
      <c r="B16" s="137" t="n">
        <v>2</v>
      </c>
      <c r="C16" s="136" t="inlineStr">
        <is>
          <t>Затраты труда машинистов</t>
        </is>
      </c>
      <c r="D16" s="137" t="inlineStr">
        <is>
          <t>чел.-ч.</t>
        </is>
      </c>
      <c r="E16" s="169">
        <f>Прил.3!F18</f>
        <v/>
      </c>
      <c r="F16" s="14">
        <f>G16/E16</f>
        <v/>
      </c>
      <c r="G16" s="14" t="n">
        <v>27.06</v>
      </c>
      <c r="H16" s="149" t="n">
        <v>1</v>
      </c>
      <c r="I16" s="14">
        <f>ROUND(F16*Прил.10!D10,2)</f>
        <v/>
      </c>
      <c r="J16" s="14">
        <f>ROUND(I16*E16,2)</f>
        <v/>
      </c>
      <c r="L16" s="44" t="n"/>
    </row>
    <row r="17" ht="13.7" customFormat="1" customHeight="1" s="1">
      <c r="A17" s="137" t="n"/>
      <c r="B17" s="148" t="inlineStr">
        <is>
          <t>Машины и механизмы</t>
        </is>
      </c>
      <c r="C17" s="161" t="n"/>
      <c r="D17" s="161" t="n"/>
      <c r="E17" s="161" t="n"/>
      <c r="F17" s="161" t="n"/>
      <c r="G17" s="161" t="n"/>
      <c r="H17" s="162" t="n"/>
      <c r="I17" s="149" t="n"/>
      <c r="J17" s="149" t="n"/>
    </row>
    <row r="18" ht="13.7" customFormat="1" customHeight="1" s="1">
      <c r="A18" s="137" t="n"/>
      <c r="B18" s="136" t="inlineStr">
        <is>
          <t>Основные машины и механизмы</t>
        </is>
      </c>
      <c r="C18" s="161" t="n"/>
      <c r="D18" s="161" t="n"/>
      <c r="E18" s="161" t="n"/>
      <c r="F18" s="161" t="n"/>
      <c r="G18" s="161" t="n"/>
      <c r="H18" s="162" t="n"/>
      <c r="I18" s="30" t="n"/>
      <c r="J18" s="30" t="n"/>
    </row>
    <row r="19" ht="38.85" customFormat="1" customHeight="1" s="1">
      <c r="A19" s="137" t="n">
        <v>3</v>
      </c>
      <c r="B19" s="34" t="inlineStr">
        <is>
          <t>91.11.01-012</t>
        </is>
      </c>
      <c r="C19" s="136" t="inlineStr">
        <is>
          <t>Машины монтажные для выполнения работ при прокладке и монтаже кабеля на базе автомобиля</t>
        </is>
      </c>
      <c r="D19" s="137" t="inlineStr">
        <is>
          <t>маш.час</t>
        </is>
      </c>
      <c r="E19" s="169" t="n">
        <v>1.9</v>
      </c>
      <c r="F19" s="155" t="n">
        <v>110.86</v>
      </c>
      <c r="G19" s="14">
        <f>ROUND(E19*F19,2)</f>
        <v/>
      </c>
      <c r="H19" s="149">
        <f>G19/$G$27</f>
        <v/>
      </c>
      <c r="I19" s="14">
        <f>ROUND(F19*Прил.10!$D$11,2)</f>
        <v/>
      </c>
      <c r="J19" s="14">
        <f>ROUND(I19*E19,2)</f>
        <v/>
      </c>
    </row>
    <row r="20" ht="25.9" customFormat="1" customHeight="1" s="1">
      <c r="A20" s="137" t="n">
        <v>4</v>
      </c>
      <c r="B20" s="34" t="inlineStr">
        <is>
          <t>91.14.05-041</t>
        </is>
      </c>
      <c r="C20" s="136" t="inlineStr">
        <is>
          <t>Транспортеры прицепные кабельные, грузоподъемность до 7 т</t>
        </is>
      </c>
      <c r="D20" s="137" t="inlineStr">
        <is>
          <t>маш.час</t>
        </is>
      </c>
      <c r="E20" s="169" t="n">
        <v>2.204</v>
      </c>
      <c r="F20" s="155" t="n">
        <v>58.03</v>
      </c>
      <c r="G20" s="14">
        <f>ROUND(E20*F20,2)</f>
        <v/>
      </c>
      <c r="H20" s="149">
        <f>G20/$G$27</f>
        <v/>
      </c>
      <c r="I20" s="14">
        <f>ROUND(F20*Прил.10!$D$11,2)</f>
        <v/>
      </c>
      <c r="J20" s="14">
        <f>ROUND(I20*E20,2)</f>
        <v/>
      </c>
    </row>
    <row r="21" ht="13.7" customFormat="1" customHeight="1" s="1">
      <c r="B21" s="137" t="n"/>
      <c r="C21" s="136" t="inlineStr">
        <is>
          <t>Итого основные машины и механизмы</t>
        </is>
      </c>
      <c r="D21" s="137" t="n"/>
      <c r="E21" s="170" t="n"/>
      <c r="F21" s="14" t="n"/>
      <c r="G21" s="14">
        <f>SUM(G19:G20)</f>
        <v/>
      </c>
      <c r="H21" s="149">
        <f>G21/G27</f>
        <v/>
      </c>
      <c r="I21" s="14" t="n"/>
      <c r="J21" s="14">
        <f>SUM(J19:J20)</f>
        <v/>
      </c>
      <c r="L21" s="168" t="n"/>
    </row>
    <row r="22" hidden="1" outlineLevel="1" ht="25.9" customFormat="1" customHeight="1" s="1">
      <c r="A22" s="137" t="n">
        <v>5</v>
      </c>
      <c r="B22" s="34" t="inlineStr">
        <is>
          <t>91.05.05-015</t>
        </is>
      </c>
      <c r="C22" s="136" t="inlineStr">
        <is>
          <t>Краны на автомобильном ходу, грузоподъемность 16 т</t>
        </is>
      </c>
      <c r="D22" s="137" t="inlineStr">
        <is>
          <t>маш.час</t>
        </is>
      </c>
      <c r="E22" s="169" t="n">
        <v>0.2</v>
      </c>
      <c r="F22" s="155" t="n">
        <v>115.4</v>
      </c>
      <c r="G22" s="14">
        <f>ROUND(E22*F22,2)</f>
        <v/>
      </c>
      <c r="H22" s="149">
        <f>G22/$G$27</f>
        <v/>
      </c>
      <c r="I22" s="14">
        <f>ROUND(F22*Прил.10!$D$11,2)</f>
        <v/>
      </c>
      <c r="J22" s="14">
        <f>ROUND(I22*E22,2)</f>
        <v/>
      </c>
      <c r="L22" s="168" t="n"/>
    </row>
    <row r="23" hidden="1" outlineLevel="1" ht="25.9" customFormat="1" customHeight="1" s="1">
      <c r="A23" s="137" t="n">
        <v>6</v>
      </c>
      <c r="B23" s="34" t="inlineStr">
        <is>
          <t>91.14.02-001</t>
        </is>
      </c>
      <c r="C23" s="136" t="inlineStr">
        <is>
          <t>Автомобили бортовые, грузоподъемность до 5 т</t>
        </is>
      </c>
      <c r="D23" s="137" t="inlineStr">
        <is>
          <t>маш.час</t>
        </is>
      </c>
      <c r="E23" s="169" t="n">
        <v>0.2</v>
      </c>
      <c r="F23" s="155" t="n">
        <v>65.70999999999999</v>
      </c>
      <c r="G23" s="14">
        <f>ROUND(E23*F23,2)</f>
        <v/>
      </c>
      <c r="H23" s="149">
        <f>G23/$G$27</f>
        <v/>
      </c>
      <c r="I23" s="14">
        <f>ROUND(F23*Прил.10!$D$11,2)</f>
        <v/>
      </c>
      <c r="J23" s="14">
        <f>ROUND(I23*E23,2)</f>
        <v/>
      </c>
      <c r="L23" s="168" t="n"/>
    </row>
    <row r="24" hidden="1" outlineLevel="1" ht="25.9" customFormat="1" customHeight="1" s="1">
      <c r="A24" s="137" t="n">
        <v>7</v>
      </c>
      <c r="B24" s="34" t="inlineStr">
        <is>
          <t>91.06.03-061</t>
        </is>
      </c>
      <c r="C24" s="136" t="inlineStr">
        <is>
          <t>Лебедки электрические тяговым усилием до 12,26 кН (1,25 т)</t>
        </is>
      </c>
      <c r="D24" s="137" t="inlineStr">
        <is>
          <t>маш.час</t>
        </is>
      </c>
      <c r="E24" s="169" t="n">
        <v>2.32</v>
      </c>
      <c r="F24" s="155" t="n">
        <v>3.28</v>
      </c>
      <c r="G24" s="14">
        <f>ROUND(E24*F24,2)</f>
        <v/>
      </c>
      <c r="H24" s="149">
        <f>G24/$G$27</f>
        <v/>
      </c>
      <c r="I24" s="14">
        <f>ROUND(F24*Прил.10!$D$11,2)</f>
        <v/>
      </c>
      <c r="J24" s="14">
        <f>ROUND(I24*E24,2)</f>
        <v/>
      </c>
      <c r="L24" s="168" t="n"/>
    </row>
    <row r="25" hidden="1" outlineLevel="1" ht="25.9" customFormat="1" customHeight="1" s="1">
      <c r="A25" s="137" t="n">
        <v>8</v>
      </c>
      <c r="B25" s="34" t="inlineStr">
        <is>
          <t>91.06.01-003</t>
        </is>
      </c>
      <c r="C25" s="136" t="inlineStr">
        <is>
          <t>Домкраты гидравлические, грузоподъемность 63-100 т</t>
        </is>
      </c>
      <c r="D25" s="137" t="inlineStr">
        <is>
          <t>маш.час</t>
        </is>
      </c>
      <c r="E25" s="169" t="n">
        <v>2.2</v>
      </c>
      <c r="F25" s="155" t="n">
        <v>0.9</v>
      </c>
      <c r="G25" s="14">
        <f>ROUND(E25*F25,2)</f>
        <v/>
      </c>
      <c r="H25" s="149">
        <f>G25/$G$27</f>
        <v/>
      </c>
      <c r="I25" s="14">
        <f>ROUND(F25*Прил.10!$D$11,2)</f>
        <v/>
      </c>
      <c r="J25" s="14">
        <f>ROUND(I25*E25,2)</f>
        <v/>
      </c>
      <c r="L25" s="168" t="n"/>
    </row>
    <row r="26" collapsed="1" ht="13.7" customFormat="1" customHeight="1" s="1">
      <c r="A26" s="137" t="n"/>
      <c r="B26" s="34" t="n"/>
      <c r="C26" s="136" t="inlineStr">
        <is>
          <t>Итого прочие машины и механизмы</t>
        </is>
      </c>
      <c r="D26" s="137" t="n"/>
      <c r="E26" s="169" t="n"/>
      <c r="F26" s="155" t="n"/>
      <c r="G26" s="14">
        <f>SUM(G22:G25)</f>
        <v/>
      </c>
      <c r="H26" s="149">
        <f>G26/G27</f>
        <v/>
      </c>
      <c r="I26" s="14" t="n"/>
      <c r="J26" s="14">
        <f>SUM(J22:J25)</f>
        <v/>
      </c>
      <c r="K26" s="171" t="n"/>
      <c r="L26" s="168" t="n"/>
    </row>
    <row r="27" ht="27.2" customFormat="1" customHeight="1" s="1">
      <c r="A27" s="137" t="n"/>
      <c r="B27" s="150" t="n"/>
      <c r="C27" s="141" t="inlineStr">
        <is>
          <t>Итого по разделу «Машины и механизмы»</t>
        </is>
      </c>
      <c r="D27" s="150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41" t="inlineStr">
        <is>
          <t xml:space="preserve">Оборудование </t>
        </is>
      </c>
      <c r="C28" s="172" t="n"/>
      <c r="D28" s="172" t="n"/>
      <c r="E28" s="172" t="n"/>
      <c r="F28" s="172" t="n"/>
      <c r="G28" s="172" t="n"/>
      <c r="H28" s="172" t="n"/>
      <c r="I28" s="172" t="n"/>
      <c r="J28" s="173" t="n"/>
    </row>
    <row r="29" ht="15" customHeight="1">
      <c r="A29" s="137" t="n"/>
      <c r="B29" s="136" t="inlineStr">
        <is>
          <t>Основное оборудование</t>
        </is>
      </c>
      <c r="C29" s="161" t="n"/>
      <c r="D29" s="161" t="n"/>
      <c r="E29" s="161" t="n"/>
      <c r="F29" s="161" t="n"/>
      <c r="G29" s="161" t="n"/>
      <c r="H29" s="161" t="n"/>
      <c r="I29" s="161" t="n"/>
      <c r="J29" s="162" t="n"/>
    </row>
    <row r="30" ht="51.6" customHeight="1">
      <c r="A30" s="137" t="n">
        <v>9</v>
      </c>
      <c r="B30" s="34" t="inlineStr">
        <is>
          <t>БЦ.39.12</t>
        </is>
      </c>
      <c r="C30" s="136" t="inlineStr">
        <is>
          <t>Спутниковая антенна 1,8 м с малошумящим усилителем, с встроенным блоком преобразования частоты «вниз» и усилителем мощности</t>
        </is>
      </c>
      <c r="D30" s="137" t="inlineStr">
        <is>
          <t>шт</t>
        </is>
      </c>
      <c r="E30" s="169" t="n">
        <v>1</v>
      </c>
      <c r="F30" s="139">
        <f>ROUND(I30/Прил.10!$D$13,2)</f>
        <v/>
      </c>
      <c r="G30" s="14">
        <f>ROUND(E30*F30,2)</f>
        <v/>
      </c>
      <c r="H30" s="149">
        <f>G30/$G$36</f>
        <v/>
      </c>
      <c r="I30" s="14" t="n">
        <v>225000</v>
      </c>
      <c r="J30" s="14">
        <f>ROUND(I30*E30,2)</f>
        <v/>
      </c>
    </row>
    <row r="31" ht="51.6" customHeight="1">
      <c r="A31" s="137" t="n">
        <v>10</v>
      </c>
      <c r="B31" s="34" t="inlineStr">
        <is>
          <t>БЦ.39.11</t>
        </is>
      </c>
      <c r="C31" s="136" t="inlineStr">
        <is>
          <t>Спутниковый модем в минимальной комплектации:
- 2xFXO/FXS
- 1х10/100/1000Base-Tx</t>
        </is>
      </c>
      <c r="D31" s="137" t="inlineStr">
        <is>
          <t>шт</t>
        </is>
      </c>
      <c r="E31" s="169" t="n">
        <v>1</v>
      </c>
      <c r="F31" s="139">
        <f>ROUND(I31/Прил.10!$D$13,2)</f>
        <v/>
      </c>
      <c r="G31" s="14">
        <f>ROUND(E31*F31,2)</f>
        <v/>
      </c>
      <c r="H31" s="149">
        <f>G31/$G$36</f>
        <v/>
      </c>
      <c r="I31" s="14" t="n">
        <v>1487597.87</v>
      </c>
      <c r="J31" s="14">
        <f>ROUND(I31*E31,2)</f>
        <v/>
      </c>
    </row>
    <row r="32" ht="64.5" customHeight="1">
      <c r="A32" s="137" t="n">
        <v>11</v>
      </c>
      <c r="B32" s="34" t="inlineStr">
        <is>
          <t>БЦ.39.17</t>
        </is>
      </c>
      <c r="C32" s="136" t="inlineStr">
        <is>
          <t>Голосовой шлюз:
- 4 порта FXS, 
- 1 порт 10/100BASE-T (LAN), 
- 1 порт 10/100BASE-T (WAN),
- внешний БП (12В), 100-240В AC</t>
        </is>
      </c>
      <c r="D32" s="137" t="inlineStr">
        <is>
          <t>шт</t>
        </is>
      </c>
      <c r="E32" s="169" t="n">
        <v>1</v>
      </c>
      <c r="F32" s="139">
        <f>ROUND(I32/Прил.10!$D$13,2)</f>
        <v/>
      </c>
      <c r="G32" s="14">
        <f>ROUND(E32*F32,2)</f>
        <v/>
      </c>
      <c r="H32" s="149">
        <f>G32/$G$36</f>
        <v/>
      </c>
      <c r="I32" s="14" t="n">
        <v>175000</v>
      </c>
      <c r="J32" s="14">
        <f>ROUND(I32*E32,2)</f>
        <v/>
      </c>
    </row>
    <row r="33">
      <c r="A33" s="54" t="n"/>
      <c r="B33" s="137" t="n"/>
      <c r="C33" s="136" t="inlineStr">
        <is>
          <t>Итого основное оборудование</t>
        </is>
      </c>
      <c r="D33" s="137" t="n"/>
      <c r="E33" s="169" t="n"/>
      <c r="F33" s="139" t="n"/>
      <c r="G33" s="14">
        <f>SUM(G30:G32)</f>
        <v/>
      </c>
      <c r="H33" s="149">
        <f>G33/$G$36</f>
        <v/>
      </c>
      <c r="I33" s="14" t="n"/>
      <c r="J33" s="14">
        <f>SUM(J30:J32)</f>
        <v/>
      </c>
      <c r="K33" s="171" t="n"/>
    </row>
    <row r="34" outlineLevel="1" ht="25.9" customHeight="1">
      <c r="A34" s="137" t="n">
        <v>12</v>
      </c>
      <c r="B34" s="137" t="inlineStr">
        <is>
          <t>БЦ.39.16</t>
        </is>
      </c>
      <c r="C34" s="136" t="inlineStr">
        <is>
          <t>Маршрутизатор: 
5х 10/100 Mbit/s Fast Ethernet</t>
        </is>
      </c>
      <c r="D34" s="137" t="inlineStr">
        <is>
          <t>шт</t>
        </is>
      </c>
      <c r="E34" s="169" t="n">
        <v>1</v>
      </c>
      <c r="F34" s="139">
        <f>ROUND(I34/Прил.10!$D$13,2)</f>
        <v/>
      </c>
      <c r="G34" s="14">
        <f>ROUND(E34*F34,2)</f>
        <v/>
      </c>
      <c r="H34" s="149">
        <f>G34/$G$36</f>
        <v/>
      </c>
      <c r="I34" s="14" t="n">
        <v>600000</v>
      </c>
      <c r="J34" s="14">
        <f>ROUND(I34*E34,2)</f>
        <v/>
      </c>
    </row>
    <row r="35">
      <c r="A35" s="54" t="n"/>
      <c r="B35" s="137" t="n"/>
      <c r="C35" s="136" t="inlineStr">
        <is>
          <t>Итого прочее оборудование</t>
        </is>
      </c>
      <c r="D35" s="137" t="n"/>
      <c r="E35" s="138" t="n"/>
      <c r="F35" s="139" t="n"/>
      <c r="G35" s="14">
        <f>SUM(G34:G34)</f>
        <v/>
      </c>
      <c r="H35" s="149">
        <f>G35/$G$36</f>
        <v/>
      </c>
      <c r="I35" s="14" t="n"/>
      <c r="J35" s="14">
        <f>SUM(J34:J34)</f>
        <v/>
      </c>
      <c r="K35" s="171" t="n"/>
      <c r="L35" s="174" t="n"/>
    </row>
    <row r="36">
      <c r="A36" s="137" t="n"/>
      <c r="B36" s="137" t="n"/>
      <c r="C36" s="148" t="inlineStr">
        <is>
          <t>Итого по разделу «Оборудование»</t>
        </is>
      </c>
      <c r="D36" s="137" t="n"/>
      <c r="E36" s="138" t="n"/>
      <c r="F36" s="139" t="n"/>
      <c r="G36" s="14">
        <f>G33+G35</f>
        <v/>
      </c>
      <c r="H36" s="149">
        <f>(G33+G35)/G36</f>
        <v/>
      </c>
      <c r="I36" s="14" t="n"/>
      <c r="J36" s="14">
        <f>J35+J33</f>
        <v/>
      </c>
      <c r="K36" s="171" t="n"/>
    </row>
    <row r="37" ht="25.9" customHeight="1">
      <c r="A37" s="137" t="n"/>
      <c r="B37" s="137" t="n"/>
      <c r="C37" s="136" t="inlineStr">
        <is>
          <t>в том числе технологическое оборудование</t>
        </is>
      </c>
      <c r="D37" s="137" t="n"/>
      <c r="E37" s="138" t="n"/>
      <c r="F37" s="139" t="n"/>
      <c r="G37" s="14">
        <f>'Прил.6 Расчет ОБ'!G18</f>
        <v/>
      </c>
      <c r="H37" s="149">
        <f>G37/$G$36</f>
        <v/>
      </c>
      <c r="I37" s="14" t="n"/>
      <c r="J37" s="14">
        <f>ROUND(G37*Прил.10!$D$13,2)</f>
        <v/>
      </c>
      <c r="K37" s="171" t="n"/>
    </row>
    <row r="38" ht="13.7" customFormat="1" customHeight="1" s="1">
      <c r="A38" s="151" t="n"/>
      <c r="B38" s="175" t="inlineStr">
        <is>
          <t>Материалы</t>
        </is>
      </c>
      <c r="J38" s="176" t="n"/>
      <c r="K38" s="171" t="n"/>
    </row>
    <row r="39" ht="13.7" customFormat="1" customHeight="1" s="1">
      <c r="A39" s="137" t="n"/>
      <c r="B39" s="136" t="inlineStr">
        <is>
          <t>Основные материалы</t>
        </is>
      </c>
      <c r="C39" s="161" t="n"/>
      <c r="D39" s="161" t="n"/>
      <c r="E39" s="161" t="n"/>
      <c r="F39" s="161" t="n"/>
      <c r="G39" s="161" t="n"/>
      <c r="H39" s="162" t="n"/>
      <c r="I39" s="149" t="n"/>
      <c r="J39" s="149" t="n"/>
    </row>
    <row r="40" ht="25.9" customFormat="1" customHeight="1" s="1">
      <c r="A40" s="137" t="n">
        <v>13</v>
      </c>
      <c r="B40" s="91" t="inlineStr">
        <is>
          <t>21.1.03.01-0002</t>
        </is>
      </c>
      <c r="C40" s="12" t="inlineStr">
        <is>
          <t>Кабели коаксиальные магистральные RG 11</t>
        </is>
      </c>
      <c r="D40" s="151" t="inlineStr">
        <is>
          <t>1000 м</t>
        </is>
      </c>
      <c r="E40" s="177" t="n">
        <v>0.306</v>
      </c>
      <c r="F40" s="13" t="n">
        <v>4073.05</v>
      </c>
      <c r="G40" s="93">
        <f>ROUND(F40*E40,2)</f>
        <v/>
      </c>
      <c r="H40" s="149">
        <f>G40/$G$60</f>
        <v/>
      </c>
      <c r="I40" s="14">
        <f>ROUND(F40*Прил.10!$D$12,2)</f>
        <v/>
      </c>
      <c r="J40" s="14">
        <f>ROUND(I40*E40,2)</f>
        <v/>
      </c>
    </row>
    <row r="41" ht="13.7" customFormat="1" customHeight="1" s="90">
      <c r="A41" s="137" t="n">
        <v>14</v>
      </c>
      <c r="B41" s="91" t="inlineStr">
        <is>
          <t>01.3.01.02-0002</t>
        </is>
      </c>
      <c r="C41" s="12" t="inlineStr">
        <is>
          <t>Вазелин технический</t>
        </is>
      </c>
      <c r="D41" s="151" t="inlineStr">
        <is>
          <t>кг</t>
        </is>
      </c>
      <c r="E41" s="177" t="n">
        <v>6</v>
      </c>
      <c r="F41" s="13" t="n">
        <v>44.97</v>
      </c>
      <c r="G41" s="93">
        <f>ROUND(F41*E41,2)</f>
        <v/>
      </c>
      <c r="H41" s="149">
        <f>G41/$G$60</f>
        <v/>
      </c>
      <c r="I41" s="14">
        <f>ROUND(F41*Прил.10!$D$12,2)</f>
        <v/>
      </c>
      <c r="J41" s="14">
        <f>ROUND(I41*E41,2)</f>
        <v/>
      </c>
      <c r="K41" s="1" t="n"/>
      <c r="L41" s="1" t="n"/>
    </row>
    <row r="42" ht="13.7" customFormat="1" customHeight="1" s="1">
      <c r="A42" s="95" t="n"/>
      <c r="B42" s="137" t="n"/>
      <c r="C42" s="136" t="inlineStr">
        <is>
          <t>Итого основные материалы</t>
        </is>
      </c>
      <c r="D42" s="137" t="n"/>
      <c r="E42" s="169" t="n"/>
      <c r="F42" s="139" t="n"/>
      <c r="G42" s="14">
        <f>SUM(G40:G41)</f>
        <v/>
      </c>
      <c r="H42" s="149">
        <f>G42/$G$60</f>
        <v/>
      </c>
      <c r="I42" s="14" t="n"/>
      <c r="J42" s="14">
        <f>SUM(J40:J41)</f>
        <v/>
      </c>
      <c r="K42" s="171" t="n"/>
    </row>
    <row r="43" hidden="1" outlineLevel="1" ht="25.9" customFormat="1" customHeight="1" s="1">
      <c r="A43" s="151" t="n">
        <v>15</v>
      </c>
      <c r="B43" s="91" t="inlineStr">
        <is>
          <t>22.2.02.06-0001</t>
        </is>
      </c>
      <c r="C43" s="12" t="inlineStr">
        <is>
          <t>Консоли для кабельных колодцев и шахт связи ККч-1</t>
        </is>
      </c>
      <c r="D43" s="151" t="inlineStr">
        <is>
          <t>100 шт</t>
        </is>
      </c>
      <c r="E43" s="177" t="n">
        <v>0.056</v>
      </c>
      <c r="F43" s="13" t="n">
        <v>1442.45</v>
      </c>
      <c r="G43" s="93">
        <f>ROUND(F43*E43,2)</f>
        <v/>
      </c>
      <c r="H43" s="94">
        <f>G43/$G$60</f>
        <v/>
      </c>
      <c r="I43" s="93">
        <f>ROUND(F43*Прил.10!$D$12,2)</f>
        <v/>
      </c>
      <c r="J43" s="93">
        <f>ROUND(I43*E43,2)</f>
        <v/>
      </c>
    </row>
    <row r="44" hidden="1" outlineLevel="1" ht="38.85" customFormat="1" customHeight="1" s="1">
      <c r="A44" s="151" t="n">
        <v>16</v>
      </c>
      <c r="B44" s="91" t="inlineStr">
        <is>
          <t>08.3.03.05-0017</t>
        </is>
      </c>
      <c r="C44" s="12" t="inlineStr">
        <is>
          <t>Проволока стальная низкоуглеродистая разного назначения оцинкованная, диаметр 3,0 мм</t>
        </is>
      </c>
      <c r="D44" s="151" t="inlineStr">
        <is>
          <t>т</t>
        </is>
      </c>
      <c r="E44" s="177" t="n">
        <v>0.002</v>
      </c>
      <c r="F44" s="13" t="n">
        <v>12242</v>
      </c>
      <c r="G44" s="93">
        <f>ROUND(F44*E44,2)</f>
        <v/>
      </c>
      <c r="H44" s="94">
        <f>G44/$G$60</f>
        <v/>
      </c>
      <c r="I44" s="93">
        <f>ROUND(F44*Прил.10!$D$12,2)</f>
        <v/>
      </c>
      <c r="J44" s="93">
        <f>ROUND(I44*E44,2)</f>
        <v/>
      </c>
    </row>
    <row r="45" hidden="1" outlineLevel="1" ht="25.9" customFormat="1" customHeight="1" s="1">
      <c r="A45" s="151" t="n">
        <v>17</v>
      </c>
      <c r="B45" s="34" t="inlineStr">
        <is>
          <t>10.3.02.03-0011</t>
        </is>
      </c>
      <c r="C45" s="136" t="inlineStr">
        <is>
          <t>Припои оловянно-свинцовые бессурьмянистые, марка ПОС30</t>
        </is>
      </c>
      <c r="D45" s="137" t="inlineStr">
        <is>
          <t>т</t>
        </is>
      </c>
      <c r="E45" s="169" t="n">
        <v>0.000272</v>
      </c>
      <c r="F45" s="155" t="n">
        <v>68050</v>
      </c>
      <c r="G45" s="14">
        <f>ROUND(F45*E45,2)</f>
        <v/>
      </c>
      <c r="H45" s="149">
        <f>G45/$G$60</f>
        <v/>
      </c>
      <c r="I45" s="14">
        <f>ROUND(F45*Прил.10!$D$12,2)</f>
        <v/>
      </c>
      <c r="J45" s="14">
        <f>ROUND(I45*E45,2)</f>
        <v/>
      </c>
    </row>
    <row r="46" hidden="1" outlineLevel="1" ht="25.9" customFormat="1" customHeight="1" s="1">
      <c r="A46" s="151" t="n">
        <v>18</v>
      </c>
      <c r="B46" s="34" t="inlineStr">
        <is>
          <t>999-9950</t>
        </is>
      </c>
      <c r="C46" s="136" t="inlineStr">
        <is>
          <t>Вспомогательные ненормируемые ресурсы (2% от Оплаты труда рабочих)</t>
        </is>
      </c>
      <c r="D46" s="137" t="inlineStr">
        <is>
          <t>руб</t>
        </is>
      </c>
      <c r="E46" s="169" t="n">
        <v>8.949999999999999</v>
      </c>
      <c r="F46" s="155" t="n">
        <v>1</v>
      </c>
      <c r="G46" s="14">
        <f>ROUND(F46*E46,2)</f>
        <v/>
      </c>
      <c r="H46" s="149">
        <f>G46/$G$60</f>
        <v/>
      </c>
      <c r="I46" s="14">
        <f>ROUND(F46*Прил.10!$D$12,2)</f>
        <v/>
      </c>
      <c r="J46" s="14">
        <f>ROUND(I46*E46,2)</f>
        <v/>
      </c>
    </row>
    <row r="47" hidden="1" outlineLevel="1" ht="13.7" customFormat="1" customHeight="1" s="1">
      <c r="A47" s="151" t="n">
        <v>19</v>
      </c>
      <c r="B47" s="34" t="inlineStr">
        <is>
          <t>14.4.03.03-0002</t>
        </is>
      </c>
      <c r="C47" s="136" t="inlineStr">
        <is>
          <t>Лак битумный БТ-123</t>
        </is>
      </c>
      <c r="D47" s="137" t="inlineStr">
        <is>
          <t>т</t>
        </is>
      </c>
      <c r="E47" s="169" t="n">
        <v>0.00072</v>
      </c>
      <c r="F47" s="155" t="n">
        <v>7826.9</v>
      </c>
      <c r="G47" s="14">
        <f>ROUND(F47*E47,2)</f>
        <v/>
      </c>
      <c r="H47" s="149">
        <f>G47/$G$60</f>
        <v/>
      </c>
      <c r="I47" s="14">
        <f>ROUND(F47*Прил.10!$D$12,2)</f>
        <v/>
      </c>
      <c r="J47" s="14">
        <f>ROUND(I47*E47,2)</f>
        <v/>
      </c>
    </row>
    <row r="48" hidden="1" outlineLevel="1" ht="13.7" customFormat="1" customHeight="1" s="1">
      <c r="A48" s="151" t="n">
        <v>20</v>
      </c>
      <c r="B48" s="34" t="inlineStr">
        <is>
          <t>14.5.05.02-0001</t>
        </is>
      </c>
      <c r="C48" s="136" t="inlineStr">
        <is>
          <t>Олифа натуральная</t>
        </is>
      </c>
      <c r="D48" s="137" t="inlineStr">
        <is>
          <t>кг</t>
        </is>
      </c>
      <c r="E48" s="169" t="n">
        <v>0.14</v>
      </c>
      <c r="F48" s="155" t="n">
        <v>32.6</v>
      </c>
      <c r="G48" s="14">
        <f>ROUND(F48*E48,2)</f>
        <v/>
      </c>
      <c r="H48" s="149">
        <f>G48/$G$60</f>
        <v/>
      </c>
      <c r="I48" s="14">
        <f>ROUND(F48*Прил.10!$D$12,2)</f>
        <v/>
      </c>
      <c r="J48" s="14">
        <f>ROUND(I48*E48,2)</f>
        <v/>
      </c>
    </row>
    <row r="49" hidden="1" outlineLevel="1" ht="25.9" customFormat="1" customHeight="1" s="1">
      <c r="A49" s="151" t="n">
        <v>21</v>
      </c>
      <c r="B49" s="34" t="inlineStr">
        <is>
          <t>01.7.15.03-0031</t>
        </is>
      </c>
      <c r="C49" s="136" t="inlineStr">
        <is>
          <t>Болты с гайками и шайбами оцинкованные, диаметр 6 мм</t>
        </is>
      </c>
      <c r="D49" s="137" t="inlineStr">
        <is>
          <t>кг</t>
        </is>
      </c>
      <c r="E49" s="169" t="n">
        <v>0.105</v>
      </c>
      <c r="F49" s="155" t="n">
        <v>28.22</v>
      </c>
      <c r="G49" s="14">
        <f>ROUND(F49*E49,2)</f>
        <v/>
      </c>
      <c r="H49" s="149">
        <f>G49/$G$60</f>
        <v/>
      </c>
      <c r="I49" s="14">
        <f>ROUND(F49*Прил.10!$D$12,2)</f>
        <v/>
      </c>
      <c r="J49" s="14">
        <f>ROUND(I49*E49,2)</f>
        <v/>
      </c>
    </row>
    <row r="50" hidden="1" outlineLevel="1" ht="13.7" customFormat="1" customHeight="1" s="1">
      <c r="A50" s="151" t="n">
        <v>22</v>
      </c>
      <c r="B50" s="34" t="inlineStr">
        <is>
          <t>14.5.02.01-0002</t>
        </is>
      </c>
      <c r="C50" s="136" t="inlineStr">
        <is>
          <t>Замазка уплотнительная</t>
        </is>
      </c>
      <c r="D50" s="137" t="inlineStr">
        <is>
          <t>кг</t>
        </is>
      </c>
      <c r="E50" s="169" t="n">
        <v>0.14</v>
      </c>
      <c r="F50" s="155" t="n">
        <v>18.32</v>
      </c>
      <c r="G50" s="14">
        <f>ROUND(F50*E50,2)</f>
        <v/>
      </c>
      <c r="H50" s="149">
        <f>G50/$G$60</f>
        <v/>
      </c>
      <c r="I50" s="14">
        <f>ROUND(F50*Прил.10!$D$12,2)</f>
        <v/>
      </c>
      <c r="J50" s="14">
        <f>ROUND(I50*E50,2)</f>
        <v/>
      </c>
    </row>
    <row r="51" hidden="1" outlineLevel="1" ht="38.85" customFormat="1" customHeight="1" s="1">
      <c r="A51" s="151" t="n">
        <v>23</v>
      </c>
      <c r="B51" s="34" t="inlineStr">
        <is>
          <t>01.7.06.05-0042</t>
        </is>
      </c>
      <c r="C51" s="136" t="inlineStr">
        <is>
          <t>Лента липкая изоляционная на поликасиновом компаунде, ширина 20-30 мм, толщина от 0,14 до 0,19 мм</t>
        </is>
      </c>
      <c r="D51" s="137" t="inlineStr">
        <is>
          <t>кг</t>
        </is>
      </c>
      <c r="E51" s="169" t="n">
        <v>0.028</v>
      </c>
      <c r="F51" s="155" t="n">
        <v>91.29000000000001</v>
      </c>
      <c r="G51" s="14">
        <f>ROUND(F51*E51,2)</f>
        <v/>
      </c>
      <c r="H51" s="149">
        <f>G51/$G$60</f>
        <v/>
      </c>
      <c r="I51" s="14">
        <f>ROUND(F51*Прил.10!$D$12,2)</f>
        <v/>
      </c>
      <c r="J51" s="14">
        <f>ROUND(I51*E51,2)</f>
        <v/>
      </c>
    </row>
    <row r="52" hidden="1" outlineLevel="1" ht="13.7" customFormat="1" customHeight="1" s="1">
      <c r="A52" s="151" t="n">
        <v>24</v>
      </c>
      <c r="B52" s="34" t="inlineStr">
        <is>
          <t>01.7.06.07-0002</t>
        </is>
      </c>
      <c r="C52" s="136" t="inlineStr">
        <is>
          <t>Лента монтажная, тип ЛМ-5</t>
        </is>
      </c>
      <c r="D52" s="137" t="inlineStr">
        <is>
          <t>10 м</t>
        </is>
      </c>
      <c r="E52" s="169" t="n">
        <v>0.245</v>
      </c>
      <c r="F52" s="155" t="n">
        <v>6.9</v>
      </c>
      <c r="G52" s="14">
        <f>ROUND(F52*E52,2)</f>
        <v/>
      </c>
      <c r="H52" s="149">
        <f>G52/$G$60</f>
        <v/>
      </c>
      <c r="I52" s="14">
        <f>ROUND(F52*Прил.10!$D$12,2)</f>
        <v/>
      </c>
      <c r="J52" s="14">
        <f>ROUND(I52*E52,2)</f>
        <v/>
      </c>
    </row>
    <row r="53" hidden="1" outlineLevel="1" ht="13.7" customFormat="1" customHeight="1" s="1">
      <c r="A53" s="151" t="n">
        <v>25</v>
      </c>
      <c r="B53" s="34" t="inlineStr">
        <is>
          <t>01.7.15.14-0165</t>
        </is>
      </c>
      <c r="C53" s="136" t="inlineStr">
        <is>
          <t>Шурупы с полукруглой головкой 4х40 мм</t>
        </is>
      </c>
      <c r="D53" s="137" t="inlineStr">
        <is>
          <t>т</t>
        </is>
      </c>
      <c r="E53" s="169" t="n">
        <v>0.00011</v>
      </c>
      <c r="F53" s="155" t="n">
        <v>12430</v>
      </c>
      <c r="G53" s="14">
        <f>ROUND(F53*E53,2)</f>
        <v/>
      </c>
      <c r="H53" s="149">
        <f>G53/$G$60</f>
        <v/>
      </c>
      <c r="I53" s="14">
        <f>ROUND(F53*Прил.10!$D$12,2)</f>
        <v/>
      </c>
      <c r="J53" s="14">
        <f>ROUND(I53*E53,2)</f>
        <v/>
      </c>
    </row>
    <row r="54" hidden="1" outlineLevel="1" ht="25.9" customFormat="1" customHeight="1" s="1">
      <c r="A54" s="151" t="n">
        <v>26</v>
      </c>
      <c r="B54" s="34" t="inlineStr">
        <is>
          <t>14.4.02.04-0142</t>
        </is>
      </c>
      <c r="C54" s="136" t="inlineStr">
        <is>
          <t>Краска масляная земляная МА-0115, мумия, сурик железный</t>
        </is>
      </c>
      <c r="D54" s="137" t="inlineStr">
        <is>
          <t>кг</t>
        </is>
      </c>
      <c r="E54" s="169" t="n">
        <v>0.06</v>
      </c>
      <c r="F54" s="155" t="n">
        <v>15.12</v>
      </c>
      <c r="G54" s="14">
        <f>ROUND(F54*E54,2)</f>
        <v/>
      </c>
      <c r="H54" s="149">
        <f>G54/$G$60</f>
        <v/>
      </c>
      <c r="I54" s="14">
        <f>ROUND(F54*Прил.10!$D$12,2)</f>
        <v/>
      </c>
      <c r="J54" s="14">
        <f>ROUND(I54*E54,2)</f>
        <v/>
      </c>
    </row>
    <row r="55" hidden="1" outlineLevel="1" ht="13.7" customFormat="1" customHeight="1" s="1">
      <c r="A55" s="151" t="n">
        <v>27</v>
      </c>
      <c r="B55" s="34" t="inlineStr">
        <is>
          <t>01.7.07.29-0111</t>
        </is>
      </c>
      <c r="C55" s="136" t="inlineStr">
        <is>
          <t>Пакля пропитанная</t>
        </is>
      </c>
      <c r="D55" s="137" t="inlineStr">
        <is>
          <t>кг</t>
        </is>
      </c>
      <c r="E55" s="169" t="n">
        <v>0.066</v>
      </c>
      <c r="F55" s="155" t="n">
        <v>9.039999999999999</v>
      </c>
      <c r="G55" s="14">
        <f>ROUND(F55*E55,2)</f>
        <v/>
      </c>
      <c r="H55" s="149">
        <f>G55/$G$60</f>
        <v/>
      </c>
      <c r="I55" s="14">
        <f>ROUND(F55*Прил.10!$D$12,2)</f>
        <v/>
      </c>
      <c r="J55" s="14">
        <f>ROUND(I55*E55,2)</f>
        <v/>
      </c>
    </row>
    <row r="56" hidden="1" outlineLevel="1" ht="13.7" customFormat="1" customHeight="1" s="1">
      <c r="A56" s="151" t="n">
        <v>28</v>
      </c>
      <c r="B56" s="34" t="inlineStr">
        <is>
          <t>01.7.20.04-0003</t>
        </is>
      </c>
      <c r="C56" s="136" t="inlineStr">
        <is>
          <t>Нитки суровые</t>
        </is>
      </c>
      <c r="D56" s="137" t="inlineStr">
        <is>
          <t>кг</t>
        </is>
      </c>
      <c r="E56" s="169" t="n">
        <v>0.0032</v>
      </c>
      <c r="F56" s="155" t="n">
        <v>155</v>
      </c>
      <c r="G56" s="14">
        <f>ROUND(F56*E56,2)</f>
        <v/>
      </c>
      <c r="H56" s="149">
        <f>G56/$G$60</f>
        <v/>
      </c>
      <c r="I56" s="14">
        <f>ROUND(F56*Прил.10!$D$12,2)</f>
        <v/>
      </c>
      <c r="J56" s="14">
        <f>ROUND(I56*E56,2)</f>
        <v/>
      </c>
    </row>
    <row r="57" hidden="1" outlineLevel="1" ht="38.85" customFormat="1" customHeight="1" s="1">
      <c r="A57" s="151" t="n">
        <v>29</v>
      </c>
      <c r="B57" s="34" t="inlineStr">
        <is>
          <t>01.7.06.05-0041</t>
        </is>
      </c>
      <c r="C57" s="136" t="inlineStr">
        <is>
          <t>Лента изоляционная прорезиненная односторонняя, ширина 20 мм, толщина 0,25-0,35 мм</t>
        </is>
      </c>
      <c r="D57" s="137" t="inlineStr">
        <is>
          <t>кг</t>
        </is>
      </c>
      <c r="E57" s="169" t="n">
        <v>0.007</v>
      </c>
      <c r="F57" s="155" t="n">
        <v>30.4</v>
      </c>
      <c r="G57" s="14">
        <f>ROUND(F57*E57,2)</f>
        <v/>
      </c>
      <c r="H57" s="149">
        <f>G57/$G$60</f>
        <v/>
      </c>
      <c r="I57" s="14">
        <f>ROUND(F57*Прил.10!$D$12,2)</f>
        <v/>
      </c>
      <c r="J57" s="14">
        <f>ROUND(I57*E57,2)</f>
        <v/>
      </c>
    </row>
    <row r="58" hidden="1" outlineLevel="1" ht="13.7" customFormat="1" customHeight="1" s="1">
      <c r="A58" s="151" t="n">
        <v>30</v>
      </c>
      <c r="B58" s="34" t="inlineStr">
        <is>
          <t>01.7.19.11-0012</t>
        </is>
      </c>
      <c r="C58" s="136" t="inlineStr">
        <is>
          <t>Трубка резиновая техническая</t>
        </is>
      </c>
      <c r="D58" s="137" t="inlineStr">
        <is>
          <t>кг</t>
        </is>
      </c>
      <c r="E58" s="169" t="n">
        <v>0.004</v>
      </c>
      <c r="F58" s="155" t="n">
        <v>51.38</v>
      </c>
      <c r="G58" s="14">
        <f>ROUND(F58*E58,2)</f>
        <v/>
      </c>
      <c r="H58" s="149">
        <f>G58/$G$60</f>
        <v/>
      </c>
      <c r="I58" s="14">
        <f>ROUND(F58*Прил.10!$D$12,2)</f>
        <v/>
      </c>
      <c r="J58" s="14">
        <f>ROUND(I58*E58,2)</f>
        <v/>
      </c>
    </row>
    <row r="59" collapsed="1" customFormat="1" s="1">
      <c r="A59" s="137" t="n"/>
      <c r="B59" s="137" t="n"/>
      <c r="C59" s="136" t="inlineStr">
        <is>
          <t>Итого прочие материалы</t>
        </is>
      </c>
      <c r="D59" s="137" t="n"/>
      <c r="E59" s="138" t="n"/>
      <c r="F59" s="139" t="n"/>
      <c r="G59" s="14">
        <f>SUM(G43:G58)</f>
        <v/>
      </c>
      <c r="H59" s="149">
        <f>G59/G60</f>
        <v/>
      </c>
      <c r="I59" s="14" t="n"/>
      <c r="J59" s="14">
        <f>SUM(J43:J58)</f>
        <v/>
      </c>
      <c r="L59" s="174" t="n"/>
    </row>
    <row r="60" ht="13.7" customFormat="1" customHeight="1" s="1">
      <c r="A60" s="137" t="n"/>
      <c r="B60" s="137" t="n"/>
      <c r="C60" s="148" t="inlineStr">
        <is>
          <t>Итого по разделу «Материалы»</t>
        </is>
      </c>
      <c r="D60" s="137" t="n"/>
      <c r="E60" s="138" t="n"/>
      <c r="F60" s="139" t="n"/>
      <c r="G60" s="14">
        <f>G42+G59</f>
        <v/>
      </c>
      <c r="H60" s="149" t="n">
        <v>1</v>
      </c>
      <c r="I60" s="139" t="n"/>
      <c r="J60" s="14">
        <f>J42+J59</f>
        <v/>
      </c>
      <c r="K60" s="171" t="n"/>
    </row>
    <row r="61" ht="13.7" customFormat="1" customHeight="1" s="1">
      <c r="A61" s="137" t="n"/>
      <c r="B61" s="137" t="n"/>
      <c r="C61" s="136" t="inlineStr">
        <is>
          <t>ИТОГО ПО РМ</t>
        </is>
      </c>
      <c r="D61" s="137" t="n"/>
      <c r="E61" s="138" t="n"/>
      <c r="F61" s="139" t="n"/>
      <c r="G61" s="14">
        <f>G14+G27+G60</f>
        <v/>
      </c>
      <c r="H61" s="149" t="n"/>
      <c r="I61" s="139" t="n"/>
      <c r="J61" s="14">
        <f>J14+J27+J60</f>
        <v/>
      </c>
    </row>
    <row r="62" ht="13.7" customFormat="1" customHeight="1" s="1">
      <c r="A62" s="137" t="n"/>
      <c r="B62" s="137" t="n"/>
      <c r="C62" s="136" t="inlineStr">
        <is>
          <t>Накладные расходы</t>
        </is>
      </c>
      <c r="D62" s="137" t="inlineStr">
        <is>
          <t>%</t>
        </is>
      </c>
      <c r="E62" s="42">
        <f>ROUND(G62/(G14+G16),2)</f>
        <v/>
      </c>
      <c r="F62" s="139" t="n"/>
      <c r="G62" s="14" t="n">
        <v>441.54</v>
      </c>
      <c r="H62" s="149" t="n"/>
      <c r="I62" s="139" t="n"/>
      <c r="J62" s="14">
        <f>ROUND(E62*(J14+J16),2)</f>
        <v/>
      </c>
      <c r="K62" s="43" t="n"/>
    </row>
    <row r="63" ht="13.7" customFormat="1" customHeight="1" s="1">
      <c r="A63" s="137" t="n"/>
      <c r="B63" s="137" t="n"/>
      <c r="C63" s="136" t="inlineStr">
        <is>
          <t>Сметная прибыль</t>
        </is>
      </c>
      <c r="D63" s="137" t="inlineStr">
        <is>
          <t>%</t>
        </is>
      </c>
      <c r="E63" s="42">
        <f>ROUND(G63/(G14+G16),2)</f>
        <v/>
      </c>
      <c r="F63" s="139" t="n"/>
      <c r="G63" s="14" t="n">
        <v>233.49</v>
      </c>
      <c r="H63" s="149" t="n"/>
      <c r="I63" s="139" t="n"/>
      <c r="J63" s="14">
        <f>ROUND(E63*(J14+J16),2)</f>
        <v/>
      </c>
      <c r="K63" s="43" t="n"/>
    </row>
    <row r="64" ht="13.7" customFormat="1" customHeight="1" s="1">
      <c r="A64" s="137" t="n"/>
      <c r="B64" s="137" t="n"/>
      <c r="C64" s="136" t="inlineStr">
        <is>
          <t>Итого СМР (с НР и СП)</t>
        </is>
      </c>
      <c r="D64" s="137" t="n"/>
      <c r="E64" s="138" t="n"/>
      <c r="F64" s="139" t="n"/>
      <c r="G64" s="14">
        <f>G14+G27+G60+G62+G63</f>
        <v/>
      </c>
      <c r="H64" s="149" t="n"/>
      <c r="I64" s="139" t="n"/>
      <c r="J64" s="14">
        <f>J14+J27+J60+J62+J63</f>
        <v/>
      </c>
      <c r="L64" s="44" t="n"/>
    </row>
    <row r="65" ht="13.7" customFormat="1" customHeight="1" s="1">
      <c r="A65" s="137" t="n"/>
      <c r="B65" s="137" t="n"/>
      <c r="C65" s="136" t="inlineStr">
        <is>
          <t>ВСЕГО СМР + ОБОРУДОВАНИЕ</t>
        </is>
      </c>
      <c r="D65" s="137" t="n"/>
      <c r="E65" s="138" t="n"/>
      <c r="F65" s="139" t="n"/>
      <c r="G65" s="14">
        <f>G64+G36</f>
        <v/>
      </c>
      <c r="H65" s="149" t="n"/>
      <c r="I65" s="139" t="n"/>
      <c r="J65" s="14">
        <f>J64+J36</f>
        <v/>
      </c>
      <c r="L65" s="43" t="n"/>
    </row>
    <row r="66" ht="13.7" customFormat="1" customHeight="1" s="1">
      <c r="A66" s="137" t="n"/>
      <c r="B66" s="137" t="n"/>
      <c r="C66" s="136" t="inlineStr">
        <is>
          <t>ИТОГО ПОКАЗАТЕЛЬ НА ЕД. ИЗМ.</t>
        </is>
      </c>
      <c r="D66" s="137" t="inlineStr">
        <is>
          <t>ед.</t>
        </is>
      </c>
      <c r="E66" s="45" t="n">
        <v>1</v>
      </c>
      <c r="F66" s="139" t="n"/>
      <c r="G66" s="14">
        <f>G65/E66</f>
        <v/>
      </c>
      <c r="H66" s="149" t="n"/>
      <c r="I66" s="139" t="n"/>
      <c r="J66" s="14">
        <f>J65/E66</f>
        <v/>
      </c>
      <c r="L66" s="168" t="n"/>
    </row>
    <row r="68" ht="13.7" customFormat="1" customHeight="1" s="1">
      <c r="A68" s="10" t="n"/>
    </row>
    <row r="69" ht="13.7" customFormat="1" customHeight="1" s="1">
      <c r="B69" s="6" t="inlineStr">
        <is>
          <t>Составил ______________________        Е.А. Князева</t>
        </is>
      </c>
    </row>
    <row r="70" ht="13.7" customFormat="1" customHeight="1" s="1">
      <c r="B70" s="49" t="inlineStr">
        <is>
          <t xml:space="preserve">                         (подпись, инициалы, фамилия)</t>
        </is>
      </c>
    </row>
    <row r="71" ht="13.7" customFormat="1" customHeight="1" s="1">
      <c r="B71" s="6" t="n"/>
    </row>
    <row r="72" ht="13.7" customFormat="1" customHeight="1" s="1">
      <c r="B72" s="6" t="inlineStr">
        <is>
          <t>Проверил ______________________        А.В. Костянецкая</t>
        </is>
      </c>
    </row>
    <row r="73" ht="13.7" customFormat="1" customHeight="1" s="1">
      <c r="B73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38:J38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B39:H39"/>
    <mergeCell ref="D6:J6"/>
    <mergeCell ref="F9:G9"/>
    <mergeCell ref="A4:H4"/>
    <mergeCell ref="B17:H17"/>
    <mergeCell ref="A9:A10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5"/>
  <sheetViews>
    <sheetView view="pageBreakPreview" topLeftCell="A10" workbookViewId="0">
      <selection activeCell="B22" sqref="B22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56" t="inlineStr">
        <is>
          <t>Приложение №6</t>
        </is>
      </c>
    </row>
    <row r="2">
      <c r="A2" s="156" t="n"/>
      <c r="B2" s="156" t="n"/>
      <c r="C2" s="156" t="n"/>
      <c r="D2" s="156" t="n"/>
      <c r="E2" s="156" t="n"/>
      <c r="F2" s="156" t="n"/>
      <c r="G2" s="156" t="n"/>
    </row>
    <row r="3">
      <c r="A3" s="156" t="n"/>
      <c r="B3" s="156" t="n"/>
      <c r="C3" s="156" t="n"/>
      <c r="D3" s="156" t="n"/>
      <c r="E3" s="156" t="n"/>
      <c r="F3" s="156" t="n"/>
      <c r="G3" s="156" t="n"/>
    </row>
    <row r="4">
      <c r="A4" s="156" t="n"/>
      <c r="B4" s="156" t="n"/>
      <c r="C4" s="156" t="n"/>
      <c r="D4" s="156" t="n"/>
      <c r="E4" s="156" t="n"/>
      <c r="F4" s="156" t="n"/>
      <c r="G4" s="156" t="n"/>
    </row>
    <row r="5">
      <c r="A5" s="133" t="inlineStr">
        <is>
          <t>Расчет стоимости оборудования</t>
        </is>
      </c>
    </row>
    <row r="6" ht="64.5" customHeight="1">
      <c r="A6" s="158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.2" customHeight="1">
      <c r="A8" s="157" t="inlineStr">
        <is>
          <t>№ пп.</t>
        </is>
      </c>
      <c r="B8" s="157" t="inlineStr">
        <is>
          <t>Код ресурса</t>
        </is>
      </c>
      <c r="C8" s="157" t="inlineStr">
        <is>
          <t>Наименование</t>
        </is>
      </c>
      <c r="D8" s="157" t="inlineStr">
        <is>
          <t>Ед. изм.</t>
        </is>
      </c>
      <c r="E8" s="137" t="inlineStr">
        <is>
          <t>Кол-во единиц по проектным данным</t>
        </is>
      </c>
      <c r="F8" s="157" t="inlineStr">
        <is>
          <t>Сметная стоимость в ценах на 01.01.2000 (руб.)</t>
        </is>
      </c>
      <c r="G8" s="162" t="n"/>
    </row>
    <row r="9">
      <c r="A9" s="164" t="n"/>
      <c r="B9" s="164" t="n"/>
      <c r="C9" s="164" t="n"/>
      <c r="D9" s="164" t="n"/>
      <c r="E9" s="164" t="n"/>
      <c r="F9" s="137" t="inlineStr">
        <is>
          <t>на ед. изм.</t>
        </is>
      </c>
      <c r="G9" s="137" t="inlineStr">
        <is>
          <t>общая</t>
        </is>
      </c>
    </row>
    <row r="10">
      <c r="A10" s="137" t="n">
        <v>1</v>
      </c>
      <c r="B10" s="137" t="n">
        <v>2</v>
      </c>
      <c r="C10" s="137" t="n">
        <v>3</v>
      </c>
      <c r="D10" s="137" t="n">
        <v>4</v>
      </c>
      <c r="E10" s="137" t="n">
        <v>5</v>
      </c>
      <c r="F10" s="137" t="n">
        <v>6</v>
      </c>
      <c r="G10" s="137" t="n">
        <v>7</v>
      </c>
    </row>
    <row r="11" ht="15" customHeight="1">
      <c r="A11" s="7" t="n"/>
      <c r="B11" s="136" t="inlineStr">
        <is>
          <t>ИНЖЕНЕРНОЕ ОБОРУДОВАНИЕ</t>
        </is>
      </c>
      <c r="C11" s="161" t="n"/>
      <c r="D11" s="161" t="n"/>
      <c r="E11" s="161" t="n"/>
      <c r="F11" s="161" t="n"/>
      <c r="G11" s="162" t="n"/>
    </row>
    <row r="12" ht="51.6" customHeight="1">
      <c r="A12" s="137" t="n">
        <v>1</v>
      </c>
      <c r="B12" s="45">
        <f>'Прил.5 Расчет СМР и ОБ'!B30</f>
        <v/>
      </c>
      <c r="C12" s="81">
        <f>'Прил.5 Расчет СМР и ОБ'!C30</f>
        <v/>
      </c>
      <c r="D12" s="45">
        <f>'Прил.5 Расчет СМР и ОБ'!D30</f>
        <v/>
      </c>
      <c r="E12" s="99">
        <f>'Прил.5 Расчет СМР и ОБ'!E30</f>
        <v/>
      </c>
      <c r="F12" s="14">
        <f>'Прил.5 Расчет СМР и ОБ'!F30</f>
        <v/>
      </c>
      <c r="G12" s="14">
        <f>ROUND(E12*F12,2)</f>
        <v/>
      </c>
    </row>
    <row r="13" ht="51.6" customHeight="1">
      <c r="A13" s="137" t="n">
        <v>2</v>
      </c>
      <c r="B13" s="45">
        <f>'Прил.5 Расчет СМР и ОБ'!B31</f>
        <v/>
      </c>
      <c r="C13" s="81">
        <f>'Прил.5 Расчет СМР и ОБ'!C31</f>
        <v/>
      </c>
      <c r="D13" s="45">
        <f>'Прил.5 Расчет СМР и ОБ'!D31</f>
        <v/>
      </c>
      <c r="E13" s="99">
        <f>'Прил.5 Расчет СМР и ОБ'!E31</f>
        <v/>
      </c>
      <c r="F13" s="14">
        <f>'Прил.5 Расчет СМР и ОБ'!F31</f>
        <v/>
      </c>
      <c r="G13" s="14">
        <f>ROUND(E13*F13,2)</f>
        <v/>
      </c>
    </row>
    <row r="14" ht="64.5" customHeight="1">
      <c r="A14" s="137" t="n">
        <v>3</v>
      </c>
      <c r="B14" s="45">
        <f>'Прил.5 Расчет СМР и ОБ'!B32</f>
        <v/>
      </c>
      <c r="C14" s="81">
        <f>'Прил.5 Расчет СМР и ОБ'!C32</f>
        <v/>
      </c>
      <c r="D14" s="45">
        <f>'Прил.5 Расчет СМР и ОБ'!D32</f>
        <v/>
      </c>
      <c r="E14" s="99">
        <f>'Прил.5 Расчет СМР и ОБ'!E32</f>
        <v/>
      </c>
      <c r="F14" s="14">
        <f>'Прил.5 Расчет СМР и ОБ'!F32</f>
        <v/>
      </c>
      <c r="G14" s="14">
        <f>ROUND(E14*F14,2)</f>
        <v/>
      </c>
    </row>
    <row r="15" ht="25.9" customHeight="1">
      <c r="A15" s="137" t="n">
        <v>4</v>
      </c>
      <c r="B15" s="45">
        <f>'Прил.5 Расчет СМР и ОБ'!B34</f>
        <v/>
      </c>
      <c r="C15" s="81">
        <f>'Прил.5 Расчет СМР и ОБ'!C34</f>
        <v/>
      </c>
      <c r="D15" s="45">
        <f>'Прил.5 Расчет СМР и ОБ'!D34</f>
        <v/>
      </c>
      <c r="E15" s="99">
        <f>'Прил.5 Расчет СМР и ОБ'!E34</f>
        <v/>
      </c>
      <c r="F15" s="14">
        <f>'Прил.5 Расчет СМР и ОБ'!F34</f>
        <v/>
      </c>
      <c r="G15" s="14">
        <f>ROUND(E15*F15,2)</f>
        <v/>
      </c>
    </row>
    <row r="16">
      <c r="A16" s="137" t="n"/>
      <c r="B16" s="148" t="n"/>
      <c r="C16" s="136" t="inlineStr">
        <is>
          <t>ИТОГО ИНЖЕНЕРНОЕ ОБОРУДОВАНИЕ</t>
        </is>
      </c>
      <c r="D16" s="148" t="n"/>
      <c r="E16" s="8" t="n"/>
      <c r="F16" s="139" t="n"/>
      <c r="G16" s="14">
        <f>SUM(G12:G15)</f>
        <v/>
      </c>
    </row>
    <row r="17">
      <c r="A17" s="137" t="n"/>
      <c r="B17" s="136" t="inlineStr">
        <is>
          <t>ТЕХНОЛОГИЧЕСКОЕ ОБОРУДОВАНИЕ</t>
        </is>
      </c>
      <c r="C17" s="161" t="n"/>
      <c r="D17" s="161" t="n"/>
      <c r="E17" s="161" t="n"/>
      <c r="F17" s="161" t="n"/>
      <c r="G17" s="162" t="n"/>
    </row>
    <row r="18" ht="25.5" customHeight="1">
      <c r="A18" s="137" t="n"/>
      <c r="B18" s="12" t="n"/>
      <c r="C18" s="12" t="inlineStr">
        <is>
          <t>ИТОГО ТЕХНОЛОГИЧЕСКОЕ ОБОРУДОВАНИЕ</t>
        </is>
      </c>
      <c r="D18" s="12" t="n"/>
      <c r="E18" s="13" t="n"/>
      <c r="F18" s="139" t="n"/>
      <c r="G18" s="14" t="n">
        <v>0</v>
      </c>
    </row>
    <row r="19" ht="19.5" customHeight="1">
      <c r="A19" s="137" t="n"/>
      <c r="B19" s="136" t="n"/>
      <c r="C19" s="136" t="inlineStr">
        <is>
          <t>Всего по разделу «Оборудование»</t>
        </is>
      </c>
      <c r="D19" s="136" t="n"/>
      <c r="E19" s="155" t="n"/>
      <c r="F19" s="139" t="n"/>
      <c r="G19" s="14">
        <f>G16+G18</f>
        <v/>
      </c>
    </row>
    <row r="20">
      <c r="A20" s="10" t="n"/>
      <c r="B20" s="11" t="n"/>
      <c r="C20" s="10" t="n"/>
      <c r="D20" s="10" t="n"/>
      <c r="E20" s="10" t="n"/>
      <c r="F20" s="10" t="n"/>
      <c r="G20" s="10" t="n"/>
    </row>
    <row r="21">
      <c r="A21" s="6" t="inlineStr">
        <is>
          <t>Составил ______________________        Е.А. Князева</t>
        </is>
      </c>
      <c r="B21" s="1" t="n"/>
      <c r="C21" s="1" t="n"/>
      <c r="D21" s="10" t="n"/>
      <c r="E21" s="10" t="n"/>
      <c r="F21" s="10" t="n"/>
      <c r="G21" s="10" t="n"/>
    </row>
    <row r="22">
      <c r="A22" s="49" t="inlineStr">
        <is>
          <t xml:space="preserve"> 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  <row r="23">
      <c r="A23" s="6" t="n"/>
      <c r="B23" s="1" t="n"/>
      <c r="C23" s="1" t="n"/>
      <c r="D23" s="10" t="n"/>
      <c r="E23" s="10" t="n"/>
      <c r="F23" s="10" t="n"/>
      <c r="G23" s="10" t="n"/>
    </row>
    <row r="24">
      <c r="A24" s="6" t="inlineStr">
        <is>
          <t>Проверил ______________________        А.В. Костянецкая</t>
        </is>
      </c>
      <c r="B24" s="1" t="n"/>
      <c r="C24" s="1" t="n"/>
      <c r="D24" s="10" t="n"/>
      <c r="E24" s="10" t="n"/>
      <c r="F24" s="10" t="n"/>
      <c r="G24" s="10" t="n"/>
    </row>
    <row r="25">
      <c r="A25" s="49" t="inlineStr">
        <is>
          <t xml:space="preserve">                        (подпись, инициалы, фамилия)</t>
        </is>
      </c>
      <c r="B25" s="1" t="n"/>
      <c r="C25" s="1" t="n"/>
      <c r="D25" s="10" t="n"/>
      <c r="E25" s="10" t="n"/>
      <c r="F25" s="10" t="n"/>
      <c r="G25" s="10" t="n"/>
    </row>
  </sheetData>
  <mergeCells count="11">
    <mergeCell ref="A8:A9"/>
    <mergeCell ref="A1:G1"/>
    <mergeCell ref="E8:E9"/>
    <mergeCell ref="C8:C9"/>
    <mergeCell ref="B11:G11"/>
    <mergeCell ref="A6:G6"/>
    <mergeCell ref="B17:G17"/>
    <mergeCell ref="D8:D9"/>
    <mergeCell ref="B8:B9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min="1" max="1"/>
    <col width="29.7109375" customWidth="1" min="2" max="2"/>
    <col width="35" customWidth="1" min="3" max="3"/>
    <col width="27.5703125" customWidth="1" min="4" max="4"/>
    <col width="24.85546875" customWidth="1" min="5" max="5"/>
  </cols>
  <sheetData>
    <row r="1">
      <c r="B1" s="6" t="n"/>
      <c r="C1" s="6" t="n"/>
      <c r="D1" s="156" t="inlineStr">
        <is>
          <t>Приложение №7</t>
        </is>
      </c>
    </row>
    <row r="2">
      <c r="A2" s="156" t="n"/>
      <c r="B2" s="156" t="n"/>
      <c r="C2" s="156" t="n"/>
      <c r="D2" s="156" t="n"/>
    </row>
    <row r="3" ht="24.75" customHeight="1">
      <c r="A3" s="133" t="inlineStr">
        <is>
          <t>Расчет показателя УНЦ</t>
        </is>
      </c>
    </row>
    <row r="4" ht="24.75" customHeight="1">
      <c r="A4" s="133" t="n"/>
      <c r="B4" s="133" t="n"/>
      <c r="C4" s="133" t="n"/>
      <c r="D4" s="133" t="n"/>
    </row>
    <row r="5" ht="64.5" customHeight="1">
      <c r="A5" s="147" t="inlineStr">
        <is>
          <t xml:space="preserve">Наименование разрабатываемого показателя УНЦ - </t>
        </is>
      </c>
      <c r="D5" s="147">
        <f>'Прил.5 Расчет СМР и ОБ'!D6</f>
        <v/>
      </c>
    </row>
    <row r="6" ht="19.9" customHeight="1">
      <c r="A6" s="147">
        <f>'Прил.1 Сравнит табл'!B9</f>
        <v/>
      </c>
      <c r="D6" s="147" t="n"/>
    </row>
    <row r="7">
      <c r="A7" s="6" t="n"/>
      <c r="B7" s="6" t="n"/>
      <c r="C7" s="6" t="n"/>
      <c r="D7" s="6" t="n"/>
    </row>
    <row r="8" ht="14.45" customHeight="1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 ht="15" customHeight="1">
      <c r="A9" s="164" t="n"/>
      <c r="B9" s="164" t="n"/>
      <c r="C9" s="164" t="n"/>
      <c r="D9" s="164" t="n"/>
    </row>
    <row r="10">
      <c r="A10" s="137" t="n">
        <v>1</v>
      </c>
      <c r="B10" s="137" t="n">
        <v>2</v>
      </c>
      <c r="C10" s="137" t="n">
        <v>3</v>
      </c>
      <c r="D10" s="137" t="n">
        <v>4</v>
      </c>
    </row>
    <row r="11" ht="51.6" customHeight="1">
      <c r="A11" s="137" t="inlineStr">
        <is>
          <t>И17-02</t>
        </is>
      </c>
      <c r="B11" s="137" t="inlineStr">
        <is>
          <t xml:space="preserve">УНЦ сети связи  </t>
        </is>
      </c>
      <c r="C11" s="27">
        <f>D5</f>
        <v/>
      </c>
      <c r="D11" s="97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9"/>
  <sheetViews>
    <sheetView view="pageBreakPreview" zoomScale="60" zoomScaleNormal="100" workbookViewId="0">
      <selection activeCell="B25" sqref="B25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6" customHeight="1">
      <c r="B4" s="125" t="inlineStr">
        <is>
          <t>Приложение № 10</t>
        </is>
      </c>
    </row>
    <row r="5" ht="18.4" customHeight="1">
      <c r="B5" s="20" t="n"/>
    </row>
    <row r="6" ht="15.6" customHeight="1">
      <c r="B6" s="126" t="inlineStr">
        <is>
          <t>Используемые индексы изменений сметной стоимости и нормы сопутствующих затрат</t>
        </is>
      </c>
    </row>
    <row r="7">
      <c r="B7" s="159" t="n"/>
    </row>
    <row r="8" ht="46.9" customHeight="1">
      <c r="B8" s="129" t="inlineStr">
        <is>
          <t>Наименование индекса / норм сопутствующих затрат</t>
        </is>
      </c>
      <c r="C8" s="129" t="inlineStr">
        <is>
          <t>Дата применения и обоснование индекса / норм сопутствующих затрат</t>
        </is>
      </c>
      <c r="D8" s="129" t="inlineStr">
        <is>
          <t>Размер индекса / норма сопутствующих затрат</t>
        </is>
      </c>
    </row>
    <row r="9" ht="15.6" customHeight="1">
      <c r="B9" s="129" t="n">
        <v>1</v>
      </c>
      <c r="C9" s="129" t="n">
        <v>2</v>
      </c>
      <c r="D9" s="129" t="n">
        <v>3</v>
      </c>
    </row>
    <row r="10" ht="31.35" customHeight="1">
      <c r="B10" s="129" t="inlineStr">
        <is>
          <t xml:space="preserve">Индекс изменения сметной стоимости на 1 квартал 2023 года. ОЗП </t>
        </is>
      </c>
      <c r="C10" s="129" t="inlineStr">
        <is>
          <t>Письмо Минстроя России от 30.03.2023г. №17106-ИФ/09  прил.1</t>
        </is>
      </c>
      <c r="D10" s="129" t="n">
        <v>44.29</v>
      </c>
    </row>
    <row r="11" ht="31.35" customHeight="1">
      <c r="B11" s="129" t="inlineStr">
        <is>
          <t>Индекс изменения сметной стоимости на 1 квартал 2023 года. ЭМ</t>
        </is>
      </c>
      <c r="C11" s="129" t="inlineStr">
        <is>
          <t>Письмо Минстроя России от 30.03.2023г. №17106-ИФ/09  прил.1</t>
        </is>
      </c>
      <c r="D11" s="129" t="n">
        <v>13.47</v>
      </c>
    </row>
    <row r="12" ht="31.35" customHeight="1">
      <c r="B12" s="129" t="inlineStr">
        <is>
          <t>Индекс изменения сметной стоимости на 1 квартал 2023 года. МАТ</t>
        </is>
      </c>
      <c r="C12" s="129" t="inlineStr">
        <is>
          <t>Письмо Минстроя России от 30.03.2023г. №17106-ИФ/09  прил.1</t>
        </is>
      </c>
      <c r="D12" s="129" t="n">
        <v>8.039999999999999</v>
      </c>
    </row>
    <row r="13" ht="31.35" customHeight="1">
      <c r="B13" s="129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29" t="n">
        <v>6.26</v>
      </c>
    </row>
    <row r="14" ht="78.2" customHeight="1">
      <c r="B14" s="129" t="inlineStr">
        <is>
          <t>Временные здания и сооружения</t>
        </is>
      </c>
      <c r="C14" s="1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0.025</v>
      </c>
    </row>
    <row r="15" ht="78.2" customHeight="1">
      <c r="B15" s="129" t="inlineStr">
        <is>
          <t>Дополнительные затраты при производстве строительно-монтажных работ в зимнее время</t>
        </is>
      </c>
      <c r="C15" s="1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35" customHeight="1">
      <c r="B16" s="129" t="inlineStr">
        <is>
          <t>Строительный контроль</t>
        </is>
      </c>
      <c r="C16" s="129" t="inlineStr">
        <is>
          <t>Постановление Правительства РФ от 21.06.10 г. № 468</t>
        </is>
      </c>
      <c r="D16" s="24" t="n">
        <v>0.0214</v>
      </c>
    </row>
    <row r="17" ht="31.7" customHeight="1">
      <c r="B17" s="129" t="inlineStr">
        <is>
          <t>Авторский надзор - 0,2%</t>
        </is>
      </c>
      <c r="C17" s="129" t="inlineStr">
        <is>
          <t>Приказ от 4.08.2020 № 421/пр п.173</t>
        </is>
      </c>
      <c r="D17" s="24" t="n">
        <v>0.002</v>
      </c>
    </row>
    <row r="18" ht="24" customHeight="1">
      <c r="B18" s="129" t="inlineStr">
        <is>
          <t>Непредвиденные расходы</t>
        </is>
      </c>
      <c r="C18" s="129" t="inlineStr">
        <is>
          <t>Приказ от 4.08.2020 № 421/пр п.179</t>
        </is>
      </c>
      <c r="D18" s="24" t="n">
        <v>0.03</v>
      </c>
    </row>
    <row r="19" ht="18.4" customHeight="1">
      <c r="B19" s="21" t="n"/>
    </row>
    <row r="20" ht="18.4" customHeight="1">
      <c r="B20" s="21" t="n"/>
    </row>
    <row r="21" ht="18.4" customHeight="1">
      <c r="B21" s="21" t="n"/>
    </row>
    <row r="22" ht="18.4" customHeight="1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7" sqref="G1:G104857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01" t="inlineStr">
        <is>
          <t>Составлен в уровне цен на 01.01.2023 г.</t>
        </is>
      </c>
      <c r="B4" s="48" t="n"/>
      <c r="C4" s="48" t="n"/>
      <c r="D4" s="48" t="n"/>
      <c r="E4" s="48" t="n"/>
      <c r="F4" s="48" t="n"/>
      <c r="G4" s="48" t="n"/>
    </row>
    <row r="5" ht="15.75" customHeight="1">
      <c r="A5" s="84" t="inlineStr">
        <is>
          <t>№ пп.</t>
        </is>
      </c>
      <c r="B5" s="84" t="inlineStr">
        <is>
          <t>Наименование элемента</t>
        </is>
      </c>
      <c r="C5" s="84" t="inlineStr">
        <is>
          <t>Обозначение</t>
        </is>
      </c>
      <c r="D5" s="84" t="inlineStr">
        <is>
          <t>Формула</t>
        </is>
      </c>
      <c r="E5" s="84" t="inlineStr">
        <is>
          <t>Величина элемента</t>
        </is>
      </c>
      <c r="F5" s="84" t="inlineStr">
        <is>
          <t>Наименования обосновывающих документов</t>
        </is>
      </c>
      <c r="G5" s="48" t="n"/>
    </row>
    <row r="6" ht="15.75" customHeight="1">
      <c r="A6" s="84" t="n">
        <v>1</v>
      </c>
      <c r="B6" s="84" t="n">
        <v>2</v>
      </c>
      <c r="C6" s="84" t="n">
        <v>3</v>
      </c>
      <c r="D6" s="84" t="n">
        <v>4</v>
      </c>
      <c r="E6" s="84" t="n">
        <v>5</v>
      </c>
      <c r="F6" s="84" t="n">
        <v>6</v>
      </c>
      <c r="G6" s="48" t="n"/>
    </row>
    <row r="7" ht="110.25" customHeight="1">
      <c r="A7" s="102" t="inlineStr">
        <is>
          <t>1.1</t>
        </is>
      </c>
      <c r="B7" s="1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9" t="inlineStr">
        <is>
          <t>С1ср</t>
        </is>
      </c>
      <c r="D7" s="129" t="inlineStr">
        <is>
          <t>-</t>
        </is>
      </c>
      <c r="E7" s="104" t="n">
        <v>47872.94</v>
      </c>
      <c r="F7" s="1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48" t="n"/>
    </row>
    <row r="8" ht="31.5" customHeight="1">
      <c r="A8" s="102" t="inlineStr">
        <is>
          <t>1.2</t>
        </is>
      </c>
      <c r="B8" s="103" t="inlineStr">
        <is>
          <t>Среднегодовое нормативное число часов работы одного рабочего в месяц, часы (ч.)</t>
        </is>
      </c>
      <c r="C8" s="129" t="inlineStr">
        <is>
          <t>tср</t>
        </is>
      </c>
      <c r="D8" s="129" t="inlineStr">
        <is>
          <t>1973ч/12мес.</t>
        </is>
      </c>
      <c r="E8" s="105">
        <f>1973/12</f>
        <v/>
      </c>
      <c r="F8" s="103" t="inlineStr">
        <is>
          <t>Производственный календарь 2023 год
(40-часов.неделя)</t>
        </is>
      </c>
      <c r="G8" s="106" t="n"/>
    </row>
    <row r="9" ht="15.75" customHeight="1">
      <c r="A9" s="102" t="inlineStr">
        <is>
          <t>1.3</t>
        </is>
      </c>
      <c r="B9" s="103" t="inlineStr">
        <is>
          <t>Коэффициент увеличения</t>
        </is>
      </c>
      <c r="C9" s="129" t="inlineStr">
        <is>
          <t>Кув</t>
        </is>
      </c>
      <c r="D9" s="129" t="inlineStr">
        <is>
          <t>-</t>
        </is>
      </c>
      <c r="E9" s="105" t="n">
        <v>1</v>
      </c>
      <c r="F9" s="103" t="n"/>
      <c r="G9" s="106" t="n"/>
    </row>
    <row r="10" ht="15.75" customHeight="1">
      <c r="A10" s="102" t="inlineStr">
        <is>
          <t>1.4</t>
        </is>
      </c>
      <c r="B10" s="103" t="inlineStr">
        <is>
          <t>Средний разряд работ</t>
        </is>
      </c>
      <c r="C10" s="129" t="n"/>
      <c r="D10" s="129" t="n"/>
      <c r="E10" s="178" t="n">
        <v>3.8</v>
      </c>
      <c r="F10" s="103" t="inlineStr">
        <is>
          <t>РТМ</t>
        </is>
      </c>
      <c r="G10" s="106" t="n"/>
    </row>
    <row r="11" ht="78.75" customHeight="1">
      <c r="A11" s="102" t="inlineStr">
        <is>
          <t>1.5</t>
        </is>
      </c>
      <c r="B11" s="103" t="inlineStr">
        <is>
          <t>Тарифный коэффициент среднего разряда работ</t>
        </is>
      </c>
      <c r="C11" s="129" t="inlineStr">
        <is>
          <t>КТ</t>
        </is>
      </c>
      <c r="D11" s="129" t="inlineStr">
        <is>
          <t>-</t>
        </is>
      </c>
      <c r="E11" s="179" t="n">
        <v>1.308</v>
      </c>
      <c r="F11" s="1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48" t="n"/>
    </row>
    <row r="12" ht="78.75" customHeight="1">
      <c r="A12" s="102" t="inlineStr">
        <is>
          <t>1.6</t>
        </is>
      </c>
      <c r="B12" s="5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180" t="n">
        <v>1.139</v>
      </c>
      <c r="F12" s="1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06" t="n"/>
    </row>
    <row r="13" ht="63" customHeight="1">
      <c r="A13" s="111" t="inlineStr">
        <is>
          <t>1.7</t>
        </is>
      </c>
      <c r="B13" s="112" t="inlineStr">
        <is>
          <t>Размер средств на оплату труда рабочих-строителей в текущем уровне цен (ФОТр.тек.), руб/чел.-ч</t>
        </is>
      </c>
      <c r="C13" s="66" t="inlineStr">
        <is>
          <t>ФОТр.тек.</t>
        </is>
      </c>
      <c r="D13" s="66" t="inlineStr">
        <is>
          <t>(С1ср/tср*КТ*Т*Кув)*Кинф</t>
        </is>
      </c>
      <c r="E13" s="113">
        <f>((E7*E9/E8)*E11)*E12</f>
        <v/>
      </c>
      <c r="F13" s="1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48" t="n"/>
    </row>
  </sheetData>
  <mergeCells count="1">
    <mergeCell ref="A2:F2"/>
  </mergeCells>
  <pageMargins left="0.7" right="0.7" top="0.75" bottom="0.75" header="0.3" footer="0.3"/>
  <pageSetup orientation="portrait" paperSize="9" scale="5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2025-01-24T12:02:01Z</dcterms:modified>
  <cp:lastModifiedBy>Nikolay Ivanov</cp:lastModifiedBy>
  <cp:lastPrinted>2023-12-01T18:15:13Z</cp:lastPrinted>
</cp:coreProperties>
</file>