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  <numFmt numFmtId="170" formatCode="_-* #,##0.00\ _₽_-;\-* #,##0.00\ _₽_-;_-* &quot;-&quot;??\ _₽_-;_-@_-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0" pivotButton="0" quotePrefix="0" xfId="0"/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70" fontId="10" fillId="0" borderId="0" pivotButton="0" quotePrefix="0" xfId="0"/>
    <xf numFmtId="1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170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8" zoomScaleNormal="85" zoomScaleSheetLayoutView="100" workbookViewId="0">
      <selection activeCell="A26" sqref="A26"/>
    </sheetView>
  </sheetViews>
  <sheetFormatPr baseColWidth="8" defaultColWidth="9.140625" defaultRowHeight="15.75"/>
  <cols>
    <col width="9.140625" customWidth="1" style="168" min="1" max="2"/>
    <col width="36.85546875" customWidth="1" style="168" min="3" max="3"/>
    <col width="36.5703125" customWidth="1" style="168" min="4" max="4"/>
    <col hidden="1" width="36.5703125" customWidth="1" style="168" min="5" max="6"/>
    <col width="14.28515625" customWidth="1" style="166" min="7" max="7"/>
    <col width="12.140625" customWidth="1" style="166" min="8" max="8"/>
    <col width="12.28515625" customWidth="1" style="166" min="9" max="9"/>
    <col width="15" customWidth="1" style="166" min="10" max="10"/>
    <col width="9.140625" customWidth="1" style="166" min="11" max="11"/>
  </cols>
  <sheetData>
    <row r="1">
      <c r="G1" s="168" t="n"/>
      <c r="H1" s="168" t="n"/>
      <c r="I1" s="168" t="n"/>
      <c r="J1" s="168" t="n"/>
      <c r="K1" s="168" t="n"/>
    </row>
    <row r="2">
      <c r="G2" s="168" t="n"/>
      <c r="H2" s="168" t="n"/>
      <c r="I2" s="168" t="n"/>
      <c r="J2" s="168" t="n"/>
      <c r="K2" s="168" t="n"/>
    </row>
    <row r="3">
      <c r="B3" s="205" t="inlineStr">
        <is>
          <t>Приложение № 1</t>
        </is>
      </c>
      <c r="G3" s="168" t="n"/>
      <c r="H3" s="168" t="n"/>
      <c r="I3" s="168" t="n"/>
      <c r="J3" s="168" t="n"/>
      <c r="K3" s="168" t="n"/>
    </row>
    <row r="4">
      <c r="B4" s="206" t="inlineStr">
        <is>
          <t>Сравнительная таблица отбора объекта-представителя</t>
        </is>
      </c>
      <c r="G4" s="168" t="n"/>
      <c r="H4" s="168" t="n"/>
      <c r="I4" s="168" t="n"/>
      <c r="J4" s="168" t="n"/>
      <c r="K4" s="168" t="n"/>
    </row>
    <row r="5">
      <c r="B5" s="89" t="n"/>
      <c r="C5" s="89" t="n"/>
      <c r="D5" s="89" t="n"/>
      <c r="E5" s="89" t="n"/>
      <c r="F5" s="89" t="n"/>
      <c r="G5" s="168" t="n"/>
      <c r="H5" s="168" t="n"/>
      <c r="I5" s="168" t="n"/>
      <c r="J5" s="168" t="n"/>
      <c r="K5" s="168" t="n"/>
    </row>
    <row r="6">
      <c r="B6" s="89" t="n"/>
      <c r="C6" s="89" t="n"/>
      <c r="D6" s="89" t="n"/>
      <c r="E6" s="89" t="n"/>
      <c r="F6" s="89" t="n"/>
      <c r="G6" s="168" t="n"/>
      <c r="H6" s="168" t="n"/>
      <c r="I6" s="168" t="n"/>
      <c r="J6" s="168" t="n"/>
      <c r="K6" s="168" t="n"/>
    </row>
    <row r="7" ht="59.25" customHeight="1" s="166">
      <c r="B7" s="204">
        <f>CONCATENATE(TEXT('Прил.5 Расчет СМР и ОБ'!A6,0)," - ",TEXT('Прил.5 Расчет СМР и ОБ'!D6,0))</f>
        <v/>
      </c>
      <c r="G7" s="90" t="n"/>
      <c r="H7" s="168" t="n"/>
      <c r="I7" s="168" t="n"/>
      <c r="J7" s="168" t="n"/>
      <c r="K7" s="168" t="n"/>
    </row>
    <row r="8" ht="15.75" customHeight="1" s="166">
      <c r="B8" s="87" t="inlineStr">
        <is>
          <t xml:space="preserve">Сопоставимый уровень цен: </t>
        </is>
      </c>
      <c r="C8" s="87" t="n"/>
      <c r="D8" s="87">
        <f>D22</f>
        <v/>
      </c>
      <c r="E8" s="87" t="n"/>
      <c r="F8" s="87" t="n"/>
      <c r="G8" s="168" t="n"/>
      <c r="H8" s="168" t="n"/>
      <c r="I8" s="168" t="n"/>
      <c r="J8" s="168" t="n"/>
      <c r="K8" s="168" t="n"/>
    </row>
    <row r="9" ht="15.75" customHeight="1" s="166">
      <c r="B9" s="204" t="inlineStr">
        <is>
          <t>Единица измерения  — 1 пролет</t>
        </is>
      </c>
      <c r="G9" s="90" t="n"/>
      <c r="H9" s="168" t="n"/>
      <c r="I9" s="168" t="n"/>
      <c r="J9" s="168" t="n"/>
      <c r="K9" s="168" t="n"/>
    </row>
    <row r="10">
      <c r="B10" s="204" t="n"/>
      <c r="C10" s="168" t="n"/>
      <c r="D10" s="168" t="n"/>
      <c r="E10" s="168" t="n"/>
      <c r="F10" s="168" t="n"/>
      <c r="G10" s="168" t="n"/>
      <c r="H10" s="168" t="n"/>
      <c r="I10" s="168" t="n"/>
      <c r="J10" s="168" t="n"/>
      <c r="K10" s="168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>Объект-представитель 1</t>
        </is>
      </c>
      <c r="E11" s="209" t="inlineStr">
        <is>
          <t>Объект-представитель 2</t>
        </is>
      </c>
      <c r="F11" s="209" t="inlineStr">
        <is>
          <t>Объект-представитель 3</t>
        </is>
      </c>
      <c r="G11" s="90" t="n"/>
      <c r="H11" s="168" t="n"/>
      <c r="I11" s="168" t="n"/>
      <c r="J11" s="168" t="n"/>
      <c r="K11" s="168" t="n"/>
    </row>
    <row r="12" ht="63" customHeight="1" s="166">
      <c r="B12" s="209" t="n">
        <v>1</v>
      </c>
      <c r="C12" s="195" t="inlineStr">
        <is>
          <t>Наименование объекта-представителя</t>
        </is>
      </c>
      <c r="D12" s="209" t="inlineStr">
        <is>
          <t>Строительство ПС 35/110 кв Джангар с двумя трансформаторами мощностью не менее 62.9 МВА каждый</t>
        </is>
      </c>
      <c r="E12" s="209" t="n"/>
      <c r="F12" s="209" t="n"/>
      <c r="G12" s="168" t="n"/>
      <c r="H12" s="168" t="n"/>
      <c r="I12" s="168" t="n"/>
      <c r="J12" s="168" t="n"/>
      <c r="K12" s="168" t="n"/>
    </row>
    <row r="13" ht="31.35" customHeight="1" s="166">
      <c r="B13" s="209" t="n">
        <v>2</v>
      </c>
      <c r="C13" s="195" t="inlineStr">
        <is>
          <t>Наименование субъекта Российской Федерации</t>
        </is>
      </c>
      <c r="D13" s="209" t="inlineStr">
        <is>
          <t>Республика Калмыкия</t>
        </is>
      </c>
      <c r="E13" s="209" t="n"/>
      <c r="F13" s="209" t="n"/>
      <c r="G13" s="168" t="n"/>
      <c r="H13" s="168" t="n"/>
      <c r="I13" s="168" t="n"/>
      <c r="J13" s="168" t="n"/>
      <c r="K13" s="168" t="n"/>
    </row>
    <row r="14">
      <c r="B14" s="209" t="n">
        <v>3</v>
      </c>
      <c r="C14" s="195" t="inlineStr">
        <is>
          <t>Климатический район и подрайон</t>
        </is>
      </c>
      <c r="D14" s="209" t="inlineStr">
        <is>
          <t>IVГ</t>
        </is>
      </c>
      <c r="E14" s="209" t="n"/>
      <c r="F14" s="209" t="n"/>
      <c r="G14" s="168" t="n"/>
      <c r="H14" s="168" t="n"/>
      <c r="I14" s="168" t="n"/>
      <c r="J14" s="168" t="n"/>
      <c r="K14" s="168" t="n"/>
    </row>
    <row r="15">
      <c r="B15" s="209" t="n">
        <v>4</v>
      </c>
      <c r="C15" s="195" t="inlineStr">
        <is>
          <t>Мощность объекта</t>
        </is>
      </c>
      <c r="D15" s="209" t="n">
        <v>1</v>
      </c>
      <c r="E15" s="209" t="n">
        <v>4</v>
      </c>
      <c r="F15" s="209" t="n">
        <v>3</v>
      </c>
      <c r="G15" s="168" t="n"/>
      <c r="H15" s="168" t="n"/>
      <c r="I15" s="168" t="n"/>
      <c r="J15" s="168" t="n"/>
      <c r="K15" s="168" t="n"/>
    </row>
    <row r="16" ht="100.5" customHeight="1" s="166">
      <c r="B16" s="209" t="n">
        <v>5</v>
      </c>
      <c r="C16" s="9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5" t="inlineStr">
        <is>
          <t>Радиорелейная связь - 1 комплект</t>
        </is>
      </c>
      <c r="E16" s="209" t="n"/>
      <c r="F16" s="209" t="n"/>
      <c r="G16" s="168" t="n"/>
      <c r="H16" s="168" t="n"/>
      <c r="I16" s="168" t="n"/>
      <c r="J16" s="168" t="n"/>
      <c r="K16" s="168" t="n"/>
    </row>
    <row r="17" ht="82.5" customHeight="1" s="166">
      <c r="B17" s="209" t="n">
        <v>6</v>
      </c>
      <c r="C17" s="9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0">
        <f>D18+D19+D20+D21</f>
        <v/>
      </c>
      <c r="E17" s="240" t="n"/>
      <c r="F17" s="240" t="n"/>
      <c r="G17" s="93" t="n"/>
      <c r="H17" s="168" t="n"/>
      <c r="I17" s="168" t="n"/>
      <c r="J17" s="168" t="n"/>
      <c r="K17" s="168" t="n"/>
    </row>
    <row r="18">
      <c r="B18" s="94" t="inlineStr">
        <is>
          <t>6.1</t>
        </is>
      </c>
      <c r="C18" s="195" t="inlineStr">
        <is>
          <t>строительно-монтажные работы</t>
        </is>
      </c>
      <c r="D18" s="240">
        <f>'Прил.2 Расч стоим'!G13</f>
        <v/>
      </c>
      <c r="E18" s="240" t="n"/>
      <c r="F18" s="240" t="n"/>
      <c r="G18" s="168" t="n"/>
      <c r="H18" s="168" t="n"/>
      <c r="I18" s="168" t="n"/>
      <c r="J18" s="168" t="n"/>
      <c r="K18" s="168" t="n"/>
    </row>
    <row r="19">
      <c r="B19" s="94" t="inlineStr">
        <is>
          <t>6.2</t>
        </is>
      </c>
      <c r="C19" s="195" t="inlineStr">
        <is>
          <t>оборудование и инвентарь</t>
        </is>
      </c>
      <c r="D19" s="240">
        <f>'Прил.2 Расч стоим'!H13</f>
        <v/>
      </c>
      <c r="E19" s="240" t="n"/>
      <c r="F19" s="240" t="n"/>
      <c r="G19" s="168" t="n"/>
      <c r="H19" s="168" t="n"/>
      <c r="I19" s="168" t="n"/>
      <c r="J19" s="168" t="n"/>
      <c r="K19" s="168" t="n"/>
    </row>
    <row r="20">
      <c r="B20" s="94" t="inlineStr">
        <is>
          <t>6.3</t>
        </is>
      </c>
      <c r="C20" s="195" t="inlineStr">
        <is>
          <t>пусконаладочные работы</t>
        </is>
      </c>
      <c r="D20" s="240" t="n"/>
      <c r="E20" s="240" t="n"/>
      <c r="F20" s="240" t="n"/>
      <c r="G20" s="168" t="n"/>
      <c r="H20" s="168" t="n"/>
      <c r="I20" s="168" t="n"/>
      <c r="J20" s="168" t="n"/>
      <c r="K20" s="168" t="n"/>
    </row>
    <row r="21">
      <c r="B21" s="94" t="inlineStr">
        <is>
          <t>6.4</t>
        </is>
      </c>
      <c r="C21" s="95" t="inlineStr">
        <is>
          <t>прочие и лимитированные затраты</t>
        </is>
      </c>
      <c r="D21" s="190">
        <f>D18*0.039+(D18*0.039+D18)*0.047</f>
        <v/>
      </c>
      <c r="E21" s="240" t="n"/>
      <c r="F21" s="240" t="n"/>
      <c r="G21" s="168" t="n"/>
      <c r="H21" s="168" t="n"/>
      <c r="I21" s="168" t="n"/>
      <c r="J21" s="168" t="n"/>
      <c r="K21" s="168" t="n"/>
    </row>
    <row r="22">
      <c r="B22" s="209" t="n">
        <v>7</v>
      </c>
      <c r="C22" s="95" t="inlineStr">
        <is>
          <t>Сопоставимый уровень цен</t>
        </is>
      </c>
      <c r="D22" s="209" t="inlineStr">
        <is>
          <t>2 квартал 2020 г.</t>
        </is>
      </c>
      <c r="E22" s="209" t="n"/>
      <c r="F22" s="209" t="n"/>
      <c r="G22" s="93" t="n"/>
      <c r="H22" s="168" t="n"/>
      <c r="I22" s="168" t="n"/>
      <c r="J22" s="168" t="n"/>
      <c r="K22" s="168" t="n"/>
    </row>
    <row r="23" ht="119.25" customHeight="1" s="166">
      <c r="A23" s="168" t="n"/>
      <c r="B23" s="209" t="n">
        <v>8</v>
      </c>
      <c r="C23" s="1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0">
        <f>D17</f>
        <v/>
      </c>
      <c r="E23" s="240" t="n"/>
      <c r="F23" s="240" t="n"/>
      <c r="G23" s="168" t="n"/>
      <c r="H23" s="168" t="n"/>
      <c r="I23" s="168" t="n"/>
      <c r="J23" s="168" t="n"/>
      <c r="K23" s="168" t="n"/>
    </row>
    <row r="24" ht="46.9" customHeight="1" s="166">
      <c r="B24" s="209" t="n">
        <v>9</v>
      </c>
      <c r="C24" s="92" t="inlineStr">
        <is>
          <t>Приведенная сметная стоимость на единицу мощности, тыс. руб. (строка 8/строку 4)</t>
        </is>
      </c>
      <c r="D24" s="240">
        <f>D23/D15</f>
        <v/>
      </c>
      <c r="E24" s="240" t="n"/>
      <c r="F24" s="240" t="n"/>
      <c r="G24" s="93" t="n"/>
      <c r="H24" s="168" t="n"/>
      <c r="I24" s="168" t="n"/>
      <c r="J24" s="168" t="n"/>
      <c r="K24" s="168" t="n"/>
    </row>
    <row r="25" hidden="1" ht="46.9" customHeight="1" s="166">
      <c r="B25" s="209" t="n">
        <v>10</v>
      </c>
      <c r="C25" s="195" t="inlineStr">
        <is>
          <t>Примечание</t>
        </is>
      </c>
      <c r="D25" s="195" t="n"/>
      <c r="E25" s="192" t="n"/>
      <c r="F25" s="195" t="inlineStr">
        <is>
          <t xml:space="preserve">Выбран объектом-представителем с учетом минимальной удельной стоимости </t>
        </is>
      </c>
      <c r="G25" s="168" t="n"/>
      <c r="H25" s="168" t="n"/>
      <c r="I25" s="168" t="n"/>
      <c r="J25" s="168" t="n"/>
      <c r="K25" s="168" t="n"/>
    </row>
    <row r="26">
      <c r="B26" s="238" t="n"/>
      <c r="C26" s="97" t="n"/>
      <c r="D26" s="97" t="n"/>
      <c r="E26" s="97" t="n"/>
      <c r="F26" s="97" t="n"/>
      <c r="G26" s="168" t="n"/>
      <c r="H26" s="168" t="n"/>
      <c r="I26" s="168" t="n"/>
      <c r="J26" s="168" t="n"/>
      <c r="K26" s="168" t="n"/>
    </row>
    <row r="27">
      <c r="B27" s="87" t="n"/>
      <c r="G27" s="168" t="n"/>
      <c r="H27" s="168" t="n"/>
      <c r="I27" s="168" t="n"/>
      <c r="J27" s="168" t="n"/>
      <c r="K27" s="168" t="n"/>
    </row>
    <row r="28">
      <c r="B28" s="168" t="inlineStr">
        <is>
          <t>Составил ______________________        Е.А. Князева</t>
        </is>
      </c>
      <c r="G28" s="168" t="n"/>
      <c r="H28" s="168" t="n"/>
      <c r="I28" s="168" t="n"/>
      <c r="J28" s="168" t="n"/>
      <c r="K28" s="168" t="n"/>
    </row>
    <row r="29" ht="21.75" customHeight="1" s="166">
      <c r="B29" s="107" t="inlineStr">
        <is>
          <t xml:space="preserve">                         (подпись, инициалы, фамилия)</t>
        </is>
      </c>
      <c r="G29" s="168" t="n"/>
      <c r="H29" s="168" t="n"/>
      <c r="I29" s="168" t="n"/>
      <c r="J29" s="168" t="n"/>
      <c r="K29" s="168" t="n"/>
    </row>
    <row r="30">
      <c r="G30" s="168" t="n"/>
      <c r="H30" s="168" t="n"/>
      <c r="I30" s="168" t="n"/>
      <c r="J30" s="168" t="n"/>
      <c r="K30" s="168" t="n"/>
    </row>
    <row r="31">
      <c r="B31" s="168" t="inlineStr">
        <is>
          <t>Проверил ______________________        А.В. Костянецкая</t>
        </is>
      </c>
      <c r="G31" s="168" t="n"/>
      <c r="H31" s="168" t="n"/>
      <c r="I31" s="168" t="n"/>
      <c r="J31" s="168" t="n"/>
      <c r="K31" s="168" t="n"/>
    </row>
    <row r="32" ht="21.75" customHeight="1" s="166">
      <c r="B32" s="107" t="inlineStr">
        <is>
          <t xml:space="preserve">                        (подпись, инициалы, фамилия)</t>
        </is>
      </c>
      <c r="G32" s="168" t="n"/>
      <c r="H32" s="168" t="n"/>
      <c r="I32" s="168" t="n"/>
      <c r="J32" s="168" t="n"/>
      <c r="K32" s="168" t="n"/>
    </row>
    <row r="33">
      <c r="G33" s="168" t="n"/>
      <c r="H33" s="168" t="n"/>
      <c r="I33" s="168" t="n"/>
      <c r="J33" s="168" t="n"/>
      <c r="K33" s="168" t="n"/>
    </row>
    <row r="34">
      <c r="G34" s="168" t="n"/>
      <c r="H34" s="168" t="n"/>
      <c r="I34" s="168" t="n"/>
      <c r="J34" s="168" t="n"/>
      <c r="K34" s="168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C19" sqref="C19"/>
    </sheetView>
  </sheetViews>
  <sheetFormatPr baseColWidth="8" defaultColWidth="9.140625" defaultRowHeight="15"/>
  <cols>
    <col width="5.5703125" customWidth="1" style="166" min="1" max="1"/>
    <col width="9.140625" customWidth="1" style="166" min="2" max="2"/>
    <col width="35.28515625" customWidth="1" style="166" min="3" max="3"/>
    <col width="13.85546875" customWidth="1" style="166" min="4" max="4"/>
    <col width="24.85546875" customWidth="1" style="166" min="5" max="5"/>
    <col width="12.7109375" customWidth="1" style="166" min="6" max="6"/>
    <col width="14.85546875" customWidth="1" style="166" min="7" max="7"/>
    <col width="16.7109375" customWidth="1" style="166" min="8" max="8"/>
    <col width="13" customWidth="1" style="166" min="9" max="10"/>
    <col width="10.140625" customWidth="1" style="166" min="11" max="11"/>
    <col width="13.140625" customWidth="1" style="166" min="12" max="12"/>
  </cols>
  <sheetData>
    <row r="1" ht="15.6" customHeight="1" s="166">
      <c r="A1" s="168" t="n"/>
      <c r="B1" s="168" t="n"/>
      <c r="C1" s="168" t="n"/>
      <c r="D1" s="168" t="n"/>
      <c r="E1" s="168" t="n"/>
      <c r="F1" s="168" t="n"/>
      <c r="G1" s="168" t="n"/>
      <c r="H1" s="168" t="n"/>
      <c r="I1" s="168" t="n"/>
      <c r="J1" s="168" t="n"/>
    </row>
    <row r="2" ht="15.6" customHeight="1" s="166">
      <c r="A2" s="168" t="n"/>
      <c r="B2" s="168" t="n"/>
      <c r="C2" s="168" t="n"/>
      <c r="D2" s="168" t="n"/>
      <c r="E2" s="168" t="n"/>
      <c r="F2" s="168" t="n"/>
      <c r="G2" s="168" t="n"/>
      <c r="H2" s="168" t="n"/>
      <c r="I2" s="168" t="n"/>
      <c r="J2" s="168" t="n"/>
    </row>
    <row r="3" ht="15.6" customHeight="1" s="166">
      <c r="A3" s="168" t="n"/>
      <c r="B3" s="205" t="inlineStr">
        <is>
          <t>Приложение № 2</t>
        </is>
      </c>
    </row>
    <row r="4" ht="15.6" customHeight="1" s="166">
      <c r="A4" s="168" t="n"/>
      <c r="B4" s="206" t="inlineStr">
        <is>
          <t>Расчет стоимости основных видов работ для выбора объекта-представителя</t>
        </is>
      </c>
    </row>
    <row r="5" ht="15.6" customHeight="1" s="166">
      <c r="A5" s="168" t="n"/>
      <c r="B5" s="89" t="n"/>
      <c r="C5" s="89" t="n"/>
      <c r="D5" s="89" t="n"/>
      <c r="E5" s="89" t="n"/>
      <c r="F5" s="89" t="n"/>
      <c r="G5" s="89" t="n"/>
      <c r="H5" s="89" t="n"/>
      <c r="I5" s="89" t="n"/>
      <c r="J5" s="89" t="n"/>
    </row>
    <row r="6" ht="43.5" customHeight="1" s="166">
      <c r="A6" s="168" t="n"/>
      <c r="B6" s="208">
        <f>'Прил.1 Сравнит табл'!B7</f>
        <v/>
      </c>
    </row>
    <row r="7" ht="15.75" customHeight="1" s="166">
      <c r="A7" s="168" t="n"/>
      <c r="B7" s="204">
        <f>'Прил.1 Сравнит табл'!B9</f>
        <v/>
      </c>
    </row>
    <row r="8" ht="15.6" customHeight="1" s="166">
      <c r="A8" s="168" t="n"/>
      <c r="B8" s="204" t="n"/>
      <c r="C8" s="168" t="n"/>
      <c r="D8" s="168" t="n"/>
      <c r="E8" s="168" t="n"/>
      <c r="F8" s="168" t="n"/>
      <c r="G8" s="168" t="n"/>
      <c r="H8" s="168" t="n"/>
      <c r="I8" s="168" t="n"/>
      <c r="J8" s="168" t="n"/>
    </row>
    <row r="9" ht="15.75" customHeight="1" s="166">
      <c r="A9" s="168" t="n"/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41" t="n"/>
      <c r="F9" s="241" t="n"/>
      <c r="G9" s="241" t="n"/>
      <c r="H9" s="241" t="n"/>
      <c r="I9" s="241" t="n"/>
      <c r="J9" s="242" t="n"/>
      <c r="K9" s="168" t="n"/>
      <c r="L9" s="168" t="n"/>
    </row>
    <row r="10" ht="15.75" customHeight="1" s="166">
      <c r="A10" s="168" t="n"/>
      <c r="B10" s="243" t="n"/>
      <c r="C10" s="243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2 квартал 2020 г., тыс. руб.</t>
        </is>
      </c>
      <c r="G10" s="241" t="n"/>
      <c r="H10" s="241" t="n"/>
      <c r="I10" s="241" t="n"/>
      <c r="J10" s="242" t="n"/>
      <c r="K10" s="168" t="n"/>
      <c r="L10" s="168" t="n"/>
    </row>
    <row r="11" ht="69.75" customHeight="1" s="166">
      <c r="A11" s="168" t="n"/>
      <c r="B11" s="244" t="n"/>
      <c r="C11" s="244" t="n"/>
      <c r="D11" s="244" t="n"/>
      <c r="E11" s="244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  <c r="K11" s="168" t="n"/>
      <c r="L11" s="168" t="n"/>
    </row>
    <row r="12" ht="24.75" customHeight="1" s="166">
      <c r="A12" s="168" t="n"/>
      <c r="B12" s="192" t="n">
        <v>1</v>
      </c>
      <c r="C12" s="193">
        <f>'Прил.1 Сравнит табл'!D16</f>
        <v/>
      </c>
      <c r="D12" s="194" t="inlineStr">
        <is>
          <t>05-01</t>
        </is>
      </c>
      <c r="E12" s="195" t="inlineStr">
        <is>
          <t>Сети связи</t>
        </is>
      </c>
      <c r="F12" s="196" t="n"/>
      <c r="G12" s="196" t="n">
        <v>30.1277718</v>
      </c>
      <c r="H12" s="196" t="n">
        <v>17694.4153478</v>
      </c>
      <c r="I12" s="196" t="n"/>
      <c r="J12" s="197">
        <f>SUM(F12:I12)</f>
        <v/>
      </c>
      <c r="K12" s="198" t="n"/>
      <c r="L12" s="198" t="n"/>
    </row>
    <row r="13" ht="15.6" customHeight="1" s="166">
      <c r="A13" s="168" t="n"/>
      <c r="B13" s="207" t="inlineStr">
        <is>
          <t>Всего по объекту:</t>
        </is>
      </c>
      <c r="C13" s="241" t="n"/>
      <c r="D13" s="241" t="n"/>
      <c r="E13" s="242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198" t="n"/>
      <c r="L13" s="198" t="n"/>
    </row>
    <row r="14" ht="15.6" customHeight="1" s="166">
      <c r="A14" s="168" t="n"/>
      <c r="B14" s="207" t="inlineStr">
        <is>
          <t>Всего по объекту в сопоставимом уровне цен 2 квартал 2020 г. :</t>
        </is>
      </c>
      <c r="C14" s="241" t="n"/>
      <c r="D14" s="241" t="n"/>
      <c r="E14" s="242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  <c r="K14" s="168" t="n"/>
      <c r="L14" s="198" t="n"/>
    </row>
    <row r="15" ht="15.75" customHeight="1" s="166">
      <c r="A15" s="168" t="n"/>
      <c r="B15" s="204" t="n"/>
      <c r="C15" s="168" t="n"/>
      <c r="D15" s="168" t="n"/>
      <c r="E15" s="168" t="n"/>
      <c r="F15" s="168" t="n"/>
      <c r="G15" s="168" t="n"/>
      <c r="H15" s="168" t="n"/>
      <c r="I15" s="168" t="n"/>
      <c r="J15" s="168" t="n"/>
    </row>
    <row r="16" ht="15.6" customHeight="1" s="166">
      <c r="A16" s="168" t="n"/>
      <c r="B16" s="168" t="n"/>
      <c r="C16" s="168" t="n"/>
      <c r="D16" s="168" t="n"/>
      <c r="E16" s="168" t="n"/>
      <c r="F16" s="168" t="n"/>
      <c r="G16" s="168" t="n"/>
      <c r="H16" s="168" t="n"/>
      <c r="I16" s="168" t="n"/>
      <c r="J16" s="168" t="n"/>
    </row>
    <row r="17" ht="15.6" customHeight="1" s="166">
      <c r="A17" s="168" t="n"/>
      <c r="B17" s="168" t="n"/>
      <c r="C17" s="168" t="n"/>
      <c r="D17" s="168" t="n"/>
      <c r="E17" s="168" t="n"/>
      <c r="F17" s="168" t="n"/>
      <c r="G17" s="168" t="n"/>
      <c r="H17" s="168" t="n"/>
      <c r="I17" s="168" t="n"/>
      <c r="J17" s="168" t="n"/>
    </row>
    <row r="18" ht="15.6" customHeight="1" s="166">
      <c r="A18" s="168" t="n"/>
      <c r="B18" s="168" t="n"/>
      <c r="C18" s="168" t="n"/>
      <c r="D18" s="168" t="n"/>
      <c r="E18" s="168" t="n"/>
      <c r="F18" s="168" t="n"/>
      <c r="G18" s="168" t="n"/>
      <c r="H18" s="168" t="n"/>
      <c r="I18" s="168" t="n"/>
      <c r="J18" s="168" t="n"/>
    </row>
    <row r="19" ht="15.6" customHeight="1" s="166">
      <c r="A19" s="168" t="n"/>
      <c r="B19" s="168" t="inlineStr">
        <is>
          <t>Составил ______________________        Е.А. Князева</t>
        </is>
      </c>
      <c r="C19" s="168" t="n"/>
      <c r="D19" s="168" t="n"/>
      <c r="E19" s="168" t="n"/>
      <c r="F19" s="168" t="n"/>
      <c r="G19" s="168" t="n"/>
      <c r="H19" s="168" t="n"/>
      <c r="I19" s="168" t="n"/>
      <c r="J19" s="168" t="n"/>
    </row>
    <row r="20" ht="21.75" customHeight="1" s="166">
      <c r="A20" s="168" t="n"/>
      <c r="B20" s="107" t="inlineStr">
        <is>
          <t xml:space="preserve">                         (подпись, инициалы, фамилия)</t>
        </is>
      </c>
      <c r="C20" s="168" t="n"/>
      <c r="D20" s="168" t="n"/>
      <c r="E20" s="168" t="n"/>
      <c r="F20" s="168" t="n"/>
      <c r="G20" s="168" t="n"/>
      <c r="H20" s="168" t="n"/>
      <c r="I20" s="168" t="n"/>
      <c r="J20" s="168" t="n"/>
    </row>
    <row r="21" ht="15.6" customHeight="1" s="166">
      <c r="A21" s="168" t="n"/>
      <c r="B21" s="168" t="n"/>
      <c r="C21" s="168" t="n"/>
      <c r="D21" s="168" t="n"/>
      <c r="E21" s="168" t="n"/>
      <c r="F21" s="168" t="n"/>
      <c r="G21" s="168" t="n"/>
      <c r="H21" s="168" t="n"/>
      <c r="I21" s="168" t="n"/>
      <c r="J21" s="168" t="n"/>
    </row>
    <row r="22" ht="15.6" customHeight="1" s="166">
      <c r="A22" s="168" t="n"/>
      <c r="B22" s="168" t="inlineStr">
        <is>
          <t>Проверил ______________________        А.В. Костянецкая</t>
        </is>
      </c>
      <c r="C22" s="168" t="n"/>
      <c r="D22" s="168" t="n"/>
      <c r="E22" s="168" t="n"/>
      <c r="F22" s="168" t="n"/>
      <c r="G22" s="168" t="n"/>
      <c r="H22" s="168" t="n"/>
      <c r="I22" s="168" t="n"/>
      <c r="J22" s="168" t="n"/>
    </row>
    <row r="23" ht="21.75" customHeight="1" s="166">
      <c r="A23" s="168" t="n"/>
      <c r="B23" s="107" t="inlineStr">
        <is>
          <t xml:space="preserve">                        (подпись, инициалы, фамилия)</t>
        </is>
      </c>
      <c r="C23" s="168" t="n"/>
      <c r="D23" s="168" t="n"/>
      <c r="E23" s="168" t="n"/>
      <c r="F23" s="168" t="n"/>
      <c r="G23" s="168" t="n"/>
      <c r="H23" s="168" t="n"/>
      <c r="I23" s="168" t="n"/>
      <c r="J23" s="16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8"/>
  <sheetViews>
    <sheetView view="pageBreakPreview" topLeftCell="A46" workbookViewId="0">
      <selection activeCell="D81" sqref="D81"/>
    </sheetView>
  </sheetViews>
  <sheetFormatPr baseColWidth="8" defaultColWidth="9.140625" defaultRowHeight="15.75"/>
  <cols>
    <col width="9.140625" customWidth="1" style="168" min="1" max="1"/>
    <col width="12.5703125" customWidth="1" style="168" min="2" max="2"/>
    <col width="22.42578125" customWidth="1" style="168" min="3" max="3"/>
    <col width="49.7109375" customWidth="1" style="168" min="4" max="4"/>
    <col width="10.140625" customWidth="1" style="168" min="5" max="5"/>
    <col width="20.7109375" customWidth="1" style="168" min="6" max="6"/>
    <col width="16.140625" customWidth="1" style="168" min="7" max="7"/>
    <col width="16.7109375" customWidth="1" style="168" min="8" max="8"/>
    <col width="12.140625" customWidth="1" style="168" min="9" max="9"/>
    <col width="13.42578125" customWidth="1" style="168" min="10" max="10"/>
    <col width="13" customWidth="1" style="166" min="11" max="11"/>
    <col width="9.140625" customWidth="1" style="166" min="12" max="13"/>
  </cols>
  <sheetData>
    <row r="1">
      <c r="K1" s="168" t="n"/>
    </row>
    <row r="2">
      <c r="A2" s="205" t="inlineStr">
        <is>
          <t xml:space="preserve">Приложение № 3 </t>
        </is>
      </c>
      <c r="K2" s="168" t="n"/>
    </row>
    <row r="3">
      <c r="A3" s="206" t="inlineStr">
        <is>
          <t>Объектная ресурсная ведомость</t>
        </is>
      </c>
      <c r="K3" s="168" t="n"/>
    </row>
    <row r="4" ht="18.75" customHeight="1" s="166">
      <c r="A4" s="204" t="n"/>
      <c r="K4" s="168" t="n"/>
    </row>
    <row r="5" ht="36.75" customHeight="1" s="166">
      <c r="A5" s="208">
        <f>'Прил.1 Сравнит табл'!B7</f>
        <v/>
      </c>
      <c r="K5" s="168" t="n"/>
    </row>
    <row r="6" ht="36.75" customHeight="1" s="166">
      <c r="A6" s="208" t="n"/>
      <c r="B6" s="208" t="n"/>
      <c r="C6" s="208" t="n"/>
      <c r="D6" s="208" t="n"/>
      <c r="E6" s="208" t="n"/>
      <c r="F6" s="208" t="n"/>
      <c r="G6" s="208" t="n"/>
      <c r="H6" s="208" t="n"/>
      <c r="I6" s="168" t="n"/>
      <c r="J6" s="168" t="n"/>
      <c r="K6" s="168" t="n"/>
    </row>
    <row r="7" ht="36.75" customHeight="1" s="166">
      <c r="A7" s="208" t="n"/>
      <c r="B7" s="208" t="n"/>
      <c r="C7" s="208" t="n"/>
      <c r="D7" s="208" t="n"/>
      <c r="E7" s="208" t="n"/>
      <c r="F7" s="208" t="n"/>
      <c r="G7" s="208" t="n"/>
      <c r="H7" s="208" t="n"/>
      <c r="I7" s="168" t="n"/>
      <c r="J7" s="168" t="n"/>
      <c r="K7" s="168" t="n"/>
    </row>
    <row r="8">
      <c r="A8" s="118" t="n"/>
      <c r="B8" s="118" t="n"/>
      <c r="C8" s="118" t="n"/>
      <c r="D8" s="118" t="n"/>
      <c r="E8" s="118" t="n"/>
      <c r="F8" s="118" t="n"/>
      <c r="G8" s="118" t="n"/>
      <c r="H8" s="118" t="n"/>
      <c r="K8" s="168" t="n"/>
    </row>
    <row r="9" ht="33" customHeight="1" s="166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42" t="n"/>
      <c r="K9" s="168" t="n"/>
    </row>
    <row r="10" ht="33" customHeight="1" s="166">
      <c r="A10" s="244" t="n"/>
      <c r="B10" s="244" t="n"/>
      <c r="C10" s="244" t="n"/>
      <c r="D10" s="244" t="n"/>
      <c r="E10" s="244" t="n"/>
      <c r="F10" s="244" t="n"/>
      <c r="G10" s="209" t="inlineStr">
        <is>
          <t>на ед.изм.</t>
        </is>
      </c>
      <c r="H10" s="209" t="inlineStr">
        <is>
          <t>общая</t>
        </is>
      </c>
      <c r="K10" s="168" t="n"/>
    </row>
    <row r="11">
      <c r="A11" s="193" t="n">
        <v>1</v>
      </c>
      <c r="B11" s="193" t="n"/>
      <c r="C11" s="193" t="n">
        <v>2</v>
      </c>
      <c r="D11" s="193" t="inlineStr">
        <is>
          <t>З</t>
        </is>
      </c>
      <c r="E11" s="193" t="n">
        <v>4</v>
      </c>
      <c r="F11" s="193" t="n">
        <v>5</v>
      </c>
      <c r="G11" s="193" t="n">
        <v>6</v>
      </c>
      <c r="H11" s="193" t="n">
        <v>7</v>
      </c>
      <c r="I11" s="245" t="n"/>
      <c r="K11" s="168" t="n"/>
    </row>
    <row r="12">
      <c r="A12" s="210" t="inlineStr">
        <is>
          <t>Затраты труда рабочих</t>
        </is>
      </c>
      <c r="B12" s="241" t="n"/>
      <c r="C12" s="241" t="n"/>
      <c r="D12" s="241" t="n"/>
      <c r="E12" s="242" t="n"/>
      <c r="F12" s="100" t="n">
        <v>151.46</v>
      </c>
      <c r="G12" s="100" t="n"/>
      <c r="H12" s="100">
        <f>SUM(H13:H16)</f>
        <v/>
      </c>
      <c r="I12" s="246" t="n"/>
      <c r="J12" s="246" t="n"/>
      <c r="K12" s="101" t="n"/>
    </row>
    <row r="13">
      <c r="A13" s="211" t="n">
        <v>1</v>
      </c>
      <c r="B13" s="120" t="n"/>
      <c r="C13" s="150" t="inlineStr">
        <is>
          <t>1-4-2</t>
        </is>
      </c>
      <c r="D13" s="212" t="inlineStr">
        <is>
          <t>Затраты труда рабочих (ср 4,2)</t>
        </is>
      </c>
      <c r="E13" s="211" t="inlineStr">
        <is>
          <t>чел.-ч</t>
        </is>
      </c>
      <c r="F13" s="211" t="n">
        <v>77.26000000000001</v>
      </c>
      <c r="G13" s="104" t="n">
        <v>9.92</v>
      </c>
      <c r="H13" s="104">
        <f>ROUND(F13*G13,2)</f>
        <v/>
      </c>
      <c r="I13" s="168" t="n"/>
      <c r="J13" s="168" t="n"/>
      <c r="K13" s="168" t="n"/>
    </row>
    <row r="14" ht="15" customHeight="1" s="166">
      <c r="A14" s="211" t="n">
        <v>2</v>
      </c>
      <c r="B14" s="120" t="n"/>
      <c r="C14" s="150" t="inlineStr">
        <is>
          <t>1-4-0</t>
        </is>
      </c>
      <c r="D14" s="212" t="inlineStr">
        <is>
          <t>Затраты труда рабочих (ср 4)</t>
        </is>
      </c>
      <c r="E14" s="211" t="inlineStr">
        <is>
          <t>чел.-ч</t>
        </is>
      </c>
      <c r="F14" s="211" t="n">
        <v>39.2</v>
      </c>
      <c r="G14" s="104" t="n">
        <v>9.619999999999999</v>
      </c>
      <c r="H14" s="104">
        <f>ROUND(F14*G14,2)</f>
        <v/>
      </c>
      <c r="I14" s="168" t="n"/>
      <c r="J14" s="168" t="n"/>
      <c r="K14" s="168" t="n"/>
    </row>
    <row r="15" ht="15" customHeight="1" s="166">
      <c r="A15" s="211" t="n">
        <v>3</v>
      </c>
      <c r="B15" s="120" t="n"/>
      <c r="C15" s="150" t="inlineStr">
        <is>
          <t>1-5-0</t>
        </is>
      </c>
      <c r="D15" s="212" t="inlineStr">
        <is>
          <t>Затраты труда рабочих (ср 5)</t>
        </is>
      </c>
      <c r="E15" s="211" t="inlineStr">
        <is>
          <t>чел.-ч</t>
        </is>
      </c>
      <c r="F15" s="211" t="n">
        <v>18.6</v>
      </c>
      <c r="G15" s="104" t="n">
        <v>11.09</v>
      </c>
      <c r="H15" s="104">
        <f>ROUND(F15*G15,2)</f>
        <v/>
      </c>
      <c r="I15" s="168" t="n"/>
      <c r="J15" s="168" t="n"/>
      <c r="K15" s="168" t="n"/>
    </row>
    <row r="16" ht="15" customHeight="1" s="166">
      <c r="A16" s="211" t="n">
        <v>4</v>
      </c>
      <c r="B16" s="120" t="n"/>
      <c r="C16" s="150" t="inlineStr">
        <is>
          <t>1-3-0</t>
        </is>
      </c>
      <c r="D16" s="212" t="inlineStr">
        <is>
          <t>Затраты труда рабочих (ср 3)</t>
        </is>
      </c>
      <c r="E16" s="211" t="inlineStr">
        <is>
          <t>чел.-ч</t>
        </is>
      </c>
      <c r="F16" s="211" t="n">
        <v>16.4</v>
      </c>
      <c r="G16" s="104" t="n">
        <v>8.529999999999999</v>
      </c>
      <c r="H16" s="104">
        <f>ROUND(F16*G16,2)</f>
        <v/>
      </c>
      <c r="I16" s="168" t="n"/>
      <c r="J16" s="168" t="n"/>
      <c r="K16" s="168" t="n"/>
    </row>
    <row r="17">
      <c r="A17" s="210" t="inlineStr">
        <is>
          <t>Затраты труда машинистов</t>
        </is>
      </c>
      <c r="B17" s="241" t="n"/>
      <c r="C17" s="241" t="n"/>
      <c r="D17" s="241" t="n"/>
      <c r="E17" s="242" t="n"/>
      <c r="F17" s="210" t="n">
        <v>2.86</v>
      </c>
      <c r="G17" s="100" t="n"/>
      <c r="H17" s="100">
        <f>H18</f>
        <v/>
      </c>
      <c r="I17" s="168" t="n"/>
      <c r="J17" s="168" t="n"/>
      <c r="K17" s="168" t="n"/>
    </row>
    <row r="18">
      <c r="A18" s="211" t="n">
        <v>5</v>
      </c>
      <c r="B18" s="169" t="n"/>
      <c r="C18" s="111" t="n">
        <v>2</v>
      </c>
      <c r="D18" s="212" t="inlineStr">
        <is>
          <t>Затраты труда машинистов</t>
        </is>
      </c>
      <c r="E18" s="211" t="inlineStr">
        <is>
          <t>чел.-ч</t>
        </is>
      </c>
      <c r="F18" s="211" t="n">
        <v>2.86</v>
      </c>
      <c r="G18" s="104" t="n"/>
      <c r="H18" s="104" t="n">
        <v>28.95</v>
      </c>
      <c r="I18" s="168" t="n"/>
      <c r="J18" s="168" t="n"/>
      <c r="K18" s="168" t="n"/>
    </row>
    <row r="19">
      <c r="A19" s="210" t="inlineStr">
        <is>
          <t>Машины и механизмы</t>
        </is>
      </c>
      <c r="B19" s="241" t="n"/>
      <c r="C19" s="241" t="n"/>
      <c r="D19" s="241" t="n"/>
      <c r="E19" s="242" t="n"/>
      <c r="F19" s="210" t="n"/>
      <c r="G19" s="100" t="n"/>
      <c r="H19" s="100">
        <f>SUM(H20:H21)</f>
        <v/>
      </c>
      <c r="I19" s="246" t="n"/>
      <c r="J19" s="246" t="n"/>
      <c r="K19" s="101" t="n"/>
    </row>
    <row r="20">
      <c r="A20" s="211" t="n">
        <v>6</v>
      </c>
      <c r="B20" s="169" t="n"/>
      <c r="C20" s="212" t="inlineStr">
        <is>
          <t>91.06.05-011</t>
        </is>
      </c>
      <c r="D20" s="212" t="inlineStr">
        <is>
          <t>Погрузчики, грузоподъемность 5 т</t>
        </is>
      </c>
      <c r="E20" s="211" t="inlineStr">
        <is>
          <t>маш.час</t>
        </is>
      </c>
      <c r="F20" s="211" t="n">
        <v>2.86</v>
      </c>
      <c r="G20" s="104" t="n">
        <v>89.98999999999999</v>
      </c>
      <c r="H20" s="104">
        <f>ROUND(F20*G20,2)</f>
        <v/>
      </c>
      <c r="I20" s="202" t="n"/>
      <c r="J20" s="202" t="n"/>
      <c r="K20" s="168" t="n"/>
    </row>
    <row r="21" ht="31.35" customHeight="1" s="166">
      <c r="A21" s="211" t="n">
        <v>7</v>
      </c>
      <c r="B21" s="169" t="n"/>
      <c r="C21" s="212" t="inlineStr">
        <is>
          <t>91.06.03-060</t>
        </is>
      </c>
      <c r="D21" s="212" t="inlineStr">
        <is>
          <t>Лебедки электрические тяговым усилием до 5,79 кН (0,59 т)</t>
        </is>
      </c>
      <c r="E21" s="211" t="inlineStr">
        <is>
          <t>маш.час</t>
        </is>
      </c>
      <c r="F21" s="211" t="n">
        <v>2.66</v>
      </c>
      <c r="G21" s="104" t="n">
        <v>1.7</v>
      </c>
      <c r="H21" s="104">
        <f>ROUND(F21*G21,2)</f>
        <v/>
      </c>
      <c r="I21" s="202" t="n"/>
      <c r="J21" s="202" t="n"/>
      <c r="K21" s="101" t="n"/>
    </row>
    <row r="22">
      <c r="A22" s="210" t="inlineStr">
        <is>
          <t>Оборудование</t>
        </is>
      </c>
      <c r="B22" s="241" t="n"/>
      <c r="C22" s="241" t="n"/>
      <c r="D22" s="241" t="n"/>
      <c r="E22" s="242" t="n"/>
      <c r="F22" s="210" t="n"/>
      <c r="G22" s="100" t="n"/>
      <c r="H22" s="100">
        <f>SUM(H23:H28)</f>
        <v/>
      </c>
      <c r="I22" s="246" t="n"/>
      <c r="J22" s="246" t="n"/>
      <c r="K22" s="168" t="n"/>
    </row>
    <row r="23">
      <c r="A23" s="211" t="n">
        <v>8</v>
      </c>
      <c r="B23" s="169" t="n"/>
      <c r="C23" s="212" t="inlineStr">
        <is>
          <t>Прайс из СД ОП</t>
        </is>
      </c>
      <c r="D23" s="212" t="inlineStr">
        <is>
          <t>Радиорелейная станция</t>
        </is>
      </c>
      <c r="E23" s="211" t="inlineStr">
        <is>
          <t>шт</t>
        </is>
      </c>
      <c r="F23" s="211" t="n">
        <v>2</v>
      </c>
      <c r="G23" s="104" t="n">
        <v>1367180.51</v>
      </c>
      <c r="H23" s="104">
        <f>ROUND(F23*G23,2)</f>
        <v/>
      </c>
      <c r="I23" s="168" t="n"/>
      <c r="J23" s="168" t="n"/>
      <c r="K23" s="168" t="n"/>
    </row>
    <row r="24">
      <c r="A24" s="211" t="n">
        <v>9</v>
      </c>
      <c r="B24" s="169" t="n"/>
      <c r="C24" s="212" t="inlineStr">
        <is>
          <t>Прайс из СД ОП</t>
        </is>
      </c>
      <c r="D24" s="212" t="inlineStr">
        <is>
          <t>АКБ фронттерминальная, 12В, 200Ач, 4 штуки</t>
        </is>
      </c>
      <c r="E24" s="211" t="inlineStr">
        <is>
          <t>комплект</t>
        </is>
      </c>
      <c r="F24" s="211" t="n">
        <v>2</v>
      </c>
      <c r="G24" s="104" t="n">
        <v>50319.49</v>
      </c>
      <c r="H24" s="104">
        <f>ROUND(F24*G24,2)</f>
        <v/>
      </c>
      <c r="I24" s="168" t="n"/>
      <c r="J24" s="168" t="n"/>
      <c r="K24" s="168" t="n"/>
    </row>
    <row r="25">
      <c r="A25" s="211" t="n">
        <v>10</v>
      </c>
      <c r="B25" s="169" t="n"/>
      <c r="C25" s="212" t="inlineStr">
        <is>
          <t>Прайс из СД ОП</t>
        </is>
      </c>
      <c r="D25" s="212" t="inlineStr">
        <is>
          <t>Оборудование электропитания, 6 кВт</t>
        </is>
      </c>
      <c r="E25" s="211" t="inlineStr">
        <is>
          <t>шт</t>
        </is>
      </c>
      <c r="F25" s="211" t="n">
        <v>2</v>
      </c>
      <c r="G25" s="104" t="n">
        <v>107618.11</v>
      </c>
      <c r="H25" s="104">
        <f>ROUND(F25*G25,2)</f>
        <v/>
      </c>
      <c r="I25" s="168" t="n"/>
      <c r="J25" s="168" t="n"/>
      <c r="K25" s="168" t="n"/>
    </row>
    <row r="26" ht="93.75" customHeight="1" s="166">
      <c r="A26" s="211" t="n">
        <v>11</v>
      </c>
      <c r="B26" s="169" t="n"/>
      <c r="C26" s="212" t="inlineStr">
        <is>
          <t>Прайс из СД ОП</t>
        </is>
      </c>
      <c r="D26" s="212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E26" s="211" t="inlineStr">
        <is>
          <t>шт</t>
        </is>
      </c>
      <c r="F26" s="211" t="n">
        <v>2</v>
      </c>
      <c r="G26" s="104" t="n">
        <v>62899.36</v>
      </c>
      <c r="H26" s="104">
        <f>ROUND(F26*G26,2)</f>
        <v/>
      </c>
      <c r="I26" s="168" t="n"/>
      <c r="J26" s="168" t="n"/>
    </row>
    <row r="27" ht="125.1" customHeight="1" s="166">
      <c r="A27" s="211" t="n">
        <v>12</v>
      </c>
      <c r="B27" s="169" t="n"/>
      <c r="C27" s="212" t="inlineStr">
        <is>
          <t>Прайс из СД ОП</t>
        </is>
      </c>
      <c r="D27" s="212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E27" s="211" t="inlineStr">
        <is>
          <t>шт</t>
        </is>
      </c>
      <c r="F27" s="211" t="n">
        <v>2</v>
      </c>
      <c r="G27" s="104" t="n">
        <v>138378.59</v>
      </c>
      <c r="H27" s="104">
        <f>ROUND(F27*G27,2)</f>
        <v/>
      </c>
      <c r="I27" s="168" t="n"/>
      <c r="J27" s="168" t="n"/>
    </row>
    <row r="28" ht="31.35" customHeight="1" s="166">
      <c r="A28" s="211" t="n">
        <v>13</v>
      </c>
      <c r="B28" s="169" t="n"/>
      <c r="C28" s="212" t="inlineStr">
        <is>
          <t>Прайс из СД ОП</t>
        </is>
      </c>
      <c r="D28" s="212" t="inlineStr">
        <is>
          <t>Модуль мониторинга и контроля состояния шкафа</t>
        </is>
      </c>
      <c r="E28" s="211" t="inlineStr">
        <is>
          <t>шт</t>
        </is>
      </c>
      <c r="F28" s="211" t="n">
        <v>2</v>
      </c>
      <c r="G28" s="104" t="n">
        <v>75479.23</v>
      </c>
      <c r="H28" s="104">
        <f>ROUND(F28*G28,2)</f>
        <v/>
      </c>
      <c r="I28" s="168" t="n"/>
      <c r="J28" s="168" t="n"/>
      <c r="K28" s="168" t="n"/>
    </row>
    <row r="29">
      <c r="A29" s="210" t="inlineStr">
        <is>
          <t>Материалы</t>
        </is>
      </c>
      <c r="B29" s="241" t="n"/>
      <c r="C29" s="241" t="n"/>
      <c r="D29" s="241" t="n"/>
      <c r="E29" s="242" t="n"/>
      <c r="F29" s="210" t="n"/>
      <c r="G29" s="100" t="n"/>
      <c r="H29" s="100">
        <f>SUM(H30:H51)</f>
        <v/>
      </c>
      <c r="I29" s="246" t="n"/>
      <c r="J29" s="246" t="n"/>
      <c r="K29" s="168" t="n"/>
    </row>
    <row r="30" ht="31.35" customHeight="1" s="166">
      <c r="A30" s="211" t="n">
        <v>14</v>
      </c>
      <c r="B30" s="122" t="n"/>
      <c r="C30" s="212" t="inlineStr">
        <is>
          <t>01.7.15.03-0031</t>
        </is>
      </c>
      <c r="D30" s="212" t="inlineStr">
        <is>
          <t>Болты с гайками и шайбами оцинкованные, диаметр 6 мм</t>
        </is>
      </c>
      <c r="E30" s="211" t="inlineStr">
        <is>
          <t>кг</t>
        </is>
      </c>
      <c r="F30" s="211" t="n">
        <v>4.508</v>
      </c>
      <c r="G30" s="104" t="n">
        <v>28.22</v>
      </c>
      <c r="H30" s="104">
        <f>ROUND(F30*G30,2)</f>
        <v/>
      </c>
      <c r="I30" s="246" t="n"/>
      <c r="J30" s="246" t="n"/>
      <c r="K30" s="246" t="n"/>
    </row>
    <row r="31" ht="31.35" customHeight="1" s="166">
      <c r="A31" s="211" t="n">
        <v>15</v>
      </c>
      <c r="B31" s="122" t="n"/>
      <c r="C31" s="212" t="inlineStr">
        <is>
          <t>11.2.11.05-0002</t>
        </is>
      </c>
      <c r="D31" s="212" t="inlineStr">
        <is>
          <t>Фанера клееная обрезная, сорт В/ВВ, ФК, ФБА, толщина 4 мм</t>
        </is>
      </c>
      <c r="E31" s="211" t="inlineStr">
        <is>
          <t>м3</t>
        </is>
      </c>
      <c r="F31" s="211" t="n">
        <v>0.016</v>
      </c>
      <c r="G31" s="104" t="n">
        <v>4949.4</v>
      </c>
      <c r="H31" s="104">
        <f>ROUND(F31*G31,2)</f>
        <v/>
      </c>
    </row>
    <row r="32">
      <c r="A32" s="211" t="n">
        <v>16</v>
      </c>
      <c r="B32" s="122" t="n"/>
      <c r="C32" s="212" t="inlineStr">
        <is>
          <t>20.2.10.03-0020</t>
        </is>
      </c>
      <c r="D32" s="212" t="inlineStr">
        <is>
          <t>Наконечники кабельные П2.5-4Д-МУ3</t>
        </is>
      </c>
      <c r="E32" s="211" t="inlineStr">
        <is>
          <t>100 шт</t>
        </is>
      </c>
      <c r="F32" s="211" t="n">
        <v>0.2</v>
      </c>
      <c r="G32" s="104" t="n">
        <v>203</v>
      </c>
      <c r="H32" s="104">
        <f>ROUND(F32*G32,2)</f>
        <v/>
      </c>
    </row>
    <row r="33" ht="31.35" customHeight="1" s="166">
      <c r="A33" s="211" t="n">
        <v>17</v>
      </c>
      <c r="B33" s="122" t="n"/>
      <c r="C33" s="212" t="inlineStr">
        <is>
          <t>999-9950</t>
        </is>
      </c>
      <c r="D33" s="212" t="inlineStr">
        <is>
          <t>Вспомогательные ненормируемые ресурсы (2% от Оплаты труда рабочих)</t>
        </is>
      </c>
      <c r="E33" s="211" t="inlineStr">
        <is>
          <t>руб</t>
        </is>
      </c>
      <c r="F33" s="211" t="n">
        <v>27.3</v>
      </c>
      <c r="G33" s="104" t="n">
        <v>1</v>
      </c>
      <c r="H33" s="104">
        <f>ROUND(F33*G33,2)</f>
        <v/>
      </c>
    </row>
    <row r="34" ht="15" customHeight="1" s="166">
      <c r="A34" s="211" t="n">
        <v>18</v>
      </c>
      <c r="B34" s="122" t="n"/>
      <c r="C34" s="212" t="inlineStr">
        <is>
          <t>20.2.10.03-0021</t>
        </is>
      </c>
      <c r="D34" s="212" t="inlineStr">
        <is>
          <t>Наконечники кабельные П6-4Д-МУЗ</t>
        </is>
      </c>
      <c r="E34" s="211" t="inlineStr">
        <is>
          <t>100 шт</t>
        </is>
      </c>
      <c r="F34" s="211" t="n">
        <v>0.04</v>
      </c>
      <c r="G34" s="104" t="n">
        <v>580</v>
      </c>
      <c r="H34" s="104">
        <f>ROUND(F34*G34,2)</f>
        <v/>
      </c>
    </row>
    <row r="35" ht="31.35" customHeight="1" s="166">
      <c r="A35" s="211" t="n">
        <v>19</v>
      </c>
      <c r="B35" s="122" t="n"/>
      <c r="C35" s="212" t="inlineStr">
        <is>
          <t>01.7.15.07-0012</t>
        </is>
      </c>
      <c r="D35" s="212" t="inlineStr">
        <is>
          <t>Дюбели пластмассовые с шурупами, размер 12х70 мм</t>
        </is>
      </c>
      <c r="E35" s="211" t="inlineStr">
        <is>
          <t>100 шт</t>
        </is>
      </c>
      <c r="F35" s="211" t="n">
        <v>0.2</v>
      </c>
      <c r="G35" s="104" t="n">
        <v>83</v>
      </c>
      <c r="H35" s="104">
        <f>ROUND(F35*G35,2)</f>
        <v/>
      </c>
    </row>
    <row r="36" ht="31.35" customHeight="1" s="166">
      <c r="A36" s="211" t="n">
        <v>20</v>
      </c>
      <c r="B36" s="122" t="n"/>
      <c r="C36" s="212" t="inlineStr">
        <is>
          <t>10.3.02.03-0011</t>
        </is>
      </c>
      <c r="D36" s="212" t="inlineStr">
        <is>
          <t>Припои оловянно-свинцовые бессурьмянистые, марка ПОС30</t>
        </is>
      </c>
      <c r="E36" s="211" t="inlineStr">
        <is>
          <t>т</t>
        </is>
      </c>
      <c r="F36" s="211" t="n">
        <v>0.0002</v>
      </c>
      <c r="G36" s="104" t="n">
        <v>68050</v>
      </c>
      <c r="H36" s="104">
        <f>ROUND(F36*G36,2)</f>
        <v/>
      </c>
    </row>
    <row r="37" ht="15" customHeight="1" s="166">
      <c r="A37" s="211" t="n">
        <v>21</v>
      </c>
      <c r="B37" s="122" t="n"/>
      <c r="C37" s="212" t="inlineStr">
        <is>
          <t>10.3.02.03-0012</t>
        </is>
      </c>
      <c r="D37" s="212" t="inlineStr">
        <is>
          <t>Припои оловянно-свинцовые бессурьмянистые, марка ПОС40</t>
        </is>
      </c>
      <c r="E37" s="211" t="inlineStr">
        <is>
          <t>т</t>
        </is>
      </c>
      <c r="F37" s="211" t="n">
        <v>0.00012</v>
      </c>
      <c r="G37" s="104" t="n">
        <v>65750</v>
      </c>
      <c r="H37" s="104">
        <f>ROUND(F37*G37,2)</f>
        <v/>
      </c>
    </row>
    <row r="38">
      <c r="A38" s="211" t="n">
        <v>22</v>
      </c>
      <c r="B38" s="122" t="n"/>
      <c r="C38" s="212" t="inlineStr">
        <is>
          <t>01.7.20.03-0012</t>
        </is>
      </c>
      <c r="D38" s="212" t="inlineStr">
        <is>
          <t>Мешковина джутовая</t>
        </is>
      </c>
      <c r="E38" s="211" t="inlineStr">
        <is>
          <t>м2</t>
        </is>
      </c>
      <c r="F38" s="211" t="n">
        <v>0.9</v>
      </c>
      <c r="G38" s="104" t="n">
        <v>8.33</v>
      </c>
      <c r="H38" s="104">
        <f>ROUND(F38*G38,2)</f>
        <v/>
      </c>
    </row>
    <row r="39" ht="31.35" customHeight="1" s="166">
      <c r="A39" s="211" t="n">
        <v>23</v>
      </c>
      <c r="B39" s="122" t="n"/>
      <c r="C39" s="212" t="inlineStr">
        <is>
          <t>10.2.02.08-0001</t>
        </is>
      </c>
      <c r="D39" s="212" t="inlineStr">
        <is>
          <t>Проволока медная, круглая, мягкая, электротехническая, диаметр 1,0-3,0 мм и выше</t>
        </is>
      </c>
      <c r="E39" s="211" t="inlineStr">
        <is>
          <t>т</t>
        </is>
      </c>
      <c r="F39" s="211" t="n">
        <v>0.0002</v>
      </c>
      <c r="G39" s="104" t="n">
        <v>37517</v>
      </c>
      <c r="H39" s="104">
        <f>ROUND(F39*G39,2)</f>
        <v/>
      </c>
    </row>
    <row r="40" ht="31.35" customHeight="1" s="166">
      <c r="A40" s="211" t="n">
        <v>24</v>
      </c>
      <c r="B40" s="122" t="n"/>
      <c r="C40" s="212" t="inlineStr">
        <is>
          <t>24.3.01.01-0004</t>
        </is>
      </c>
      <c r="D40" s="212" t="inlineStr">
        <is>
          <t>Трубка электроизоляционная ПВХ-305, диаметр 6-10 мм</t>
        </is>
      </c>
      <c r="E40" s="211" t="inlineStr">
        <is>
          <t>кг</t>
        </is>
      </c>
      <c r="F40" s="211" t="n">
        <v>0.16</v>
      </c>
      <c r="G40" s="104" t="n">
        <v>38.34</v>
      </c>
      <c r="H40" s="104">
        <f>ROUND(F40*G40,2)</f>
        <v/>
      </c>
    </row>
    <row r="41">
      <c r="A41" s="211" t="n">
        <v>25</v>
      </c>
      <c r="B41" s="122" t="n"/>
      <c r="C41" s="212" t="inlineStr">
        <is>
          <t>01.7.15.03-0042</t>
        </is>
      </c>
      <c r="D41" s="212" t="inlineStr">
        <is>
          <t>Болты с гайками и шайбами строительные</t>
        </is>
      </c>
      <c r="E41" s="211" t="inlineStr">
        <is>
          <t>кг</t>
        </is>
      </c>
      <c r="F41" s="211" t="n">
        <v>0.6</v>
      </c>
      <c r="G41" s="104" t="n">
        <v>9.039999999999999</v>
      </c>
      <c r="H41" s="104">
        <f>ROUND(F41*G41,2)</f>
        <v/>
      </c>
    </row>
    <row r="42" ht="46.9" customHeight="1" s="166">
      <c r="A42" s="211" t="n">
        <v>26</v>
      </c>
      <c r="B42" s="122" t="n"/>
      <c r="C42" s="212" t="inlineStr">
        <is>
          <t>01.7.06.05-0042</t>
        </is>
      </c>
      <c r="D42" s="212" t="inlineStr">
        <is>
          <t>Лента липкая изоляционная на поликасиновом компаунде, ширина 20-30 мм, толщина от 0,14 до 0,19 мм</t>
        </is>
      </c>
      <c r="E42" s="211" t="inlineStr">
        <is>
          <t>кг</t>
        </is>
      </c>
      <c r="F42" s="211" t="n">
        <v>0.04</v>
      </c>
      <c r="G42" s="104" t="n">
        <v>91.29000000000001</v>
      </c>
      <c r="H42" s="104">
        <f>ROUND(F42*G42,2)</f>
        <v/>
      </c>
    </row>
    <row r="43">
      <c r="A43" s="211" t="n">
        <v>27</v>
      </c>
      <c r="B43" s="122" t="n"/>
      <c r="C43" s="212" t="inlineStr">
        <is>
          <t>14.4.03.17-0011</t>
        </is>
      </c>
      <c r="D43" s="212" t="inlineStr">
        <is>
          <t>Лак электроизоляционный 318</t>
        </is>
      </c>
      <c r="E43" s="211" t="inlineStr">
        <is>
          <t>кг</t>
        </is>
      </c>
      <c r="F43" s="211" t="n">
        <v>0.06</v>
      </c>
      <c r="G43" s="104" t="n">
        <v>35.63</v>
      </c>
      <c r="H43" s="104">
        <f>ROUND(F43*G43,2)</f>
        <v/>
      </c>
    </row>
    <row r="44">
      <c r="A44" s="211" t="n">
        <v>28</v>
      </c>
      <c r="B44" s="122" t="n"/>
      <c r="C44" s="212" t="inlineStr">
        <is>
          <t>25.2.01.01-0017</t>
        </is>
      </c>
      <c r="D44" s="212" t="inlineStr">
        <is>
          <t>Бирки маркировочные пластмассовые</t>
        </is>
      </c>
      <c r="E44" s="211" t="inlineStr">
        <is>
          <t>100 шт</t>
        </is>
      </c>
      <c r="F44" s="211" t="n">
        <v>0.04</v>
      </c>
      <c r="G44" s="104" t="n">
        <v>30.74</v>
      </c>
      <c r="H44" s="104">
        <f>ROUND(F44*G44,2)</f>
        <v/>
      </c>
    </row>
    <row r="45">
      <c r="A45" s="211" t="n">
        <v>29</v>
      </c>
      <c r="B45" s="122" t="n"/>
      <c r="C45" s="212" t="inlineStr">
        <is>
          <t>01.7.19.11-0012</t>
        </is>
      </c>
      <c r="D45" s="212" t="inlineStr">
        <is>
          <t>Трубка резиновая техническая</t>
        </is>
      </c>
      <c r="E45" s="211" t="inlineStr">
        <is>
          <t>кг</t>
        </is>
      </c>
      <c r="F45" s="211" t="n">
        <v>0.02</v>
      </c>
      <c r="G45" s="104" t="n">
        <v>51.38</v>
      </c>
      <c r="H45" s="104">
        <f>ROUND(F45*G45,2)</f>
        <v/>
      </c>
    </row>
    <row r="46">
      <c r="A46" s="211" t="n">
        <v>30</v>
      </c>
      <c r="B46" s="122" t="n"/>
      <c r="C46" s="212" t="inlineStr">
        <is>
          <t>14.1.01.01-0003</t>
        </is>
      </c>
      <c r="D46" s="212" t="inlineStr">
        <is>
          <t>Клей столярный сухой</t>
        </is>
      </c>
      <c r="E46" s="211" t="inlineStr">
        <is>
          <t>кг</t>
        </is>
      </c>
      <c r="F46" s="211" t="n">
        <v>0.05</v>
      </c>
      <c r="G46" s="104" t="n">
        <v>16.95</v>
      </c>
      <c r="H46" s="104">
        <f>ROUND(F46*G46,2)</f>
        <v/>
      </c>
    </row>
    <row r="47" ht="31.35" customHeight="1" s="166">
      <c r="A47" s="211" t="n">
        <v>31</v>
      </c>
      <c r="B47" s="122" t="n"/>
      <c r="C47" s="212" t="inlineStr">
        <is>
          <t>14.3.02.01-0219</t>
        </is>
      </c>
      <c r="D47" s="212" t="inlineStr">
        <is>
          <t>Краска универсальная, акриловая для внутренних и наружных работ</t>
        </is>
      </c>
      <c r="E47" s="211" t="inlineStr">
        <is>
          <t>т</t>
        </is>
      </c>
      <c r="F47" s="211" t="n">
        <v>4e-05</v>
      </c>
      <c r="G47" s="104" t="n">
        <v>15481</v>
      </c>
      <c r="H47" s="104">
        <f>ROUND(F47*G47,2)</f>
        <v/>
      </c>
    </row>
    <row r="48">
      <c r="A48" s="211" t="n">
        <v>32</v>
      </c>
      <c r="B48" s="122" t="n"/>
      <c r="C48" s="212" t="inlineStr">
        <is>
          <t>22.2.02.15-0001</t>
        </is>
      </c>
      <c r="D48" s="212" t="inlineStr">
        <is>
          <t>Скрепы 10х2 мм</t>
        </is>
      </c>
      <c r="E48" s="211" t="inlineStr">
        <is>
          <t>кг</t>
        </is>
      </c>
      <c r="F48" s="211" t="n">
        <v>0.04</v>
      </c>
      <c r="G48" s="104" t="n">
        <v>15.37</v>
      </c>
      <c r="H48" s="104">
        <f>ROUND(F48*G48,2)</f>
        <v/>
      </c>
    </row>
    <row r="49">
      <c r="A49" s="211" t="n">
        <v>33</v>
      </c>
      <c r="B49" s="122" t="n"/>
      <c r="C49" s="212" t="inlineStr">
        <is>
          <t>01.3.05.17-0002</t>
        </is>
      </c>
      <c r="D49" s="212" t="inlineStr">
        <is>
          <t>Канифоль сосновая</t>
        </is>
      </c>
      <c r="E49" s="211" t="inlineStr">
        <is>
          <t>кг</t>
        </is>
      </c>
      <c r="F49" s="211" t="n">
        <v>0.02</v>
      </c>
      <c r="G49" s="104" t="n">
        <v>27.74</v>
      </c>
      <c r="H49" s="104">
        <f>ROUND(F49*G49,2)</f>
        <v/>
      </c>
    </row>
    <row r="50">
      <c r="A50" s="211" t="n">
        <v>34</v>
      </c>
      <c r="B50" s="122" t="n"/>
      <c r="C50" s="212" t="inlineStr">
        <is>
          <t>03.1.01.01-0002</t>
        </is>
      </c>
      <c r="D50" s="212" t="inlineStr">
        <is>
          <t>Гипс строительный Г-3</t>
        </is>
      </c>
      <c r="E50" s="211" t="inlineStr">
        <is>
          <t>т</t>
        </is>
      </c>
      <c r="F50" s="211" t="n">
        <v>0.0005999999999999999</v>
      </c>
      <c r="G50" s="104" t="n">
        <v>729.98</v>
      </c>
      <c r="H50" s="104">
        <f>ROUND(F50*G50,2)</f>
        <v/>
      </c>
    </row>
    <row r="51">
      <c r="A51" s="211" t="n">
        <v>35</v>
      </c>
      <c r="B51" s="122" t="n"/>
      <c r="C51" s="212" t="inlineStr">
        <is>
          <t>01.7.20.04-0003</t>
        </is>
      </c>
      <c r="D51" s="212" t="inlineStr">
        <is>
          <t>Нитки суровые</t>
        </is>
      </c>
      <c r="E51" s="211" t="inlineStr">
        <is>
          <t>кг</t>
        </is>
      </c>
      <c r="F51" s="211" t="n">
        <v>0.0014</v>
      </c>
      <c r="G51" s="104" t="n">
        <v>155</v>
      </c>
      <c r="H51" s="104">
        <f>ROUND(F51*G51,2)</f>
        <v/>
      </c>
    </row>
    <row r="52">
      <c r="J52" s="113" t="n"/>
    </row>
    <row r="54">
      <c r="B54" s="168" t="inlineStr">
        <is>
          <t>Составил ______________________        Е.А. Князева</t>
        </is>
      </c>
    </row>
    <row r="55">
      <c r="B55" s="153" t="inlineStr">
        <is>
          <t xml:space="preserve">                         (подпись, инициалы, фамилия)</t>
        </is>
      </c>
    </row>
    <row r="57">
      <c r="B57" s="168" t="inlineStr">
        <is>
          <t>Проверил ______________________        А.В. Костянецкая</t>
        </is>
      </c>
    </row>
    <row r="58">
      <c r="B58" s="15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2:H2"/>
    <mergeCell ref="A19:E19"/>
    <mergeCell ref="A5:H5"/>
    <mergeCell ref="G9:H9"/>
    <mergeCell ref="A22:E22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2" sqref="B42"/>
    </sheetView>
  </sheetViews>
  <sheetFormatPr baseColWidth="8" defaultColWidth="9.140625" defaultRowHeight="15"/>
  <cols>
    <col width="4.140625" customWidth="1" style="166" min="1" max="1"/>
    <col width="36.28515625" customWidth="1" style="166" min="2" max="2"/>
    <col width="18.85546875" customWidth="1" style="166" min="3" max="3"/>
    <col width="18.28515625" customWidth="1" style="166" min="4" max="4"/>
    <col width="18.85546875" customWidth="1" style="166" min="5" max="5"/>
    <col width="9.140625" customWidth="1" style="166" min="6" max="6"/>
    <col width="12.85546875" customWidth="1" style="166" min="7" max="7"/>
    <col width="9.140625" customWidth="1" style="166" min="8" max="11"/>
    <col width="13.5703125" customWidth="1" style="166" min="12" max="12"/>
    <col width="9.140625" customWidth="1" style="166" min="13" max="13"/>
  </cols>
  <sheetData>
    <row r="1">
      <c r="B1" s="139" t="n"/>
      <c r="C1" s="139" t="n"/>
      <c r="D1" s="139" t="n"/>
      <c r="E1" s="139" t="n"/>
    </row>
    <row r="2">
      <c r="B2" s="139" t="n"/>
      <c r="C2" s="139" t="n"/>
      <c r="D2" s="139" t="n"/>
      <c r="E2" s="236" t="inlineStr">
        <is>
          <t>Приложение № 4</t>
        </is>
      </c>
    </row>
    <row r="3">
      <c r="B3" s="139" t="n"/>
      <c r="C3" s="139" t="n"/>
      <c r="D3" s="139" t="n"/>
      <c r="E3" s="139" t="n"/>
    </row>
    <row r="4">
      <c r="B4" s="139" t="n"/>
      <c r="C4" s="139" t="n"/>
      <c r="D4" s="139" t="n"/>
      <c r="E4" s="139" t="n"/>
    </row>
    <row r="5">
      <c r="B5" s="213" t="inlineStr">
        <is>
          <t>Ресурсная модель</t>
        </is>
      </c>
    </row>
    <row r="6">
      <c r="B6" s="18" t="n"/>
      <c r="C6" s="139" t="n"/>
      <c r="D6" s="139" t="n"/>
      <c r="E6" s="139" t="n"/>
    </row>
    <row r="7" ht="39.75" customHeight="1" s="166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39" t="n"/>
      <c r="D9" s="139" t="n"/>
      <c r="E9" s="139" t="n"/>
    </row>
    <row r="10" ht="51.6" customHeight="1" s="166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4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44">
        <f>'Прил.5 Расчет СМР и ОБ'!J20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44">
        <f>'Прил.5 Расчет СМР и ОБ'!J22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44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4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44">
        <f>'Прил.5 Расчет СМР и ОБ'!J49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44">
        <f>'Прил.5 Расчет СМР и ОБ'!J64</f>
        <v/>
      </c>
      <c r="D17" s="33">
        <f>C17/$C$24</f>
        <v/>
      </c>
      <c r="E17" s="33">
        <f>C17/$C$40</f>
        <v/>
      </c>
      <c r="G17" s="247" t="n"/>
    </row>
    <row r="18">
      <c r="B18" s="31" t="inlineStr">
        <is>
          <t>МАТЕРИАЛЫ, ВСЕГО:</t>
        </is>
      </c>
      <c r="C18" s="144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44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44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ОБ'!E68</f>
        <v/>
      </c>
      <c r="D21" s="33" t="n"/>
      <c r="E21" s="31" t="n"/>
    </row>
    <row r="22">
      <c r="B22" s="31" t="inlineStr">
        <is>
          <t>Накладные расходы, руб.</t>
        </is>
      </c>
      <c r="C22" s="144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ОБ'!E67</f>
        <v/>
      </c>
      <c r="D23" s="33" t="n"/>
      <c r="E23" s="31" t="n"/>
    </row>
    <row r="24">
      <c r="B24" s="31" t="inlineStr">
        <is>
          <t>ВСЕГО СМР с НР и СП</t>
        </is>
      </c>
      <c r="C24" s="144">
        <f>C19+C20+C22</f>
        <v/>
      </c>
      <c r="D24" s="33">
        <f>C24/$C$24</f>
        <v/>
      </c>
      <c r="E24" s="33">
        <f>C24/$C$40</f>
        <v/>
      </c>
    </row>
    <row r="25" ht="25.9" customHeight="1" s="166">
      <c r="B25" s="31" t="inlineStr">
        <is>
          <t>ВСЕГО стоимость оборудования, в том числе</t>
        </is>
      </c>
      <c r="C25" s="144">
        <f>'Прил.5 Расчет СМР и ОБ'!J34</f>
        <v/>
      </c>
      <c r="D25" s="33" t="n"/>
      <c r="E25" s="33">
        <f>C25/$C$40</f>
        <v/>
      </c>
    </row>
    <row r="26" ht="25.9" customHeight="1" s="166">
      <c r="B26" s="31" t="inlineStr">
        <is>
          <t>стоимость оборудования технологического</t>
        </is>
      </c>
      <c r="C26" s="144">
        <f>'Прил.5 Расчет СМР и ОБ'!J35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66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66">
      <c r="B29" s="31" t="inlineStr">
        <is>
          <t>Временные здания и сооружения - 2,5%</t>
        </is>
      </c>
      <c r="C29" s="32">
        <f>ROUND(C24*2.5%,2)</f>
        <v/>
      </c>
      <c r="D29" s="31" t="n"/>
      <c r="E29" s="33">
        <f>C29/$C$40</f>
        <v/>
      </c>
    </row>
    <row r="30" ht="38.85" customHeight="1" s="166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>
        <f>31380.3*6</f>
        <v/>
      </c>
      <c r="D31" s="31" t="n"/>
      <c r="E31" s="33">
        <f>C31/$C$40</f>
        <v/>
      </c>
    </row>
    <row r="32" ht="25.9" customHeight="1" s="166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16" t="n"/>
    </row>
    <row r="33" ht="25.9" customHeight="1" s="166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16" t="n"/>
    </row>
    <row r="34" ht="51.6" customHeight="1" s="166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16" t="n"/>
    </row>
    <row r="35" ht="77.45" customHeight="1" s="166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16" t="n"/>
    </row>
    <row r="36" ht="25.9" customHeight="1" s="166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63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63" t="n"/>
      <c r="L37" s="20" t="n"/>
    </row>
    <row r="38" ht="38.85" customHeight="1" s="166">
      <c r="B38" s="31" t="inlineStr">
        <is>
          <t>ИТОГО (СМР+ОБОРУДОВАНИЕ+ПРОЧ. ЗАТР., УЧТЕННЫЕ ПОКАЗАТЕЛЕМ)</t>
        </is>
      </c>
      <c r="C38" s="144">
        <f>SUM(C27:C37)</f>
        <v/>
      </c>
      <c r="D38" s="31" t="n"/>
      <c r="E38" s="33">
        <f>C38/$C$40</f>
        <v/>
      </c>
    </row>
    <row r="39" ht="13.7" customHeight="1" s="166">
      <c r="B39" s="31" t="inlineStr">
        <is>
          <t>Непредвиденные расходы - 3%</t>
        </is>
      </c>
      <c r="C39" s="144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44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44">
        <f>C40/'Прил.5 Расчет СМР и ОБ'!E71</f>
        <v/>
      </c>
      <c r="D41" s="31" t="n"/>
      <c r="E41" s="31" t="n"/>
    </row>
    <row r="42">
      <c r="B42" s="146" t="n"/>
      <c r="C42" s="139" t="n"/>
      <c r="D42" s="139" t="n"/>
      <c r="E42" s="139" t="n"/>
    </row>
    <row r="43">
      <c r="B43" s="139" t="inlineStr">
        <is>
          <t>Составил ______________________        Е.А. Князева</t>
        </is>
      </c>
      <c r="C43" s="68" t="n"/>
      <c r="D43" s="139" t="n"/>
      <c r="E43" s="139" t="n"/>
    </row>
    <row r="44">
      <c r="B44" s="165" t="inlineStr">
        <is>
          <t xml:space="preserve">                         (подпись, инициалы, фамилия)</t>
        </is>
      </c>
      <c r="C44" s="68" t="n"/>
      <c r="D44" s="139" t="n"/>
      <c r="E44" s="139" t="n"/>
    </row>
    <row r="45">
      <c r="B45" s="139" t="n"/>
      <c r="C45" s="68" t="n"/>
      <c r="D45" s="139" t="n"/>
      <c r="E45" s="139" t="n"/>
    </row>
    <row r="46">
      <c r="B46" s="139" t="inlineStr">
        <is>
          <t>Проверил ______________________        А.В. Костянецкая</t>
        </is>
      </c>
      <c r="C46" s="68" t="n"/>
      <c r="D46" s="139" t="n"/>
      <c r="E46" s="139" t="n"/>
    </row>
    <row r="47">
      <c r="B47" s="165" t="inlineStr">
        <is>
          <t xml:space="preserve">                        (подпись, инициалы, фамилия)</t>
        </is>
      </c>
      <c r="C47" s="68" t="n"/>
      <c r="D47" s="139" t="n"/>
      <c r="E47" s="139" t="n"/>
    </row>
    <row r="49">
      <c r="B49" s="139" t="n"/>
      <c r="C49" s="139" t="n"/>
      <c r="D49" s="139" t="n"/>
      <c r="E49" s="139" t="n"/>
    </row>
    <row r="50">
      <c r="B50" s="139" t="n"/>
      <c r="C50" s="139" t="n"/>
      <c r="D50" s="139" t="n"/>
      <c r="E50" s="13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78"/>
  <sheetViews>
    <sheetView view="pageBreakPreview" topLeftCell="A62" workbookViewId="0">
      <selection activeCell="B69" sqref="B69"/>
    </sheetView>
  </sheetViews>
  <sheetFormatPr baseColWidth="8" defaultColWidth="9.140625" defaultRowHeight="15" outlineLevelRow="1"/>
  <cols>
    <col width="5.7109375" customWidth="1" style="68" min="1" max="1"/>
    <col width="20.28515625" customWidth="1" style="68" min="2" max="2"/>
    <col width="39.140625" customWidth="1" style="68" min="3" max="3"/>
    <col width="10.7109375" customWidth="1" style="68" min="4" max="4"/>
    <col width="12.7109375" customWidth="1" style="68" min="5" max="5"/>
    <col width="14.5703125" customWidth="1" style="68" min="6" max="6"/>
    <col width="13.42578125" customWidth="1" style="68" min="7" max="7"/>
    <col width="12.7109375" customWidth="1" style="68" min="8" max="8"/>
    <col width="14.5703125" customWidth="1" style="68" min="9" max="9"/>
    <col width="15.140625" customWidth="1" style="68" min="10" max="10"/>
    <col width="2.85546875" customWidth="1" style="68" min="11" max="11"/>
    <col width="12.140625" customWidth="1" style="68" min="12" max="12"/>
    <col width="10.85546875" customWidth="1" style="68" min="13" max="13"/>
    <col width="9.140625" customWidth="1" style="68" min="14" max="14"/>
    <col width="9.140625" customWidth="1" style="166" min="15" max="15"/>
  </cols>
  <sheetData>
    <row r="2" ht="15.6" customHeight="1" s="166">
      <c r="I2" s="168" t="n"/>
      <c r="J2" s="64" t="inlineStr">
        <is>
          <t>Приложение №5</t>
        </is>
      </c>
    </row>
    <row r="4" ht="13.7" customFormat="1" customHeight="1" s="139">
      <c r="A4" s="213" t="inlineStr">
        <is>
          <t>Расчет стоимости СМР и оборудования</t>
        </is>
      </c>
      <c r="I4" s="213" t="n"/>
      <c r="J4" s="213" t="n"/>
    </row>
    <row r="5" ht="13.7" customFormat="1" customHeight="1" s="139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41.25" customFormat="1" customHeight="1" s="139">
      <c r="A6" s="108" t="inlineStr">
        <is>
          <t>Наименование разрабатываемого показателя УНЦ</t>
        </is>
      </c>
      <c r="B6" s="109" t="n"/>
      <c r="C6" s="109" t="n"/>
      <c r="D6" s="227" t="inlineStr">
        <is>
          <t>Радиорелейная связь на 64 канала: Длина пролета 60 км</t>
        </is>
      </c>
    </row>
    <row r="7" ht="12.95" customFormat="1" customHeight="1" s="139">
      <c r="A7" s="227">
        <f>'Прил.1 Сравнит табл'!B9</f>
        <v/>
      </c>
      <c r="I7" s="214" t="n"/>
      <c r="J7" s="214" t="n"/>
    </row>
    <row r="8" ht="12.95" customFormat="1" customHeight="1" s="139"/>
    <row r="9" ht="27" customHeight="1" s="166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42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42" t="n"/>
    </row>
    <row r="10" ht="28.5" customHeight="1" s="166">
      <c r="A10" s="244" t="n"/>
      <c r="B10" s="244" t="n"/>
      <c r="C10" s="244" t="n"/>
      <c r="D10" s="244" t="n"/>
      <c r="E10" s="244" t="n"/>
      <c r="F10" s="217" t="inlineStr">
        <is>
          <t>на ед. изм.</t>
        </is>
      </c>
      <c r="G10" s="217" t="inlineStr">
        <is>
          <t>общая</t>
        </is>
      </c>
      <c r="H10" s="244" t="n"/>
      <c r="I10" s="217" t="inlineStr">
        <is>
          <t>на ед. изм.</t>
        </is>
      </c>
      <c r="J10" s="217" t="inlineStr">
        <is>
          <t>общая</t>
        </is>
      </c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7" t="n">
        <v>9</v>
      </c>
      <c r="J11" s="217" t="n">
        <v>10</v>
      </c>
      <c r="L11" s="60" t="n"/>
    </row>
    <row r="12">
      <c r="A12" s="217" t="n"/>
      <c r="B12" s="228" t="inlineStr">
        <is>
          <t>Затраты труда рабочих-строителей</t>
        </is>
      </c>
      <c r="C12" s="241" t="n"/>
      <c r="D12" s="241" t="n"/>
      <c r="E12" s="241" t="n"/>
      <c r="F12" s="241" t="n"/>
      <c r="G12" s="241" t="n"/>
      <c r="H12" s="242" t="n"/>
      <c r="I12" s="40" t="n"/>
      <c r="J12" s="40" t="n"/>
      <c r="L12" s="248" t="n"/>
    </row>
    <row r="13" ht="25.9" customHeight="1" s="166">
      <c r="A13" s="217" t="n">
        <v>1</v>
      </c>
      <c r="B13" s="76" t="inlineStr">
        <is>
          <t>1-4-1</t>
        </is>
      </c>
      <c r="C13" s="216" t="inlineStr">
        <is>
          <t>Затраты труда рабочих-строителей среднего разряда (4,1)</t>
        </is>
      </c>
      <c r="D13" s="217" t="inlineStr">
        <is>
          <t>чел.-ч.</t>
        </is>
      </c>
      <c r="E13" s="249">
        <f>G13/F13</f>
        <v/>
      </c>
      <c r="F13" s="82" t="n">
        <v>9.76</v>
      </c>
      <c r="G13" s="82" t="n">
        <v>1489.68</v>
      </c>
      <c r="H13" s="229">
        <f>G13/$G$14</f>
        <v/>
      </c>
      <c r="I13" s="82">
        <f>ФОТр.тек.!E13</f>
        <v/>
      </c>
      <c r="J13" s="82">
        <f>ROUND(I13*E13,2)</f>
        <v/>
      </c>
    </row>
    <row r="14" ht="27.2" customFormat="1" customHeight="1" s="68">
      <c r="A14" s="217" t="n"/>
      <c r="B14" s="217" t="n"/>
      <c r="C14" s="228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249">
        <f>SUM(E13:E13)</f>
        <v/>
      </c>
      <c r="F14" s="82" t="n"/>
      <c r="G14" s="82">
        <f>SUM(G13:G13)</f>
        <v/>
      </c>
      <c r="H14" s="229" t="n">
        <v>1</v>
      </c>
      <c r="I14" s="82" t="n"/>
      <c r="J14" s="82">
        <f>SUM(J13:J13)</f>
        <v/>
      </c>
      <c r="L14" s="75" t="n"/>
    </row>
    <row r="15" ht="13.7" customFormat="1" customHeight="1" s="68">
      <c r="A15" s="217" t="n"/>
      <c r="B15" s="216" t="inlineStr">
        <is>
          <t>Затраты труда машинистов</t>
        </is>
      </c>
      <c r="C15" s="241" t="n"/>
      <c r="D15" s="241" t="n"/>
      <c r="E15" s="241" t="n"/>
      <c r="F15" s="241" t="n"/>
      <c r="G15" s="241" t="n"/>
      <c r="H15" s="242" t="n"/>
      <c r="I15" s="40" t="n"/>
      <c r="J15" s="40" t="n"/>
      <c r="L15" s="248" t="n"/>
    </row>
    <row r="16" ht="13.7" customFormat="1" customHeight="1" s="68">
      <c r="A16" s="217" t="n">
        <v>2</v>
      </c>
      <c r="B16" s="217" t="n">
        <v>2</v>
      </c>
      <c r="C16" s="216" t="inlineStr">
        <is>
          <t>Затраты труда машинистов</t>
        </is>
      </c>
      <c r="D16" s="217" t="inlineStr">
        <is>
          <t>чел.-ч.</t>
        </is>
      </c>
      <c r="E16" s="249">
        <f>Прил.3!F18</f>
        <v/>
      </c>
      <c r="F16" s="82">
        <f>G16/E16</f>
        <v/>
      </c>
      <c r="G16" s="82" t="n">
        <v>28.95</v>
      </c>
      <c r="H16" s="229" t="n">
        <v>1</v>
      </c>
      <c r="I16" s="82">
        <f>ROUND(F16*Прил.10!D10,2)</f>
        <v/>
      </c>
      <c r="J16" s="82">
        <f>ROUND(I16*E16,2)</f>
        <v/>
      </c>
      <c r="L16" s="60" t="n"/>
    </row>
    <row r="17" ht="13.7" customFormat="1" customHeight="1" s="68">
      <c r="A17" s="217" t="n"/>
      <c r="B17" s="228" t="inlineStr">
        <is>
          <t>Машины и механизмы</t>
        </is>
      </c>
      <c r="C17" s="241" t="n"/>
      <c r="D17" s="241" t="n"/>
      <c r="E17" s="241" t="n"/>
      <c r="F17" s="241" t="n"/>
      <c r="G17" s="241" t="n"/>
      <c r="H17" s="242" t="n"/>
      <c r="I17" s="229" t="n"/>
      <c r="J17" s="229" t="n"/>
    </row>
    <row r="18" ht="13.7" customFormat="1" customHeight="1" s="68">
      <c r="A18" s="217" t="n"/>
      <c r="B18" s="216" t="inlineStr">
        <is>
          <t>Основные машины и механизмы</t>
        </is>
      </c>
      <c r="C18" s="241" t="n"/>
      <c r="D18" s="241" t="n"/>
      <c r="E18" s="241" t="n"/>
      <c r="F18" s="241" t="n"/>
      <c r="G18" s="241" t="n"/>
      <c r="H18" s="242" t="n"/>
      <c r="I18" s="40" t="n"/>
      <c r="J18" s="40" t="n"/>
    </row>
    <row r="19" ht="13.7" customFormat="1" customHeight="1" s="68">
      <c r="A19" s="217" t="n">
        <v>3</v>
      </c>
      <c r="B19" s="76" t="inlineStr">
        <is>
          <t>91.06.05-011</t>
        </is>
      </c>
      <c r="C19" s="216" t="inlineStr">
        <is>
          <t>Погрузчики, грузоподъемность 5 т</t>
        </is>
      </c>
      <c r="D19" s="217" t="inlineStr">
        <is>
          <t>маш.час</t>
        </is>
      </c>
      <c r="E19" s="249" t="n">
        <v>2.86</v>
      </c>
      <c r="F19" s="235" t="n">
        <v>89.98999999999999</v>
      </c>
      <c r="G19" s="82">
        <f>ROUND(E19*F19,2)</f>
        <v/>
      </c>
      <c r="H19" s="229">
        <f>G19/$G$23</f>
        <v/>
      </c>
      <c r="I19" s="82">
        <f>ROUND(F19*Прил.10!$D$11,2)</f>
        <v/>
      </c>
      <c r="J19" s="82">
        <f>ROUND(I19*E19,2)</f>
        <v/>
      </c>
    </row>
    <row r="20" ht="13.7" customFormat="1" customHeight="1" s="68">
      <c r="B20" s="217" t="n"/>
      <c r="C20" s="216" t="inlineStr">
        <is>
          <t>Итого основные машины и механизмы</t>
        </is>
      </c>
      <c r="D20" s="217" t="n"/>
      <c r="E20" s="250" t="n"/>
      <c r="F20" s="82" t="n"/>
      <c r="G20" s="82">
        <f>SUM(G19:G19)</f>
        <v/>
      </c>
      <c r="H20" s="229">
        <f>G20/G23</f>
        <v/>
      </c>
      <c r="I20" s="82" t="n"/>
      <c r="J20" s="82">
        <f>SUM(J19:J19)</f>
        <v/>
      </c>
      <c r="L20" s="248" t="n"/>
    </row>
    <row r="21" outlineLevel="1" ht="25.9" customFormat="1" customHeight="1" s="68">
      <c r="A21" s="217" t="n">
        <v>4</v>
      </c>
      <c r="B21" s="76" t="inlineStr">
        <is>
          <t>91.06.03-060</t>
        </is>
      </c>
      <c r="C21" s="216" t="inlineStr">
        <is>
          <t>Лебедки электрические тяговым усилием до 5,79 кН (0,59 т)</t>
        </is>
      </c>
      <c r="D21" s="217" t="inlineStr">
        <is>
          <t>маш.час</t>
        </is>
      </c>
      <c r="E21" s="249" t="n">
        <v>2.66</v>
      </c>
      <c r="F21" s="235" t="n">
        <v>1.7</v>
      </c>
      <c r="G21" s="82">
        <f>ROUND(E21*F21,2)</f>
        <v/>
      </c>
      <c r="H21" s="229">
        <f>G21/$G$23</f>
        <v/>
      </c>
      <c r="I21" s="82">
        <f>ROUND(F21*Прил.10!$D$11,2)</f>
        <v/>
      </c>
      <c r="J21" s="82">
        <f>ROUND(I21*E21,2)</f>
        <v/>
      </c>
      <c r="L21" s="248" t="n"/>
    </row>
    <row r="22" ht="13.7" customFormat="1" customHeight="1" s="68">
      <c r="A22" s="217" t="n"/>
      <c r="B22" s="76" t="n"/>
      <c r="C22" s="216" t="inlineStr">
        <is>
          <t>Итого прочие машины и механизмы</t>
        </is>
      </c>
      <c r="D22" s="217" t="n"/>
      <c r="E22" s="249" t="n"/>
      <c r="F22" s="235" t="n"/>
      <c r="G22" s="82">
        <f>SUM(G21:G21)</f>
        <v/>
      </c>
      <c r="H22" s="229">
        <f>G22/G23</f>
        <v/>
      </c>
      <c r="I22" s="82" t="n"/>
      <c r="J22" s="82">
        <f>SUM(J21:J21)</f>
        <v/>
      </c>
      <c r="K22" s="251" t="n"/>
      <c r="L22" s="248" t="n"/>
    </row>
    <row r="23" ht="27.2" customFormat="1" customHeight="1" s="68">
      <c r="A23" s="217" t="n"/>
      <c r="B23" s="230" t="n"/>
      <c r="C23" s="221" t="inlineStr">
        <is>
          <t>Итого по разделу «Машины и механизмы»</t>
        </is>
      </c>
      <c r="D23" s="230" t="n"/>
      <c r="E23" s="51" t="n"/>
      <c r="F23" s="52" t="n"/>
      <c r="G23" s="52">
        <f>G20+G22</f>
        <v/>
      </c>
      <c r="H23" s="53" t="n">
        <v>1</v>
      </c>
      <c r="I23" s="52" t="n"/>
      <c r="J23" s="52">
        <f>J20+J22</f>
        <v/>
      </c>
    </row>
    <row r="24" s="166">
      <c r="A24" s="79" t="n"/>
      <c r="B24" s="221" t="inlineStr">
        <is>
          <t xml:space="preserve">Оборудование </t>
        </is>
      </c>
      <c r="C24" s="252" t="n"/>
      <c r="D24" s="252" t="n"/>
      <c r="E24" s="252" t="n"/>
      <c r="F24" s="252" t="n"/>
      <c r="G24" s="252" t="n"/>
      <c r="H24" s="252" t="n"/>
      <c r="I24" s="252" t="n"/>
      <c r="J24" s="253" t="n"/>
      <c r="K24" s="68" t="n"/>
      <c r="L24" s="68" t="n"/>
      <c r="M24" s="68" t="n"/>
      <c r="N24" s="68" t="n"/>
    </row>
    <row r="25" ht="15" customHeight="1" s="166">
      <c r="A25" s="217" t="n"/>
      <c r="B25" s="216" t="inlineStr">
        <is>
          <t>Основное оборудование</t>
        </is>
      </c>
      <c r="C25" s="241" t="n"/>
      <c r="D25" s="241" t="n"/>
      <c r="E25" s="241" t="n"/>
      <c r="F25" s="241" t="n"/>
      <c r="G25" s="241" t="n"/>
      <c r="H25" s="241" t="n"/>
      <c r="I25" s="241" t="n"/>
      <c r="J25" s="242" t="n"/>
      <c r="K25" s="68" t="n"/>
      <c r="L25" s="68" t="n"/>
      <c r="M25" s="68" t="n"/>
      <c r="N25" s="68" t="n"/>
    </row>
    <row r="26" s="166">
      <c r="A26" s="217" t="n">
        <v>5</v>
      </c>
      <c r="B26" s="76" t="inlineStr">
        <is>
          <t>БЦ.40.19</t>
        </is>
      </c>
      <c r="C26" s="216" t="inlineStr">
        <is>
          <t>Радиорелейная станция</t>
        </is>
      </c>
      <c r="D26" s="217" t="inlineStr">
        <is>
          <t>шт</t>
        </is>
      </c>
      <c r="E26" s="249" t="n">
        <v>2</v>
      </c>
      <c r="F26" s="219">
        <f>ROUND(I26/Прил.10!$D$13,2)</f>
        <v/>
      </c>
      <c r="G26" s="82">
        <f>ROUND(E26*F26,2)</f>
        <v/>
      </c>
      <c r="H26" s="229">
        <f>G26/$G$34</f>
        <v/>
      </c>
      <c r="I26" s="82" t="n">
        <v>9509500</v>
      </c>
      <c r="J26" s="82">
        <f>ROUND(I26*E26,2)</f>
        <v/>
      </c>
      <c r="K26" s="68" t="n"/>
      <c r="L26" s="68" t="n"/>
      <c r="M26" s="68" t="n"/>
      <c r="N26" s="68" t="n"/>
    </row>
    <row r="27" ht="25.9" customHeight="1" s="166">
      <c r="A27" s="217" t="n">
        <v>6</v>
      </c>
      <c r="B27" s="76" t="inlineStr">
        <is>
          <t>БЦ.36.18</t>
        </is>
      </c>
      <c r="C27" s="216" t="inlineStr">
        <is>
          <t>АКБ фронттерминальная, 12В, 200Ач, 4 штуки</t>
        </is>
      </c>
      <c r="D27" s="217" t="inlineStr">
        <is>
          <t>комплект</t>
        </is>
      </c>
      <c r="E27" s="249" t="n">
        <v>2</v>
      </c>
      <c r="F27" s="219">
        <f>ROUND(I27/Прил.10!$D$13,2)</f>
        <v/>
      </c>
      <c r="G27" s="82">
        <f>ROUND(E27*F27,2)</f>
        <v/>
      </c>
      <c r="H27" s="229">
        <f>G27/$G$34</f>
        <v/>
      </c>
      <c r="I27" s="82" t="n">
        <v>350000</v>
      </c>
      <c r="J27" s="82">
        <f>ROUND(I27*E27,2)</f>
        <v/>
      </c>
      <c r="K27" s="68" t="n"/>
      <c r="L27" s="68" t="n"/>
      <c r="M27" s="68" t="n"/>
      <c r="N27" s="68" t="n"/>
    </row>
    <row r="28" s="166">
      <c r="A28" s="217" t="n">
        <v>7</v>
      </c>
      <c r="B28" s="76" t="inlineStr">
        <is>
          <t>БЦ.36.16</t>
        </is>
      </c>
      <c r="C28" s="216" t="inlineStr">
        <is>
          <t>Оборудование электропитания, 6 кВт</t>
        </is>
      </c>
      <c r="D28" s="217" t="inlineStr">
        <is>
          <t>шт</t>
        </is>
      </c>
      <c r="E28" s="249" t="n">
        <v>2</v>
      </c>
      <c r="F28" s="219">
        <f>ROUND(I28/Прил.10!$D$13,2)</f>
        <v/>
      </c>
      <c r="G28" s="82">
        <f>ROUND(E28*F28,2)</f>
        <v/>
      </c>
      <c r="H28" s="229">
        <f>G28/$G$34</f>
        <v/>
      </c>
      <c r="I28" s="82" t="n">
        <v>748543.76</v>
      </c>
      <c r="J28" s="82">
        <f>ROUND(I28*E28,2)</f>
        <v/>
      </c>
      <c r="K28" s="68" t="n"/>
      <c r="L28" s="68" t="n"/>
      <c r="M28" s="68" t="n"/>
      <c r="N28" s="68" t="n"/>
    </row>
    <row r="29" ht="90.40000000000001" customHeight="1" s="166">
      <c r="A29" s="217" t="n">
        <v>8</v>
      </c>
      <c r="B29" s="76" t="inlineStr">
        <is>
          <t>БЦ.37.26</t>
        </is>
      </c>
      <c r="C29" s="216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D29" s="217" t="inlineStr">
        <is>
          <t>шт</t>
        </is>
      </c>
      <c r="E29" s="249" t="n">
        <v>2</v>
      </c>
      <c r="F29" s="219">
        <f>ROUND(I29/Прил.10!$D$13,2)</f>
        <v/>
      </c>
      <c r="G29" s="82">
        <f>ROUND(E29*F29,2)</f>
        <v/>
      </c>
      <c r="H29" s="229">
        <f>G29/$G$34</f>
        <v/>
      </c>
      <c r="I29" s="82" t="n">
        <v>375000</v>
      </c>
      <c r="J29" s="82">
        <f>ROUND(I29*E29,2)</f>
        <v/>
      </c>
      <c r="K29" s="68" t="n"/>
      <c r="L29" s="68" t="n"/>
      <c r="M29" s="68" t="n"/>
      <c r="N29" s="68" t="n"/>
    </row>
    <row r="30" s="166">
      <c r="A30" s="83" t="n"/>
      <c r="B30" s="217" t="n"/>
      <c r="C30" s="216" t="inlineStr">
        <is>
          <t>Итого основное оборудование</t>
        </is>
      </c>
      <c r="D30" s="217" t="n"/>
      <c r="E30" s="249" t="n"/>
      <c r="F30" s="219" t="n"/>
      <c r="G30" s="82">
        <f>SUM(G26:G29)</f>
        <v/>
      </c>
      <c r="H30" s="229">
        <f>G30/$G$34</f>
        <v/>
      </c>
      <c r="I30" s="82" t="n"/>
      <c r="J30" s="82">
        <f>SUM(J26:J29)</f>
        <v/>
      </c>
      <c r="K30" s="251" t="n"/>
      <c r="L30" s="68" t="n"/>
      <c r="M30" s="68" t="n"/>
      <c r="N30" s="68" t="n"/>
    </row>
    <row r="31" outlineLevel="1" ht="116.1" customHeight="1" s="166">
      <c r="A31" s="217" t="n">
        <v>9</v>
      </c>
      <c r="B31" s="217" t="inlineStr">
        <is>
          <t>БЦ.37.24</t>
        </is>
      </c>
      <c r="C31" s="216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D31" s="217" t="inlineStr">
        <is>
          <t>шт</t>
        </is>
      </c>
      <c r="E31" s="249" t="n">
        <v>2</v>
      </c>
      <c r="F31" s="219">
        <f>ROUND(I31/Прил.10!$D$13,2)</f>
        <v/>
      </c>
      <c r="G31" s="82">
        <f>ROUND(E31*F31,2)</f>
        <v/>
      </c>
      <c r="H31" s="229">
        <f>G31/$G$34</f>
        <v/>
      </c>
      <c r="I31" s="82" t="n">
        <v>1186740</v>
      </c>
      <c r="J31" s="82">
        <f>ROUND(I31*E31,2)</f>
        <v/>
      </c>
      <c r="K31" s="68" t="n"/>
      <c r="L31" s="68" t="n"/>
      <c r="M31" s="68" t="n"/>
      <c r="N31" s="68" t="n"/>
    </row>
    <row r="32" outlineLevel="1" ht="25.9" customHeight="1" s="166">
      <c r="A32" s="217" t="n">
        <v>10</v>
      </c>
      <c r="B32" s="217" t="inlineStr">
        <is>
          <t>БЦ.37.25</t>
        </is>
      </c>
      <c r="C32" s="216" t="inlineStr">
        <is>
          <t>Модуль мониторинга и контроля состояния шкафа</t>
        </is>
      </c>
      <c r="D32" s="217" t="inlineStr">
        <is>
          <t>шт</t>
        </is>
      </c>
      <c r="E32" s="249" t="n">
        <v>2</v>
      </c>
      <c r="F32" s="219">
        <f>ROUND(I32/Прил.10!$D$13,2)</f>
        <v/>
      </c>
      <c r="G32" s="82">
        <f>ROUND(E32*F32,2)</f>
        <v/>
      </c>
      <c r="H32" s="229">
        <f>G32/$G$34</f>
        <v/>
      </c>
      <c r="I32" s="82" t="n">
        <v>208477.5</v>
      </c>
      <c r="J32" s="82">
        <f>ROUND(I32*E32,2)</f>
        <v/>
      </c>
      <c r="K32" s="68" t="n"/>
      <c r="M32" s="68" t="n"/>
      <c r="N32" s="68" t="n"/>
    </row>
    <row r="33" s="166">
      <c r="A33" s="83" t="n"/>
      <c r="B33" s="217" t="n"/>
      <c r="C33" s="216" t="inlineStr">
        <is>
          <t>Итого прочее оборудование</t>
        </is>
      </c>
      <c r="D33" s="217" t="n"/>
      <c r="E33" s="218" t="n"/>
      <c r="F33" s="219" t="n"/>
      <c r="G33" s="82">
        <f>SUM(G31:G32)</f>
        <v/>
      </c>
      <c r="H33" s="229">
        <f>G33/$G$34</f>
        <v/>
      </c>
      <c r="I33" s="82" t="n"/>
      <c r="J33" s="82">
        <f>SUM(J31:J32)</f>
        <v/>
      </c>
      <c r="K33" s="251" t="n"/>
      <c r="L33" s="254" t="n"/>
      <c r="M33" s="68" t="n"/>
      <c r="N33" s="68" t="n"/>
    </row>
    <row r="34" s="166">
      <c r="A34" s="217" t="n"/>
      <c r="B34" s="217" t="n"/>
      <c r="C34" s="228" t="inlineStr">
        <is>
          <t>Итого по разделу «Оборудование»</t>
        </is>
      </c>
      <c r="D34" s="217" t="n"/>
      <c r="E34" s="218" t="n"/>
      <c r="F34" s="219" t="n"/>
      <c r="G34" s="82">
        <f>G30+G33</f>
        <v/>
      </c>
      <c r="H34" s="229">
        <f>(G30+G33)/G34</f>
        <v/>
      </c>
      <c r="I34" s="82" t="n"/>
      <c r="J34" s="82">
        <f>J33+J30</f>
        <v/>
      </c>
      <c r="K34" s="251" t="n"/>
      <c r="L34" s="68" t="n"/>
      <c r="M34" s="68" t="n"/>
      <c r="N34" s="68" t="n"/>
    </row>
    <row r="35" ht="25.9" customHeight="1" s="166">
      <c r="A35" s="217" t="n"/>
      <c r="B35" s="217" t="n"/>
      <c r="C35" s="216" t="inlineStr">
        <is>
          <t>в том числе технологическое оборудование</t>
        </is>
      </c>
      <c r="D35" s="217" t="n"/>
      <c r="E35" s="218" t="n"/>
      <c r="F35" s="219" t="n"/>
      <c r="G35" s="82">
        <f>'Прил.6 Расчет ОБ'!G20</f>
        <v/>
      </c>
      <c r="H35" s="229">
        <f>G35/$G$34</f>
        <v/>
      </c>
      <c r="I35" s="82" t="n"/>
      <c r="J35" s="82">
        <f>ROUND(G35*Прил.10!$D$13,2)</f>
        <v/>
      </c>
      <c r="K35" s="251" t="n"/>
      <c r="L35" s="68" t="n"/>
      <c r="M35" s="68" t="n"/>
      <c r="N35" s="68" t="n"/>
    </row>
    <row r="36" ht="13.7" customFormat="1" customHeight="1" s="68">
      <c r="A36" s="231" t="n"/>
      <c r="B36" s="255" t="inlineStr">
        <is>
          <t>Материалы</t>
        </is>
      </c>
      <c r="J36" s="256" t="n"/>
      <c r="K36" s="251" t="n"/>
    </row>
    <row r="37" ht="13.7" customFormat="1" customHeight="1" s="68">
      <c r="A37" s="217" t="n"/>
      <c r="B37" s="216" t="inlineStr">
        <is>
          <t>Основные материалы</t>
        </is>
      </c>
      <c r="C37" s="241" t="n"/>
      <c r="D37" s="241" t="n"/>
      <c r="E37" s="241" t="n"/>
      <c r="F37" s="241" t="n"/>
      <c r="G37" s="241" t="n"/>
      <c r="H37" s="242" t="n"/>
      <c r="I37" s="229" t="n"/>
      <c r="J37" s="229" t="n"/>
    </row>
    <row r="38" ht="25.9" customFormat="1" customHeight="1" s="68">
      <c r="A38" s="217" t="n">
        <v>11</v>
      </c>
      <c r="B38" s="128" t="inlineStr">
        <is>
          <t>01.7.15.03-0031</t>
        </is>
      </c>
      <c r="C38" s="129" t="inlineStr">
        <is>
          <t>Болты с гайками и шайбами оцинкованные, диаметр 6 мм</t>
        </is>
      </c>
      <c r="D38" s="231" t="inlineStr">
        <is>
          <t>кг</t>
        </is>
      </c>
      <c r="E38" s="257">
        <f>G38/F38</f>
        <v/>
      </c>
      <c r="F38" s="132" t="n">
        <v>28.22</v>
      </c>
      <c r="G38" s="133">
        <f>G39+G40</f>
        <v/>
      </c>
      <c r="H38" s="229">
        <f>G38/$G$65</f>
        <v/>
      </c>
      <c r="I38" s="82">
        <f>ROUND(F38*Прил.10!$D$12,2)</f>
        <v/>
      </c>
      <c r="J38" s="82">
        <f>ROUND(I38*E38,2)</f>
        <v/>
      </c>
    </row>
    <row r="39" outlineLevel="1" ht="25.9" customFormat="1" customHeight="1" s="68">
      <c r="A39" s="217" t="n"/>
      <c r="B39" s="128" t="inlineStr">
        <is>
          <t>01.7.15.03-0031</t>
        </is>
      </c>
      <c r="C39" s="129" t="inlineStr">
        <is>
          <t>Болты с гайками и шайбами оцинкованные, диаметр 6 мм</t>
        </is>
      </c>
      <c r="D39" s="231" t="inlineStr">
        <is>
          <t>кг</t>
        </is>
      </c>
      <c r="E39" s="257" t="n">
        <v>4.508</v>
      </c>
      <c r="F39" s="132" t="n">
        <v>28.22</v>
      </c>
      <c r="G39" s="133">
        <f>ROUND(F39*E39,2)</f>
        <v/>
      </c>
      <c r="H39" s="229">
        <f>G39/$G$65</f>
        <v/>
      </c>
      <c r="I39" s="82" t="n"/>
      <c r="J39" s="82" t="n"/>
      <c r="K39" s="127" t="n"/>
      <c r="L39" s="127" t="n"/>
    </row>
    <row r="40" outlineLevel="1" ht="13.7" customFormat="1" customHeight="1" s="68">
      <c r="A40" s="217" t="n"/>
      <c r="B40" s="128" t="inlineStr">
        <is>
          <t>01.7.15.03-0042</t>
        </is>
      </c>
      <c r="C40" s="129" t="inlineStr">
        <is>
          <t>Болты с гайками и шайбами строительные</t>
        </is>
      </c>
      <c r="D40" s="231" t="inlineStr">
        <is>
          <t>кг</t>
        </is>
      </c>
      <c r="E40" s="257" t="n">
        <v>0.6</v>
      </c>
      <c r="F40" s="132" t="n">
        <v>9.039999999999999</v>
      </c>
      <c r="G40" s="133">
        <f>ROUND(F40*E40,2)</f>
        <v/>
      </c>
      <c r="H40" s="229">
        <f>G40/$G$65</f>
        <v/>
      </c>
      <c r="I40" s="82" t="n"/>
      <c r="J40" s="82" t="n"/>
      <c r="K40" s="127" t="n"/>
      <c r="L40" s="127" t="n"/>
    </row>
    <row r="41" ht="25.9" customFormat="1" customHeight="1" s="68">
      <c r="A41" s="217" t="n">
        <v>12</v>
      </c>
      <c r="B41" s="128" t="inlineStr">
        <is>
          <t>11.2.11.05-0002</t>
        </is>
      </c>
      <c r="C41" s="129" t="inlineStr">
        <is>
          <t>Фанера клееная обрезная, сорт В/ВВ, ФК, ФБА, толщина 4 мм</t>
        </is>
      </c>
      <c r="D41" s="231" t="inlineStr">
        <is>
          <t>м3</t>
        </is>
      </c>
      <c r="E41" s="257" t="n">
        <v>0.016</v>
      </c>
      <c r="F41" s="132" t="n">
        <v>4949.4</v>
      </c>
      <c r="G41" s="133">
        <f>ROUND(F41*E41,2)</f>
        <v/>
      </c>
      <c r="H41" s="229">
        <f>G41/$G$65</f>
        <v/>
      </c>
      <c r="I41" s="82">
        <f>ROUND(F41*Прил.10!$D$12,2)</f>
        <v/>
      </c>
      <c r="J41" s="82">
        <f>ROUND(I41*E41,2)</f>
        <v/>
      </c>
    </row>
    <row r="42" ht="13.7" customFormat="1" customHeight="1" s="68">
      <c r="A42" s="217" t="n">
        <v>13</v>
      </c>
      <c r="B42" s="128" t="inlineStr">
        <is>
          <t>20.2.10.03-0020</t>
        </is>
      </c>
      <c r="C42" s="129" t="inlineStr">
        <is>
          <t>Наконечники кабельные П2.5-4Д-МУ3</t>
        </is>
      </c>
      <c r="D42" s="231" t="inlineStr">
        <is>
          <t>100 шт</t>
        </is>
      </c>
      <c r="E42" s="257">
        <f>G42/F42</f>
        <v/>
      </c>
      <c r="F42" s="132" t="n">
        <v>203</v>
      </c>
      <c r="G42" s="133">
        <f>G43+G44</f>
        <v/>
      </c>
      <c r="H42" s="229">
        <f>G42/$G$65</f>
        <v/>
      </c>
      <c r="I42" s="82">
        <f>ROUND(F42*Прил.10!$D$12,2)</f>
        <v/>
      </c>
      <c r="J42" s="82">
        <f>ROUND(I42*E42,2)</f>
        <v/>
      </c>
    </row>
    <row r="43" outlineLevel="1" ht="13.7" customFormat="1" customHeight="1" s="127">
      <c r="A43" s="217" t="n"/>
      <c r="B43" s="128" t="inlineStr">
        <is>
          <t>20.2.10.03-0020</t>
        </is>
      </c>
      <c r="C43" s="129" t="inlineStr">
        <is>
          <t>Наконечники кабельные П2.5-4Д-МУ3</t>
        </is>
      </c>
      <c r="D43" s="231" t="inlineStr">
        <is>
          <t>100 шт</t>
        </is>
      </c>
      <c r="E43" s="257" t="n">
        <v>0.2</v>
      </c>
      <c r="F43" s="132" t="n">
        <v>203</v>
      </c>
      <c r="G43" s="133">
        <f>ROUND(F43*E43,2)</f>
        <v/>
      </c>
      <c r="H43" s="229">
        <f>G43/$G$65</f>
        <v/>
      </c>
      <c r="I43" s="82" t="n"/>
      <c r="J43" s="82" t="n"/>
    </row>
    <row r="44" outlineLevel="1" ht="13.7" customFormat="1" customHeight="1" s="127">
      <c r="A44" s="217" t="n"/>
      <c r="B44" s="128" t="inlineStr">
        <is>
          <t>20.2.10.03-0021</t>
        </is>
      </c>
      <c r="C44" s="129" t="inlineStr">
        <is>
          <t>Наконечники кабельные П6-4Д-МУЗ</t>
        </is>
      </c>
      <c r="D44" s="231" t="inlineStr">
        <is>
          <t>100 шт</t>
        </is>
      </c>
      <c r="E44" s="257" t="n">
        <v>0.04</v>
      </c>
      <c r="F44" s="132" t="n">
        <v>580</v>
      </c>
      <c r="G44" s="133">
        <f>ROUND(F44*E44,2)</f>
        <v/>
      </c>
      <c r="H44" s="229">
        <f>G44/$G$65</f>
        <v/>
      </c>
      <c r="I44" s="82" t="n"/>
      <c r="J44" s="82" t="n"/>
    </row>
    <row r="45" ht="25.9" customFormat="1" customHeight="1" s="68">
      <c r="A45" s="217" t="n">
        <v>14</v>
      </c>
      <c r="B45" s="128" t="inlineStr">
        <is>
          <t>999-9950</t>
        </is>
      </c>
      <c r="C45" s="129" t="inlineStr">
        <is>
          <t>Вспомогательные ненормируемые ресурсы (2% от Оплаты труда рабочих)</t>
        </is>
      </c>
      <c r="D45" s="231" t="inlineStr">
        <is>
          <t>руб</t>
        </is>
      </c>
      <c r="E45" s="257" t="n">
        <v>27.3</v>
      </c>
      <c r="F45" s="132" t="n">
        <v>1</v>
      </c>
      <c r="G45" s="133">
        <f>ROUND(F45*E45,2)</f>
        <v/>
      </c>
      <c r="H45" s="229">
        <f>G45/$G$65</f>
        <v/>
      </c>
      <c r="I45" s="82">
        <f>ROUND(F45*Прил.10!$D$12,2)</f>
        <v/>
      </c>
      <c r="J45" s="82">
        <f>ROUND(I45*E45,2)</f>
        <v/>
      </c>
    </row>
    <row r="46" ht="25.9" customFormat="1" customHeight="1" s="68">
      <c r="A46" s="217" t="n">
        <v>15</v>
      </c>
      <c r="B46" s="128" t="inlineStr">
        <is>
          <t>10.3.02.03-0011</t>
        </is>
      </c>
      <c r="C46" s="129" t="inlineStr">
        <is>
          <t>Припои оловянно-свинцовые бессурьмянистые, марка ПОС30</t>
        </is>
      </c>
      <c r="D46" s="231" t="inlineStr">
        <is>
          <t>т</t>
        </is>
      </c>
      <c r="E46" s="257">
        <f>G46/F46</f>
        <v/>
      </c>
      <c r="F46" s="132" t="n">
        <v>68050</v>
      </c>
      <c r="G46" s="133">
        <f>G47+G48</f>
        <v/>
      </c>
      <c r="H46" s="229">
        <f>G46/$G$65</f>
        <v/>
      </c>
      <c r="I46" s="82">
        <f>ROUND(F46*Прил.10!$D$12,2)</f>
        <v/>
      </c>
      <c r="J46" s="82">
        <f>ROUND(I46*E46,2)</f>
        <v/>
      </c>
    </row>
    <row r="47" outlineLevel="1" ht="25.9" customFormat="1" customHeight="1" s="127">
      <c r="A47" s="217" t="n"/>
      <c r="B47" s="128" t="inlineStr">
        <is>
          <t>10.3.02.03-0011</t>
        </is>
      </c>
      <c r="C47" s="129" t="inlineStr">
        <is>
          <t>Припои оловянно-свинцовые бессурьмянистые, марка ПОС30</t>
        </is>
      </c>
      <c r="D47" s="231" t="inlineStr">
        <is>
          <t>т</t>
        </is>
      </c>
      <c r="E47" s="257" t="n">
        <v>0.0002</v>
      </c>
      <c r="F47" s="132" t="n">
        <v>68050</v>
      </c>
      <c r="G47" s="133">
        <f>ROUND(F47*E47,2)</f>
        <v/>
      </c>
      <c r="H47" s="229">
        <f>G47/$G$65</f>
        <v/>
      </c>
      <c r="I47" s="82" t="n"/>
      <c r="J47" s="82" t="n"/>
    </row>
    <row r="48" outlineLevel="1" ht="25.9" customFormat="1" customHeight="1" s="127">
      <c r="A48" s="217" t="n"/>
      <c r="B48" s="128" t="inlineStr">
        <is>
          <t>10.3.02.03-0012</t>
        </is>
      </c>
      <c r="C48" s="129" t="inlineStr">
        <is>
          <t>Припои оловянно-свинцовые бессурьмянистые, марка ПОС40</t>
        </is>
      </c>
      <c r="D48" s="231" t="inlineStr">
        <is>
          <t>т</t>
        </is>
      </c>
      <c r="E48" s="257" t="n">
        <v>0.00012</v>
      </c>
      <c r="F48" s="132" t="n">
        <v>65750</v>
      </c>
      <c r="G48" s="133">
        <f>ROUND(F48*E48,2)</f>
        <v/>
      </c>
      <c r="H48" s="229">
        <f>G48/$G$65</f>
        <v/>
      </c>
      <c r="I48" s="82" t="n"/>
      <c r="J48" s="82" t="n"/>
    </row>
    <row r="49" ht="13.7" customFormat="1" customHeight="1" s="68">
      <c r="A49" s="135" t="n"/>
      <c r="B49" s="217" t="n"/>
      <c r="C49" s="216" t="inlineStr">
        <is>
          <t>Итого основные материалы</t>
        </is>
      </c>
      <c r="D49" s="217" t="n"/>
      <c r="E49" s="249" t="n"/>
      <c r="F49" s="219" t="n"/>
      <c r="G49" s="82">
        <f>G38+G41+G42+G45+G46</f>
        <v/>
      </c>
      <c r="H49" s="229">
        <f>G49/$G$65</f>
        <v/>
      </c>
      <c r="I49" s="82" t="n"/>
      <c r="J49" s="82">
        <f>SUM(J38:J48)</f>
        <v/>
      </c>
      <c r="K49" s="251" t="n"/>
    </row>
    <row r="50" outlineLevel="1" ht="25.9" customFormat="1" customHeight="1" s="68">
      <c r="A50" s="231" t="n">
        <v>16</v>
      </c>
      <c r="B50" s="128" t="inlineStr">
        <is>
          <t>01.7.15.07-0012</t>
        </is>
      </c>
      <c r="C50" s="129" t="inlineStr">
        <is>
          <t>Дюбели пластмассовые с шурупами, размер 12х70 мм</t>
        </is>
      </c>
      <c r="D50" s="231" t="inlineStr">
        <is>
          <t>100 шт</t>
        </is>
      </c>
      <c r="E50" s="257" t="n">
        <v>0.2</v>
      </c>
      <c r="F50" s="132" t="n">
        <v>83</v>
      </c>
      <c r="G50" s="133">
        <f>ROUND(F50*E50,2)</f>
        <v/>
      </c>
      <c r="H50" s="134">
        <f>G50/$G$65</f>
        <v/>
      </c>
      <c r="I50" s="133">
        <f>ROUND(F50*Прил.10!$D$12,2)</f>
        <v/>
      </c>
      <c r="J50" s="133">
        <f>ROUND(I50*E50,2)</f>
        <v/>
      </c>
    </row>
    <row r="51" outlineLevel="1" ht="13.7" customFormat="1" customHeight="1" s="68">
      <c r="A51" s="231" t="n">
        <v>17</v>
      </c>
      <c r="B51" s="128" t="inlineStr">
        <is>
          <t>01.7.20.03-0012</t>
        </is>
      </c>
      <c r="C51" s="129" t="inlineStr">
        <is>
          <t>Мешковина джутовая</t>
        </is>
      </c>
      <c r="D51" s="231" t="inlineStr">
        <is>
          <t>м2</t>
        </is>
      </c>
      <c r="E51" s="257" t="n">
        <v>0.9</v>
      </c>
      <c r="F51" s="132" t="n">
        <v>8.33</v>
      </c>
      <c r="G51" s="133">
        <f>ROUND(F51*E51,2)</f>
        <v/>
      </c>
      <c r="H51" s="134">
        <f>G51/$G$65</f>
        <v/>
      </c>
      <c r="I51" s="133">
        <f>ROUND(F51*Прил.10!$D$12,2)</f>
        <v/>
      </c>
      <c r="J51" s="133">
        <f>ROUND(I51*E51,2)</f>
        <v/>
      </c>
    </row>
    <row r="52" outlineLevel="1" ht="38.85" customFormat="1" customHeight="1" s="68">
      <c r="A52" s="231" t="n">
        <v>18</v>
      </c>
      <c r="B52" s="76" t="inlineStr">
        <is>
          <t>10.2.02.08-0001</t>
        </is>
      </c>
      <c r="C52" s="216" t="inlineStr">
        <is>
          <t>Проволока медная, круглая, мягкая, электротехническая, диаметр 1,0-3,0 мм и выше</t>
        </is>
      </c>
      <c r="D52" s="217" t="inlineStr">
        <is>
          <t>т</t>
        </is>
      </c>
      <c r="E52" s="249" t="n">
        <v>0.0002</v>
      </c>
      <c r="F52" s="235" t="n">
        <v>37517</v>
      </c>
      <c r="G52" s="82">
        <f>ROUND(F52*E52,2)</f>
        <v/>
      </c>
      <c r="H52" s="229">
        <f>G52/$G$65</f>
        <v/>
      </c>
      <c r="I52" s="82">
        <f>ROUND(F52*Прил.10!$D$12,2)</f>
        <v/>
      </c>
      <c r="J52" s="82">
        <f>ROUND(I52*E52,2)</f>
        <v/>
      </c>
    </row>
    <row r="53" outlineLevel="1" ht="25.9" customFormat="1" customHeight="1" s="68">
      <c r="A53" s="231" t="n">
        <v>19</v>
      </c>
      <c r="B53" s="76" t="inlineStr">
        <is>
          <t>24.3.01.01-0004</t>
        </is>
      </c>
      <c r="C53" s="216" t="inlineStr">
        <is>
          <t>Трубка электроизоляционная ПВХ-305, диаметр 6-10 мм</t>
        </is>
      </c>
      <c r="D53" s="217" t="inlineStr">
        <is>
          <t>кг</t>
        </is>
      </c>
      <c r="E53" s="249" t="n">
        <v>0.16</v>
      </c>
      <c r="F53" s="235" t="n">
        <v>38.34</v>
      </c>
      <c r="G53" s="82">
        <f>ROUND(F53*E53,2)</f>
        <v/>
      </c>
      <c r="H53" s="229">
        <f>G53/$G$65</f>
        <v/>
      </c>
      <c r="I53" s="82">
        <f>ROUND(F53*Прил.10!$D$12,2)</f>
        <v/>
      </c>
      <c r="J53" s="82">
        <f>ROUND(I53*E53,2)</f>
        <v/>
      </c>
    </row>
    <row r="54" outlineLevel="1" ht="38.85" customFormat="1" customHeight="1" s="68">
      <c r="A54" s="231" t="n">
        <v>20</v>
      </c>
      <c r="B54" s="76" t="inlineStr">
        <is>
          <t>01.7.06.05-0042</t>
        </is>
      </c>
      <c r="C54" s="216" t="inlineStr">
        <is>
          <t>Лента липкая изоляционная на поликасиновом компаунде, ширина 20-30 мм, толщина от 0,14 до 0,19 мм</t>
        </is>
      </c>
      <c r="D54" s="217" t="inlineStr">
        <is>
          <t>кг</t>
        </is>
      </c>
      <c r="E54" s="249" t="n">
        <v>0.04</v>
      </c>
      <c r="F54" s="235" t="n">
        <v>91.29000000000001</v>
      </c>
      <c r="G54" s="82">
        <f>ROUND(F54*E54,2)</f>
        <v/>
      </c>
      <c r="H54" s="229">
        <f>G54/$G$65</f>
        <v/>
      </c>
      <c r="I54" s="82">
        <f>ROUND(F54*Прил.10!$D$12,2)</f>
        <v/>
      </c>
      <c r="J54" s="82">
        <f>ROUND(I54*E54,2)</f>
        <v/>
      </c>
    </row>
    <row r="55" outlineLevel="1" ht="13.7" customFormat="1" customHeight="1" s="68">
      <c r="A55" s="231" t="n">
        <v>21</v>
      </c>
      <c r="B55" s="76" t="inlineStr">
        <is>
          <t>14.4.03.17-0011</t>
        </is>
      </c>
      <c r="C55" s="216" t="inlineStr">
        <is>
          <t>Лак электроизоляционный 318</t>
        </is>
      </c>
      <c r="D55" s="217" t="inlineStr">
        <is>
          <t>кг</t>
        </is>
      </c>
      <c r="E55" s="249" t="n">
        <v>0.06</v>
      </c>
      <c r="F55" s="235" t="n">
        <v>35.63</v>
      </c>
      <c r="G55" s="82">
        <f>ROUND(F55*E55,2)</f>
        <v/>
      </c>
      <c r="H55" s="229">
        <f>G55/$G$65</f>
        <v/>
      </c>
      <c r="I55" s="82">
        <f>ROUND(F55*Прил.10!$D$12,2)</f>
        <v/>
      </c>
      <c r="J55" s="82">
        <f>ROUND(I55*E55,2)</f>
        <v/>
      </c>
    </row>
    <row r="56" outlineLevel="1" ht="13.7" customFormat="1" customHeight="1" s="68">
      <c r="A56" s="231" t="n">
        <v>22</v>
      </c>
      <c r="B56" s="76" t="inlineStr">
        <is>
          <t>25.2.01.01-0017</t>
        </is>
      </c>
      <c r="C56" s="216" t="inlineStr">
        <is>
          <t>Бирки маркировочные пластмассовые</t>
        </is>
      </c>
      <c r="D56" s="217" t="inlineStr">
        <is>
          <t>100 шт</t>
        </is>
      </c>
      <c r="E56" s="249" t="n">
        <v>0.04</v>
      </c>
      <c r="F56" s="235" t="n">
        <v>30.74</v>
      </c>
      <c r="G56" s="82">
        <f>ROUND(F56*E56,2)</f>
        <v/>
      </c>
      <c r="H56" s="229">
        <f>G56/$G$65</f>
        <v/>
      </c>
      <c r="I56" s="82">
        <f>ROUND(F56*Прил.10!$D$12,2)</f>
        <v/>
      </c>
      <c r="J56" s="82">
        <f>ROUND(I56*E56,2)</f>
        <v/>
      </c>
    </row>
    <row r="57" outlineLevel="1" ht="13.7" customFormat="1" customHeight="1" s="68">
      <c r="A57" s="231" t="n">
        <v>23</v>
      </c>
      <c r="B57" s="76" t="inlineStr">
        <is>
          <t>01.7.19.11-0012</t>
        </is>
      </c>
      <c r="C57" s="216" t="inlineStr">
        <is>
          <t>Трубка резиновая техническая</t>
        </is>
      </c>
      <c r="D57" s="217" t="inlineStr">
        <is>
          <t>кг</t>
        </is>
      </c>
      <c r="E57" s="249" t="n">
        <v>0.02</v>
      </c>
      <c r="F57" s="235" t="n">
        <v>51.38</v>
      </c>
      <c r="G57" s="82">
        <f>ROUND(F57*E57,2)</f>
        <v/>
      </c>
      <c r="H57" s="229">
        <f>G57/$G$65</f>
        <v/>
      </c>
      <c r="I57" s="82">
        <f>ROUND(F57*Прил.10!$D$12,2)</f>
        <v/>
      </c>
      <c r="J57" s="82">
        <f>ROUND(I57*E57,2)</f>
        <v/>
      </c>
    </row>
    <row r="58" outlineLevel="1" ht="13.7" customFormat="1" customHeight="1" s="68">
      <c r="A58" s="231" t="n">
        <v>24</v>
      </c>
      <c r="B58" s="76" t="inlineStr">
        <is>
          <t>14.1.01.01-0003</t>
        </is>
      </c>
      <c r="C58" s="216" t="inlineStr">
        <is>
          <t>Клей столярный сухой</t>
        </is>
      </c>
      <c r="D58" s="217" t="inlineStr">
        <is>
          <t>кг</t>
        </is>
      </c>
      <c r="E58" s="249" t="n">
        <v>0.05</v>
      </c>
      <c r="F58" s="235" t="n">
        <v>16.95</v>
      </c>
      <c r="G58" s="82">
        <f>ROUND(F58*E58,2)</f>
        <v/>
      </c>
      <c r="H58" s="229">
        <f>G58/$G$65</f>
        <v/>
      </c>
      <c r="I58" s="82">
        <f>ROUND(F58*Прил.10!$D$12,2)</f>
        <v/>
      </c>
      <c r="J58" s="82">
        <f>ROUND(I58*E58,2)</f>
        <v/>
      </c>
    </row>
    <row r="59" outlineLevel="1" ht="25.9" customFormat="1" customHeight="1" s="68">
      <c r="A59" s="231" t="n">
        <v>25</v>
      </c>
      <c r="B59" s="76" t="inlineStr">
        <is>
          <t>14.3.02.01-0219</t>
        </is>
      </c>
      <c r="C59" s="216" t="inlineStr">
        <is>
          <t>Краска универсальная, акриловая для внутренних и наружных работ</t>
        </is>
      </c>
      <c r="D59" s="217" t="inlineStr">
        <is>
          <t>т</t>
        </is>
      </c>
      <c r="E59" s="249" t="n">
        <v>4e-05</v>
      </c>
      <c r="F59" s="235" t="n">
        <v>15481</v>
      </c>
      <c r="G59" s="82">
        <f>ROUND(F59*E59,2)</f>
        <v/>
      </c>
      <c r="H59" s="229">
        <f>G59/$G$65</f>
        <v/>
      </c>
      <c r="I59" s="82">
        <f>ROUND(F59*Прил.10!$D$12,2)</f>
        <v/>
      </c>
      <c r="J59" s="82">
        <f>ROUND(I59*E59,2)</f>
        <v/>
      </c>
    </row>
    <row r="60" outlineLevel="1" ht="13.7" customFormat="1" customHeight="1" s="68">
      <c r="A60" s="231" t="n">
        <v>26</v>
      </c>
      <c r="B60" s="76" t="inlineStr">
        <is>
          <t>22.2.02.15-0001</t>
        </is>
      </c>
      <c r="C60" s="216" t="inlineStr">
        <is>
          <t>Скрепы 10х2 мм</t>
        </is>
      </c>
      <c r="D60" s="217" t="inlineStr">
        <is>
          <t>кг</t>
        </is>
      </c>
      <c r="E60" s="249" t="n">
        <v>0.04</v>
      </c>
      <c r="F60" s="235" t="n">
        <v>15.37</v>
      </c>
      <c r="G60" s="82">
        <f>ROUND(F60*E60,2)</f>
        <v/>
      </c>
      <c r="H60" s="229">
        <f>G60/$G$65</f>
        <v/>
      </c>
      <c r="I60" s="82">
        <f>ROUND(F60*Прил.10!$D$12,2)</f>
        <v/>
      </c>
      <c r="J60" s="82">
        <f>ROUND(I60*E60,2)</f>
        <v/>
      </c>
    </row>
    <row r="61" outlineLevel="1" ht="13.7" customFormat="1" customHeight="1" s="68">
      <c r="A61" s="231" t="n">
        <v>27</v>
      </c>
      <c r="B61" s="76" t="inlineStr">
        <is>
          <t>01.3.05.17-0002</t>
        </is>
      </c>
      <c r="C61" s="216" t="inlineStr">
        <is>
          <t>Канифоль сосновая</t>
        </is>
      </c>
      <c r="D61" s="217" t="inlineStr">
        <is>
          <t>кг</t>
        </is>
      </c>
      <c r="E61" s="249" t="n">
        <v>0.02</v>
      </c>
      <c r="F61" s="235" t="n">
        <v>27.74</v>
      </c>
      <c r="G61" s="82">
        <f>ROUND(F61*E61,2)</f>
        <v/>
      </c>
      <c r="H61" s="229">
        <f>G61/$G$65</f>
        <v/>
      </c>
      <c r="I61" s="82">
        <f>ROUND(F61*Прил.10!$D$12,2)</f>
        <v/>
      </c>
      <c r="J61" s="82">
        <f>ROUND(I61*E61,2)</f>
        <v/>
      </c>
    </row>
    <row r="62" outlineLevel="1" ht="13.7" customFormat="1" customHeight="1" s="68">
      <c r="A62" s="231" t="n">
        <v>28</v>
      </c>
      <c r="B62" s="76" t="inlineStr">
        <is>
          <t>03.1.01.01-0002</t>
        </is>
      </c>
      <c r="C62" s="216" t="inlineStr">
        <is>
          <t>Гипс строительный Г-3</t>
        </is>
      </c>
      <c r="D62" s="217" t="inlineStr">
        <is>
          <t>т</t>
        </is>
      </c>
      <c r="E62" s="249" t="n">
        <v>0.0005999999999999999</v>
      </c>
      <c r="F62" s="235" t="n">
        <v>729.98</v>
      </c>
      <c r="G62" s="82">
        <f>ROUND(F62*E62,2)</f>
        <v/>
      </c>
      <c r="H62" s="229">
        <f>G62/$G$65</f>
        <v/>
      </c>
      <c r="I62" s="82">
        <f>ROUND(F62*Прил.10!$D$12,2)</f>
        <v/>
      </c>
      <c r="J62" s="82">
        <f>ROUND(I62*E62,2)</f>
        <v/>
      </c>
    </row>
    <row r="63" outlineLevel="1" ht="13.7" customFormat="1" customHeight="1" s="68">
      <c r="A63" s="231" t="n">
        <v>29</v>
      </c>
      <c r="B63" s="76" t="inlineStr">
        <is>
          <t>01.7.20.04-0003</t>
        </is>
      </c>
      <c r="C63" s="216" t="inlineStr">
        <is>
          <t>Нитки суровые</t>
        </is>
      </c>
      <c r="D63" s="217" t="inlineStr">
        <is>
          <t>кг</t>
        </is>
      </c>
      <c r="E63" s="249" t="n">
        <v>0.0014</v>
      </c>
      <c r="F63" s="235" t="n">
        <v>155</v>
      </c>
      <c r="G63" s="82">
        <f>ROUND(F63*E63,2)</f>
        <v/>
      </c>
      <c r="H63" s="229">
        <f>G63/$G$65</f>
        <v/>
      </c>
      <c r="I63" s="82">
        <f>ROUND(F63*Прил.10!$D$12,2)</f>
        <v/>
      </c>
      <c r="J63" s="82">
        <f>ROUND(I63*E63,2)</f>
        <v/>
      </c>
    </row>
    <row r="64" customFormat="1" s="68">
      <c r="A64" s="217" t="n"/>
      <c r="B64" s="217" t="n"/>
      <c r="C64" s="216" t="inlineStr">
        <is>
          <t>Итого прочие материалы</t>
        </is>
      </c>
      <c r="D64" s="217" t="n"/>
      <c r="E64" s="218" t="n"/>
      <c r="F64" s="219" t="n"/>
      <c r="G64" s="82">
        <f>SUM(G50:G63)</f>
        <v/>
      </c>
      <c r="H64" s="229">
        <f>G64/G65</f>
        <v/>
      </c>
      <c r="I64" s="82" t="n"/>
      <c r="J64" s="82">
        <f>SUM(J50:J63)</f>
        <v/>
      </c>
      <c r="L64" s="254" t="n"/>
    </row>
    <row r="65" ht="13.7" customFormat="1" customHeight="1" s="68">
      <c r="A65" s="217" t="n"/>
      <c r="B65" s="217" t="n"/>
      <c r="C65" s="228" t="inlineStr">
        <is>
          <t>Итого по разделу «Материалы»</t>
        </is>
      </c>
      <c r="D65" s="217" t="n"/>
      <c r="E65" s="218" t="n"/>
      <c r="F65" s="219" t="n"/>
      <c r="G65" s="82">
        <f>G49+G64</f>
        <v/>
      </c>
      <c r="H65" s="229" t="n">
        <v>1</v>
      </c>
      <c r="I65" s="219" t="n"/>
      <c r="J65" s="82">
        <f>J49+J64</f>
        <v/>
      </c>
      <c r="K65" s="251" t="n"/>
    </row>
    <row r="66" ht="13.7" customFormat="1" customHeight="1" s="68">
      <c r="A66" s="217" t="n"/>
      <c r="B66" s="217" t="n"/>
      <c r="C66" s="216" t="inlineStr">
        <is>
          <t>ИТОГО ПО РМ</t>
        </is>
      </c>
      <c r="D66" s="217" t="n"/>
      <c r="E66" s="218" t="n"/>
      <c r="F66" s="219" t="n"/>
      <c r="G66" s="82">
        <f>G14+G23+G65</f>
        <v/>
      </c>
      <c r="H66" s="229" t="n"/>
      <c r="I66" s="219" t="n"/>
      <c r="J66" s="82">
        <f>J14+J23+J65</f>
        <v/>
      </c>
    </row>
    <row r="67" ht="13.7" customFormat="1" customHeight="1" s="68">
      <c r="A67" s="217" t="n"/>
      <c r="B67" s="217" t="n"/>
      <c r="C67" s="216" t="inlineStr">
        <is>
          <t>Накладные расходы</t>
        </is>
      </c>
      <c r="D67" s="217" t="inlineStr">
        <is>
          <t>%</t>
        </is>
      </c>
      <c r="E67" s="58">
        <f>ROUND(G67/(G14+G16),2)</f>
        <v/>
      </c>
      <c r="F67" s="219" t="n"/>
      <c r="G67" s="82" t="n">
        <v>1386.34</v>
      </c>
      <c r="H67" s="229" t="n"/>
      <c r="I67" s="219" t="n"/>
      <c r="J67" s="82">
        <f>ROUND(E67*(J14+J16),2)</f>
        <v/>
      </c>
      <c r="K67" s="59" t="n"/>
    </row>
    <row r="68" ht="13.7" customFormat="1" customHeight="1" s="68">
      <c r="A68" s="217" t="n"/>
      <c r="B68" s="217" t="n"/>
      <c r="C68" s="216" t="inlineStr">
        <is>
          <t>Сметная прибыль</t>
        </is>
      </c>
      <c r="D68" s="217" t="inlineStr">
        <is>
          <t>%</t>
        </is>
      </c>
      <c r="E68" s="58">
        <f>ROUND(G68/(G14+G16),2)</f>
        <v/>
      </c>
      <c r="F68" s="219" t="n"/>
      <c r="G68" s="82" t="n">
        <v>725.97</v>
      </c>
      <c r="H68" s="229" t="n"/>
      <c r="I68" s="219" t="n"/>
      <c r="J68" s="82">
        <f>ROUND(E68*(J14+J16),2)</f>
        <v/>
      </c>
      <c r="K68" s="59" t="n"/>
    </row>
    <row r="69" ht="13.7" customFormat="1" customHeight="1" s="68">
      <c r="A69" s="217" t="n"/>
      <c r="B69" s="217" t="n"/>
      <c r="C69" s="216" t="inlineStr">
        <is>
          <t>Итого СМР (с НР и СП)</t>
        </is>
      </c>
      <c r="D69" s="217" t="n"/>
      <c r="E69" s="218" t="n"/>
      <c r="F69" s="219" t="n"/>
      <c r="G69" s="82">
        <f>G14+G23+G65+G67+G68</f>
        <v/>
      </c>
      <c r="H69" s="229" t="n"/>
      <c r="I69" s="219" t="n"/>
      <c r="J69" s="82">
        <f>J14+J23+J65+J67+J68</f>
        <v/>
      </c>
      <c r="L69" s="60" t="n"/>
    </row>
    <row r="70" ht="13.7" customFormat="1" customHeight="1" s="68">
      <c r="A70" s="217" t="n"/>
      <c r="B70" s="217" t="n"/>
      <c r="C70" s="216" t="inlineStr">
        <is>
          <t>ВСЕГО СМР + ОБОРУДОВАНИЕ</t>
        </is>
      </c>
      <c r="D70" s="217" t="n"/>
      <c r="E70" s="218" t="n"/>
      <c r="F70" s="219" t="n"/>
      <c r="G70" s="82">
        <f>G69+G34</f>
        <v/>
      </c>
      <c r="H70" s="229" t="n"/>
      <c r="I70" s="219" t="n"/>
      <c r="J70" s="82">
        <f>J69+J34</f>
        <v/>
      </c>
      <c r="L70" s="59" t="n"/>
    </row>
    <row r="71" ht="13.7" customFormat="1" customHeight="1" s="68">
      <c r="A71" s="217" t="n"/>
      <c r="B71" s="217" t="n"/>
      <c r="C71" s="216" t="inlineStr">
        <is>
          <t>ИТОГО ПОКАЗАТЕЛЬ НА ЕД. ИЗМ.</t>
        </is>
      </c>
      <c r="D71" s="217" t="inlineStr">
        <is>
          <t>ед.</t>
        </is>
      </c>
      <c r="E71" s="114" t="n">
        <v>1</v>
      </c>
      <c r="F71" s="219" t="n"/>
      <c r="G71" s="82">
        <f>G70/E71</f>
        <v/>
      </c>
      <c r="H71" s="229" t="n"/>
      <c r="I71" s="219" t="n"/>
      <c r="J71" s="82">
        <f>J70/E71</f>
        <v/>
      </c>
      <c r="L71" s="248" t="n"/>
    </row>
    <row r="73" ht="13.7" customFormat="1" customHeight="1" s="68">
      <c r="A73" s="147" t="n"/>
    </row>
    <row r="74" ht="13.7" customFormat="1" customHeight="1" s="68">
      <c r="B74" s="139" t="inlineStr">
        <is>
          <t>Составил ______________________        Е.А. Князева</t>
        </is>
      </c>
    </row>
    <row r="75" ht="13.7" customFormat="1" customHeight="1" s="68">
      <c r="B75" s="165" t="inlineStr">
        <is>
          <t xml:space="preserve">                         (подпись, инициалы, фамилия)</t>
        </is>
      </c>
    </row>
    <row r="76" ht="13.7" customFormat="1" customHeight="1" s="68">
      <c r="B76" s="139" t="n"/>
    </row>
    <row r="77" ht="13.7" customFormat="1" customHeight="1" s="68">
      <c r="B77" s="139" t="inlineStr">
        <is>
          <t>Проверил ______________________        А.В. Костянецкая</t>
        </is>
      </c>
    </row>
    <row r="78" ht="13.7" customFormat="1" customHeight="1" s="68">
      <c r="B78" s="165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24:J24"/>
    <mergeCell ref="B9:B10"/>
    <mergeCell ref="D9:D10"/>
    <mergeCell ref="B18:H18"/>
    <mergeCell ref="B36:J36"/>
    <mergeCell ref="B12:H12"/>
    <mergeCell ref="D6:J6"/>
    <mergeCell ref="F9:G9"/>
    <mergeCell ref="A4:H4"/>
    <mergeCell ref="B25:J25"/>
    <mergeCell ref="B17:H17"/>
    <mergeCell ref="A9:A10"/>
    <mergeCell ref="B37:H3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view="pageBreakPreview" topLeftCell="A16" workbookViewId="0">
      <selection activeCell="B22" sqref="B22"/>
    </sheetView>
  </sheetViews>
  <sheetFormatPr baseColWidth="8" defaultRowHeight="15"/>
  <cols>
    <col width="5.7109375" customWidth="1" style="166" min="1" max="1"/>
    <col width="14.85546875" customWidth="1" style="166" min="2" max="2"/>
    <col width="39.140625" customWidth="1" style="166" min="3" max="3"/>
    <col width="8.28515625" customWidth="1" style="166" min="4" max="4"/>
    <col width="13.5703125" customWidth="1" style="166" min="5" max="5"/>
    <col width="12.42578125" customWidth="1" style="166" min="6" max="6"/>
    <col width="14.140625" customWidth="1" style="166" min="7" max="7"/>
  </cols>
  <sheetData>
    <row r="1">
      <c r="A1" s="236" t="inlineStr">
        <is>
          <t>Приложение №6</t>
        </is>
      </c>
    </row>
    <row r="2" s="166">
      <c r="A2" s="236" t="n"/>
      <c r="B2" s="236" t="n"/>
      <c r="C2" s="236" t="n"/>
      <c r="D2" s="236" t="n"/>
      <c r="E2" s="236" t="n"/>
      <c r="F2" s="236" t="n"/>
      <c r="G2" s="236" t="n"/>
    </row>
    <row r="3" s="166">
      <c r="A3" s="236" t="n"/>
      <c r="B3" s="236" t="n"/>
      <c r="C3" s="236" t="n"/>
      <c r="D3" s="236" t="n"/>
      <c r="E3" s="236" t="n"/>
      <c r="F3" s="236" t="n"/>
      <c r="G3" s="236" t="n"/>
    </row>
    <row r="4">
      <c r="A4" s="236" t="n"/>
      <c r="B4" s="236" t="n"/>
      <c r="C4" s="236" t="n"/>
      <c r="D4" s="236" t="n"/>
      <c r="E4" s="236" t="n"/>
      <c r="F4" s="236" t="n"/>
      <c r="G4" s="236" t="n"/>
    </row>
    <row r="5">
      <c r="A5" s="213" t="inlineStr">
        <is>
          <t>Расчет стоимости оборудования</t>
        </is>
      </c>
    </row>
    <row r="6" ht="64.5" customHeight="1" s="166">
      <c r="A6" s="238">
        <f>'Прил.1 Сравнит табл'!B7</f>
        <v/>
      </c>
    </row>
    <row r="7">
      <c r="A7" s="139" t="n"/>
      <c r="B7" s="139" t="n"/>
      <c r="C7" s="139" t="n"/>
      <c r="D7" s="139" t="n"/>
      <c r="E7" s="139" t="n"/>
      <c r="F7" s="139" t="n"/>
      <c r="G7" s="139" t="n"/>
    </row>
    <row r="8" ht="30.2" customHeight="1" s="166">
      <c r="A8" s="237" t="inlineStr">
        <is>
          <t>№ пп.</t>
        </is>
      </c>
      <c r="B8" s="237" t="inlineStr">
        <is>
          <t>Код ресурса</t>
        </is>
      </c>
      <c r="C8" s="237" t="inlineStr">
        <is>
          <t>Наименование</t>
        </is>
      </c>
      <c r="D8" s="237" t="inlineStr">
        <is>
          <t>Ед. изм.</t>
        </is>
      </c>
      <c r="E8" s="217" t="inlineStr">
        <is>
          <t>Кол-во единиц по проектным данным</t>
        </is>
      </c>
      <c r="F8" s="237" t="inlineStr">
        <is>
          <t>Сметная стоимость в ценах на 01.01.2000 (руб.)</t>
        </is>
      </c>
      <c r="G8" s="242" t="n"/>
    </row>
    <row r="9">
      <c r="A9" s="244" t="n"/>
      <c r="B9" s="244" t="n"/>
      <c r="C9" s="244" t="n"/>
      <c r="D9" s="244" t="n"/>
      <c r="E9" s="244" t="n"/>
      <c r="F9" s="217" t="inlineStr">
        <is>
          <t>на ед. изм.</t>
        </is>
      </c>
      <c r="G9" s="217" t="inlineStr">
        <is>
          <t>общая</t>
        </is>
      </c>
    </row>
    <row r="10">
      <c r="A10" s="217" t="n">
        <v>1</v>
      </c>
      <c r="B10" s="217" t="n">
        <v>2</v>
      </c>
      <c r="C10" s="217" t="n">
        <v>3</v>
      </c>
      <c r="D10" s="217" t="n">
        <v>4</v>
      </c>
      <c r="E10" s="217" t="n">
        <v>5</v>
      </c>
      <c r="F10" s="217" t="n">
        <v>6</v>
      </c>
      <c r="G10" s="217" t="n">
        <v>7</v>
      </c>
    </row>
    <row r="11" ht="15" customHeight="1" s="166">
      <c r="A11" s="31" t="n"/>
      <c r="B11" s="216" t="inlineStr">
        <is>
          <t>ИНЖЕНЕРНОЕ ОБОРУДОВАНИЕ</t>
        </is>
      </c>
      <c r="C11" s="241" t="n"/>
      <c r="D11" s="241" t="n"/>
      <c r="E11" s="241" t="n"/>
      <c r="F11" s="241" t="n"/>
      <c r="G11" s="242" t="n"/>
    </row>
    <row r="12" s="166">
      <c r="A12" s="217" t="n">
        <v>1</v>
      </c>
      <c r="B12" s="114">
        <f>'Прил.5 Расчет СМР и ОБ'!B26</f>
        <v/>
      </c>
      <c r="C12" s="115">
        <f>'Прил.5 Расчет СМР и ОБ'!C26</f>
        <v/>
      </c>
      <c r="D12" s="114">
        <f>'Прил.5 Расчет СМР и ОБ'!D26</f>
        <v/>
      </c>
      <c r="E12" s="151">
        <f>'Прил.5 Расчет СМР и ОБ'!E26</f>
        <v/>
      </c>
      <c r="F12" s="82">
        <f>'Прил.5 Расчет СМР и ОБ'!F26</f>
        <v/>
      </c>
      <c r="G12" s="82">
        <f>ROUND(E12*F12,2)</f>
        <v/>
      </c>
    </row>
    <row r="13" ht="25.9" customHeight="1" s="166">
      <c r="A13" s="217" t="n">
        <v>2</v>
      </c>
      <c r="B13" s="114">
        <f>'Прил.5 Расчет СМР и ОБ'!B27</f>
        <v/>
      </c>
      <c r="C13" s="115">
        <f>'Прил.5 Расчет СМР и ОБ'!C27</f>
        <v/>
      </c>
      <c r="D13" s="114">
        <f>'Прил.5 Расчет СМР и ОБ'!D27</f>
        <v/>
      </c>
      <c r="E13" s="151">
        <f>'Прил.5 Расчет СМР и ОБ'!E27</f>
        <v/>
      </c>
      <c r="F13" s="82">
        <f>'Прил.5 Расчет СМР и ОБ'!F27</f>
        <v/>
      </c>
      <c r="G13" s="82">
        <f>ROUND(E13*F13,2)</f>
        <v/>
      </c>
    </row>
    <row r="14" s="166">
      <c r="A14" s="217" t="n">
        <v>3</v>
      </c>
      <c r="B14" s="114">
        <f>'Прил.5 Расчет СМР и ОБ'!B28</f>
        <v/>
      </c>
      <c r="C14" s="115">
        <f>'Прил.5 Расчет СМР и ОБ'!C28</f>
        <v/>
      </c>
      <c r="D14" s="114">
        <f>'Прил.5 Расчет СМР и ОБ'!D28</f>
        <v/>
      </c>
      <c r="E14" s="151">
        <f>'Прил.5 Расчет СМР и ОБ'!E28</f>
        <v/>
      </c>
      <c r="F14" s="82">
        <f>'Прил.5 Расчет СМР и ОБ'!F28</f>
        <v/>
      </c>
      <c r="G14" s="82">
        <f>ROUND(E14*F14,2)</f>
        <v/>
      </c>
    </row>
    <row r="15" ht="90.40000000000001" customHeight="1" s="166">
      <c r="A15" s="217" t="n">
        <v>4</v>
      </c>
      <c r="B15" s="114">
        <f>'Прил.5 Расчет СМР и ОБ'!B29</f>
        <v/>
      </c>
      <c r="C15" s="115">
        <f>'Прил.5 Расчет СМР и ОБ'!C29</f>
        <v/>
      </c>
      <c r="D15" s="114">
        <f>'Прил.5 Расчет СМР и ОБ'!D29</f>
        <v/>
      </c>
      <c r="E15" s="151">
        <f>'Прил.5 Расчет СМР и ОБ'!E29</f>
        <v/>
      </c>
      <c r="F15" s="82">
        <f>'Прил.5 Расчет СМР и ОБ'!F29</f>
        <v/>
      </c>
      <c r="G15" s="82">
        <f>ROUND(E15*F15,2)</f>
        <v/>
      </c>
    </row>
    <row r="16" ht="116.1" customHeight="1" s="166">
      <c r="A16" s="217" t="n">
        <v>5</v>
      </c>
      <c r="B16" s="114">
        <f>'Прил.5 Расчет СМР и ОБ'!B31</f>
        <v/>
      </c>
      <c r="C16" s="115">
        <f>'Прил.5 Расчет СМР и ОБ'!C31</f>
        <v/>
      </c>
      <c r="D16" s="114">
        <f>'Прил.5 Расчет СМР и ОБ'!D31</f>
        <v/>
      </c>
      <c r="E16" s="151">
        <f>'Прил.5 Расчет СМР и ОБ'!E31</f>
        <v/>
      </c>
      <c r="F16" s="82">
        <f>'Прил.5 Расчет СМР и ОБ'!F31</f>
        <v/>
      </c>
      <c r="G16" s="82">
        <f>ROUND(E16*F16,2)</f>
        <v/>
      </c>
    </row>
    <row r="17" ht="25.9" customHeight="1" s="166">
      <c r="A17" s="217" t="n">
        <v>6</v>
      </c>
      <c r="B17" s="114">
        <f>'Прил.5 Расчет СМР и ОБ'!B32</f>
        <v/>
      </c>
      <c r="C17" s="115">
        <f>'Прил.5 Расчет СМР и ОБ'!C32</f>
        <v/>
      </c>
      <c r="D17" s="114">
        <f>'Прил.5 Расчет СМР и ОБ'!D32</f>
        <v/>
      </c>
      <c r="E17" s="151">
        <f>'Прил.5 Расчет СМР и ОБ'!E32</f>
        <v/>
      </c>
      <c r="F17" s="82">
        <f>'Прил.5 Расчет СМР и ОБ'!F32</f>
        <v/>
      </c>
      <c r="G17" s="82">
        <f>ROUND(E17*F17,2)</f>
        <v/>
      </c>
    </row>
    <row r="18">
      <c r="A18" s="217" t="n"/>
      <c r="B18" s="228" t="n"/>
      <c r="C18" s="216" t="inlineStr">
        <is>
          <t>ИТОГО ИНЖЕНЕРНОЕ ОБОРУДОВАНИЕ</t>
        </is>
      </c>
      <c r="D18" s="228" t="n"/>
      <c r="E18" s="9" t="n"/>
      <c r="F18" s="219" t="n"/>
      <c r="G18" s="82">
        <f>SUM(G12:G17)</f>
        <v/>
      </c>
    </row>
    <row r="19">
      <c r="A19" s="217" t="n"/>
      <c r="B19" s="216" t="inlineStr">
        <is>
          <t>ТЕХНОЛОГИЧЕСКОЕ ОБОРУДОВАНИЕ</t>
        </is>
      </c>
      <c r="C19" s="241" t="n"/>
      <c r="D19" s="241" t="n"/>
      <c r="E19" s="241" t="n"/>
      <c r="F19" s="241" t="n"/>
      <c r="G19" s="242" t="n"/>
    </row>
    <row r="20" ht="25.5" customHeight="1" s="166">
      <c r="A20" s="217" t="n"/>
      <c r="B20" s="129" t="n"/>
      <c r="C20" s="129" t="inlineStr">
        <is>
          <t>ИТОГО ТЕХНОЛОГИЧЕСКОЕ ОБОРУДОВАНИЕ</t>
        </is>
      </c>
      <c r="D20" s="129" t="n"/>
      <c r="E20" s="132" t="n"/>
      <c r="F20" s="219" t="n"/>
      <c r="G20" s="82" t="n">
        <v>0</v>
      </c>
    </row>
    <row r="21" ht="19.5" customHeight="1" s="166">
      <c r="A21" s="217" t="n"/>
      <c r="B21" s="216" t="n"/>
      <c r="C21" s="216" t="inlineStr">
        <is>
          <t>Всего по разделу «Оборудование»</t>
        </is>
      </c>
      <c r="D21" s="216" t="n"/>
      <c r="E21" s="235" t="n"/>
      <c r="F21" s="219" t="n"/>
      <c r="G21" s="82">
        <f>G18+G20</f>
        <v/>
      </c>
    </row>
    <row r="22">
      <c r="A22" s="147" t="n"/>
      <c r="B22" s="148" t="n"/>
      <c r="C22" s="147" t="n"/>
      <c r="D22" s="147" t="n"/>
      <c r="E22" s="147" t="n"/>
      <c r="F22" s="147" t="n"/>
      <c r="G22" s="147" t="n"/>
    </row>
    <row r="23" s="166">
      <c r="A23" s="139" t="inlineStr">
        <is>
          <t>Составил ______________________        Е.А. Князева</t>
        </is>
      </c>
      <c r="B23" s="68" t="n"/>
      <c r="C23" s="68" t="n"/>
      <c r="D23" s="147" t="n"/>
      <c r="E23" s="147" t="n"/>
      <c r="F23" s="147" t="n"/>
      <c r="G23" s="147" t="n"/>
    </row>
    <row r="24" s="166">
      <c r="A24" s="165" t="inlineStr">
        <is>
          <t xml:space="preserve">                         (подпись, инициалы, фамилия)</t>
        </is>
      </c>
      <c r="B24" s="68" t="n"/>
      <c r="C24" s="68" t="n"/>
      <c r="D24" s="147" t="n"/>
      <c r="E24" s="147" t="n"/>
      <c r="F24" s="147" t="n"/>
      <c r="G24" s="147" t="n"/>
    </row>
    <row r="25" s="166">
      <c r="A25" s="139" t="n"/>
      <c r="B25" s="68" t="n"/>
      <c r="C25" s="68" t="n"/>
      <c r="D25" s="147" t="n"/>
      <c r="E25" s="147" t="n"/>
      <c r="F25" s="147" t="n"/>
      <c r="G25" s="147" t="n"/>
    </row>
    <row r="26" s="166">
      <c r="A26" s="139" t="inlineStr">
        <is>
          <t>Проверил ______________________        А.В. Костянецкая</t>
        </is>
      </c>
      <c r="B26" s="68" t="n"/>
      <c r="C26" s="68" t="n"/>
      <c r="D26" s="147" t="n"/>
      <c r="E26" s="147" t="n"/>
      <c r="F26" s="147" t="n"/>
      <c r="G26" s="147" t="n"/>
    </row>
    <row r="27" s="166">
      <c r="A27" s="165" t="inlineStr">
        <is>
          <t xml:space="preserve">                        (подпись, инициалы, фамилия)</t>
        </is>
      </c>
      <c r="B27" s="68" t="n"/>
      <c r="C27" s="68" t="n"/>
      <c r="D27" s="147" t="n"/>
      <c r="E27" s="147" t="n"/>
      <c r="F27" s="147" t="n"/>
      <c r="G27" s="147" t="n"/>
    </row>
  </sheetData>
  <mergeCells count="11">
    <mergeCell ref="B19:G19"/>
    <mergeCell ref="A8:A9"/>
    <mergeCell ref="A1:G1"/>
    <mergeCell ref="E8:E9"/>
    <mergeCell ref="C8:C9"/>
    <mergeCell ref="B11:G11"/>
    <mergeCell ref="A6:G6"/>
    <mergeCell ref="D8:D9"/>
    <mergeCell ref="B8:B9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66" min="1" max="1"/>
    <col width="29.7109375" customWidth="1" style="166" min="2" max="2"/>
    <col width="35" customWidth="1" style="166" min="3" max="3"/>
    <col width="27.5703125" customWidth="1" style="166" min="4" max="4"/>
    <col width="24.85546875" customWidth="1" style="166" min="5" max="5"/>
    <col width="8.85546875" customWidth="1" style="166" min="6" max="6"/>
  </cols>
  <sheetData>
    <row r="1">
      <c r="B1" s="139" t="n"/>
      <c r="C1" s="139" t="n"/>
      <c r="D1" s="236" t="inlineStr">
        <is>
          <t>Приложение №7</t>
        </is>
      </c>
    </row>
    <row r="2">
      <c r="A2" s="236" t="n"/>
      <c r="B2" s="236" t="n"/>
      <c r="C2" s="236" t="n"/>
      <c r="D2" s="236" t="n"/>
    </row>
    <row r="3" ht="24.75" customHeight="1" s="166">
      <c r="A3" s="213" t="inlineStr">
        <is>
          <t>Расчет показателя УНЦ</t>
        </is>
      </c>
    </row>
    <row r="4" ht="24.75" customHeight="1" s="166">
      <c r="A4" s="213" t="n"/>
      <c r="B4" s="213" t="n"/>
      <c r="C4" s="213" t="n"/>
      <c r="D4" s="213" t="n"/>
    </row>
    <row r="5" ht="25.9" customHeight="1" s="166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166">
      <c r="A6" s="227">
        <f>'Прил.1 Сравнит табл'!B9</f>
        <v/>
      </c>
      <c r="D6" s="227" t="n"/>
    </row>
    <row r="7">
      <c r="A7" s="139" t="n"/>
      <c r="B7" s="139" t="n"/>
      <c r="C7" s="139" t="n"/>
      <c r="D7" s="139" t="n"/>
    </row>
    <row r="8" ht="14.45" customHeight="1" s="166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 s="166">
      <c r="A9" s="244" t="n"/>
      <c r="B9" s="244" t="n"/>
      <c r="C9" s="244" t="n"/>
      <c r="D9" s="244" t="n"/>
    </row>
    <row r="10">
      <c r="A10" s="217" t="n">
        <v>1</v>
      </c>
      <c r="B10" s="217" t="n">
        <v>2</v>
      </c>
      <c r="C10" s="217" t="n">
        <v>3</v>
      </c>
      <c r="D10" s="217" t="n">
        <v>4</v>
      </c>
    </row>
    <row r="11" ht="25.9" customHeight="1" s="166">
      <c r="A11" s="217" t="inlineStr">
        <is>
          <t>И17-05</t>
        </is>
      </c>
      <c r="B11" s="217" t="inlineStr">
        <is>
          <t xml:space="preserve">УНЦ сети связи  </t>
        </is>
      </c>
      <c r="C11" s="144">
        <f>D5</f>
        <v/>
      </c>
      <c r="D11" s="145">
        <f>'Прил.4 РМ'!C41/1000</f>
        <v/>
      </c>
      <c r="E11" s="146" t="n"/>
    </row>
    <row r="12">
      <c r="A12" s="147" t="n"/>
      <c r="B12" s="148" t="n"/>
      <c r="C12" s="147" t="n"/>
      <c r="D12" s="147" t="n"/>
    </row>
    <row r="13">
      <c r="A13" s="139">
        <f>'Прил.1 Сравнит табл'!B28</f>
        <v/>
      </c>
      <c r="B13" s="68" t="n"/>
      <c r="C13" s="68" t="n"/>
      <c r="D13" s="147" t="n"/>
    </row>
    <row r="14">
      <c r="A14" s="165" t="inlineStr">
        <is>
          <t xml:space="preserve">                         (подпись, инициалы, фамилия)</t>
        </is>
      </c>
      <c r="B14" s="68" t="n"/>
      <c r="C14" s="68" t="n"/>
      <c r="D14" s="147" t="n"/>
    </row>
    <row r="15">
      <c r="A15" s="139" t="n"/>
      <c r="B15" s="68" t="n"/>
      <c r="C15" s="68" t="n"/>
      <c r="D15" s="147" t="n"/>
    </row>
    <row r="16">
      <c r="A16" s="139" t="inlineStr">
        <is>
          <t>Проверил ______________________        А.В. Костянецкая</t>
        </is>
      </c>
      <c r="B16" s="68" t="n"/>
      <c r="C16" s="68" t="n"/>
      <c r="D16" s="147" t="n"/>
    </row>
    <row r="17">
      <c r="A17" s="165" t="inlineStr">
        <is>
          <t xml:space="preserve">                        (подпись, инициалы, фамилия)</t>
        </is>
      </c>
      <c r="B17" s="68" t="n"/>
      <c r="C17" s="68" t="n"/>
      <c r="D17" s="14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tabSelected="1"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66" min="2" max="2"/>
    <col width="37" customWidth="1" style="166" min="3" max="3"/>
    <col width="32" customWidth="1" style="166" min="4" max="4"/>
  </cols>
  <sheetData>
    <row r="4" ht="15.6" customHeight="1" s="166">
      <c r="B4" s="205" t="inlineStr">
        <is>
          <t>Приложение № 10</t>
        </is>
      </c>
    </row>
    <row r="5" ht="18.4" customHeight="1" s="166">
      <c r="B5" s="22" t="n"/>
    </row>
    <row r="6" ht="15.6" customHeight="1" s="166">
      <c r="B6" s="206" t="inlineStr">
        <is>
          <t>Используемые индексы изменений сметной стоимости и нормы сопутствующих затрат</t>
        </is>
      </c>
    </row>
    <row r="7">
      <c r="B7" s="239" t="n"/>
    </row>
    <row r="8" ht="46.9" customHeight="1" s="166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6" customHeight="1" s="166">
      <c r="B9" s="209" t="n">
        <v>1</v>
      </c>
      <c r="C9" s="209" t="n">
        <v>2</v>
      </c>
      <c r="D9" s="209" t="n">
        <v>3</v>
      </c>
    </row>
    <row r="10" ht="31.35" customHeight="1" s="166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30.03.2023г. №17106-ИФ/09  прил.1</t>
        </is>
      </c>
      <c r="D10" s="209" t="n">
        <v>44.29</v>
      </c>
    </row>
    <row r="11" ht="31.35" customHeight="1" s="166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30.03.2023г. №17106-ИФ/09  прил.1</t>
        </is>
      </c>
      <c r="D11" s="209" t="n">
        <v>13.47</v>
      </c>
    </row>
    <row r="12" ht="31.35" customHeight="1" s="166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30.03.2023г. №17106-ИФ/09  прил.1</t>
        </is>
      </c>
      <c r="D12" s="209" t="n">
        <v>8.039999999999999</v>
      </c>
    </row>
    <row r="13" ht="31.35" customHeight="1" s="166">
      <c r="B13" s="209" t="inlineStr">
        <is>
          <t>Индекс изменения сметной стоимости на 1 квартал 2023 года. ОБ</t>
        </is>
      </c>
      <c r="C13" s="92" t="inlineStr">
        <is>
          <t>Письмо Минстроя России от 23.02.2023г. №9791-ИФ/09 прил.6</t>
        </is>
      </c>
      <c r="D13" s="209" t="n">
        <v>6.26</v>
      </c>
    </row>
    <row r="14" ht="78.2" customHeight="1" s="166">
      <c r="B14" s="209" t="inlineStr">
        <is>
          <t>Временные здания и сооружения</t>
        </is>
      </c>
      <c r="C14" s="20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0.025</v>
      </c>
    </row>
    <row r="15" ht="78.2" customHeight="1" s="166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31.35" customHeight="1" s="166">
      <c r="B16" s="209" t="inlineStr">
        <is>
          <t>Строительный контроль</t>
        </is>
      </c>
      <c r="C16" s="209" t="inlineStr">
        <is>
          <t>Постановление Правительства РФ от 21.06.10 г. № 468</t>
        </is>
      </c>
      <c r="D16" s="29" t="n">
        <v>0.0214</v>
      </c>
    </row>
    <row r="17" ht="31.7" customHeight="1" s="166">
      <c r="B17" s="209" t="inlineStr">
        <is>
          <t>Авторский надзор - 0,2%</t>
        </is>
      </c>
      <c r="C17" s="209" t="inlineStr">
        <is>
          <t>Приказ от 4.08.2020 № 421/пр п.173</t>
        </is>
      </c>
      <c r="D17" s="29" t="n">
        <v>0.002</v>
      </c>
    </row>
    <row r="18" ht="24" customHeight="1" s="166">
      <c r="B18" s="209" t="inlineStr">
        <is>
          <t>Непредвиденные расходы</t>
        </is>
      </c>
      <c r="C18" s="209" t="inlineStr">
        <is>
          <t>Приказ от 4.08.2020 № 421/пр п.179</t>
        </is>
      </c>
      <c r="D18" s="29" t="n">
        <v>0.03</v>
      </c>
    </row>
    <row r="19" ht="18.4" customHeight="1" s="166">
      <c r="B19" s="23" t="n"/>
    </row>
    <row r="20" ht="18.4" customHeight="1" s="166">
      <c r="B20" s="23" t="n"/>
    </row>
    <row r="21" ht="18.4" customHeight="1" s="166">
      <c r="B21" s="23" t="n"/>
    </row>
    <row r="22" ht="18.4" customHeight="1" s="166">
      <c r="B22" s="23" t="n"/>
    </row>
    <row r="25">
      <c r="B25" s="139" t="inlineStr">
        <is>
          <t>Составил ______________________        Е.А. Князева</t>
        </is>
      </c>
      <c r="C25" s="68" t="n"/>
    </row>
    <row r="26">
      <c r="B26" s="165" t="inlineStr">
        <is>
          <t xml:space="preserve">                         (подпись, инициалы, фамилия)</t>
        </is>
      </c>
      <c r="C26" s="68" t="n"/>
    </row>
    <row r="27">
      <c r="B27" s="139" t="n"/>
      <c r="C27" s="68" t="n"/>
    </row>
    <row r="28">
      <c r="B28" s="139" t="inlineStr">
        <is>
          <t>Проверил ______________________        А.В. Костянецкая</t>
        </is>
      </c>
      <c r="C28" s="68" t="n"/>
    </row>
    <row r="29">
      <c r="B29" s="165" t="inlineStr">
        <is>
          <t xml:space="preserve">                        (подпись, инициалы, фамилия)</t>
        </is>
      </c>
      <c r="C29" s="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7" sqref="G1:G1048576"/>
    </sheetView>
  </sheetViews>
  <sheetFormatPr baseColWidth="8" defaultColWidth="9.140625" defaultRowHeight="15"/>
  <cols>
    <col width="44.85546875" customWidth="1" style="166" min="2" max="2"/>
    <col width="13" customWidth="1" style="166" min="3" max="3"/>
    <col width="22.85546875" customWidth="1" style="166" min="4" max="4"/>
    <col width="21.5703125" customWidth="1" style="166" min="5" max="5"/>
    <col width="43.85546875" customWidth="1" style="166" min="6" max="6"/>
  </cols>
  <sheetData>
    <row r="1" s="166"/>
    <row r="2" ht="17.25" customHeight="1" s="166">
      <c r="A2" s="206" t="inlineStr">
        <is>
          <t>Расчет размера средств на оплату труда рабочих-строителей в текущем уровне цен (ФОТр.тек.)</t>
        </is>
      </c>
    </row>
    <row r="3" s="166"/>
    <row r="4" ht="18" customHeight="1" s="166">
      <c r="A4" s="167" t="inlineStr">
        <is>
          <t>Составлен в уровне цен на 01.01.2023 г.</t>
        </is>
      </c>
      <c r="B4" s="168" t="n"/>
      <c r="C4" s="168" t="n"/>
      <c r="D4" s="168" t="n"/>
      <c r="E4" s="168" t="n"/>
      <c r="F4" s="168" t="n"/>
      <c r="G4" s="168" t="n"/>
    </row>
    <row r="5" ht="15.75" customHeight="1" s="166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168" t="n"/>
    </row>
    <row r="6" ht="15.75" customHeight="1" s="166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168" t="n"/>
    </row>
    <row r="7" ht="110.25" customHeight="1" s="166">
      <c r="A7" s="170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73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8" t="n"/>
    </row>
    <row r="8" ht="31.5" customHeight="1" s="166">
      <c r="A8" s="170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166">
      <c r="A9" s="170" t="inlineStr">
        <is>
          <t>1.3</t>
        </is>
      </c>
      <c r="B9" s="175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74" t="n">
        <v>1</v>
      </c>
      <c r="F9" s="175" t="n"/>
      <c r="G9" s="177" t="n"/>
    </row>
    <row r="10" ht="15.75" customHeight="1" s="166">
      <c r="A10" s="170" t="inlineStr">
        <is>
          <t>1.4</t>
        </is>
      </c>
      <c r="B10" s="175" t="inlineStr">
        <is>
          <t>Средний разряд работ</t>
        </is>
      </c>
      <c r="C10" s="209" t="n"/>
      <c r="D10" s="209" t="n"/>
      <c r="E10" s="258" t="n">
        <v>4.1</v>
      </c>
      <c r="F10" s="175" t="inlineStr">
        <is>
          <t>РТМ</t>
        </is>
      </c>
      <c r="G10" s="177" t="n"/>
    </row>
    <row r="11" ht="78.75" customHeight="1" s="166">
      <c r="A11" s="170" t="inlineStr">
        <is>
          <t>1.5</t>
        </is>
      </c>
      <c r="B11" s="175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259" t="n">
        <v>1.359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8" t="n"/>
    </row>
    <row r="12" ht="78.75" customHeight="1" s="166">
      <c r="A12" s="170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09" t="inlineStr">
        <is>
          <t>Кинф</t>
        </is>
      </c>
      <c r="D12" s="209" t="inlineStr">
        <is>
          <t>-</t>
        </is>
      </c>
      <c r="E12" s="260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166">
      <c r="A13" s="183" t="inlineStr">
        <is>
          <t>1.7</t>
        </is>
      </c>
      <c r="B13" s="184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186">
        <f>((E7*E9/E8)*E11)*E12</f>
        <v/>
      </c>
      <c r="F1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2025-01-24T12:02:02Z</dcterms:modified>
  <cp:lastModifiedBy>Nikolay Ivanov</cp:lastModifiedBy>
  <cp:lastPrinted>2023-12-01T18:17:59Z</cp:lastPrinted>
</cp:coreProperties>
</file>