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891" firstSheet="0" activeTab="0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Toc132270798" localSheetId="0">'Прил.1 Сравнит табл'!$B$3</definedName>
    <definedName name="_Hlk133322969" localSheetId="1">'Прил.2 Расч стоим'!$B$4</definedName>
    <definedName name="_xlnm.Print_Area" localSheetId="1">'Прил.2 Расч стоим'!$A$1:$J$33</definedName>
    <definedName name="_Toc132270799" localSheetId="2">'Прил. 3'!$A$2</definedName>
    <definedName name="_xlnm.Print_Titles" localSheetId="2">'Прил. 3'!$8:$10</definedName>
    <definedName name="_xlnm.Print_Area" localSheetId="2">'Прил. 3'!$A$1:$H$89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РМ'!$B$4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ОБ'!$A$1:$J$111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5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xlnm.Print_Area" localSheetId="8">'ФОТр.тек.'!$A$1:$F$13</definedName>
  </definedNames>
  <calcPr calcId="181029" fullCalcOnLoad="1"/>
</workbook>
</file>

<file path=xl/styles.xml><?xml version="1.0" encoding="utf-8"?>
<styleSheet xmlns="http://schemas.openxmlformats.org/spreadsheetml/2006/main">
  <numFmts count="8">
    <numFmt numFmtId="164" formatCode="#,##0.0000"/>
    <numFmt numFmtId="165" formatCode="0.0000"/>
    <numFmt numFmtId="166" formatCode="#,##0.000"/>
    <numFmt numFmtId="167" formatCode="0.000"/>
    <numFmt numFmtId="168" formatCode="0.0"/>
    <numFmt numFmtId="169" formatCode="0.000%"/>
    <numFmt numFmtId="170" formatCode="_-* #,##0.00\ _₽_-;\-* #,##0.00\ _₽_-;_-* &quot;-&quot;??\ _₽_-;_-@_-"/>
    <numFmt numFmtId="171" formatCode="#,##0.0"/>
  </numFmts>
  <fonts count="17">
    <font>
      <name val="Calibri"/>
      <color rgb="FF000000"/>
      <sz val="11"/>
    </font>
    <font>
      <name val="Arial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9"/>
    </font>
    <font>
      <name val="Times New Roman"/>
      <color rgb="FF000000"/>
      <sz val="14"/>
    </font>
    <font>
      <name val="Times New Roman"/>
      <color rgb="FF000000"/>
      <sz val="12"/>
    </font>
    <font>
      <name val="Arial"/>
      <color rgb="FF000000"/>
      <sz val="8"/>
    </font>
    <font>
      <name val="Arial"/>
      <b val="1"/>
      <color rgb="FFC00000"/>
      <sz val="11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color rgb="FF000000"/>
      <sz val="14"/>
      <vertAlign val="superscript"/>
    </font>
    <font>
      <name val="Arial"/>
      <b val="1"/>
      <color rgb="FF000000"/>
      <sz val="11"/>
    </font>
    <font>
      <name val="Arial"/>
      <color rgb="FF0070C0"/>
      <sz val="11"/>
    </font>
    <font>
      <name val="Times New Roman"/>
      <color rgb="FF0000FF"/>
      <sz val="12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260">
    <xf numFmtId="0" fontId="0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2" fillId="0" borderId="2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2" fillId="0" borderId="0" pivotButton="0" quotePrefix="0" xfId="0"/>
    <xf numFmtId="0" fontId="2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justify" vertical="center"/>
    </xf>
    <xf numFmtId="43" fontId="0" fillId="0" borderId="0" pivotButton="0" quotePrefix="0" xfId="0"/>
    <xf numFmtId="4" fontId="0" fillId="0" borderId="0" pivotButton="0" quotePrefix="0" xfId="0"/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right" vertical="center"/>
    </xf>
    <xf numFmtId="0" fontId="5" fillId="0" borderId="0" applyAlignment="1" pivotButton="0" quotePrefix="0" xfId="0">
      <alignment horizontal="justify" vertical="center"/>
    </xf>
    <xf numFmtId="0" fontId="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right"/>
    </xf>
    <xf numFmtId="0" fontId="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2" fillId="0" borderId="1" applyAlignment="1" pivotButton="0" quotePrefix="0" xfId="0">
      <alignment vertical="center" wrapText="1"/>
    </xf>
    <xf numFmtId="4" fontId="2" fillId="0" borderId="1" applyAlignment="1" pivotButton="0" quotePrefix="0" xfId="0">
      <alignment horizontal="right" vertical="center"/>
    </xf>
    <xf numFmtId="10" fontId="2" fillId="0" borderId="1" applyAlignment="1" pivotButton="0" quotePrefix="0" xfId="0">
      <alignment vertical="center"/>
    </xf>
    <xf numFmtId="0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vertical="center" wrapText="1"/>
    </xf>
    <xf numFmtId="10" fontId="2" fillId="0" borderId="1" applyAlignment="1" pivotButton="0" quotePrefix="0" xfId="0">
      <alignment horizontal="right" vertical="center"/>
    </xf>
    <xf numFmtId="0" fontId="1" fillId="0" borderId="0" pivotButton="0" quotePrefix="0" xfId="0"/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10" fontId="2" fillId="0" borderId="0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10" fontId="2" fillId="0" borderId="1" applyAlignment="1" pivotButton="0" quotePrefix="0" xfId="0">
      <alignment horizontal="right" vertical="center" wrapText="1"/>
    </xf>
    <xf numFmtId="43" fontId="1" fillId="0" borderId="0" pivotButton="0" quotePrefix="0" xfId="0"/>
    <xf numFmtId="0" fontId="2" fillId="0" borderId="1" applyAlignment="1" pivotButton="0" quotePrefix="0" xfId="0">
      <alignment horizontal="left" vertical="center" wrapText="1"/>
    </xf>
    <xf numFmtId="164" fontId="2" fillId="0" borderId="1" applyAlignment="1" pivotButton="0" quotePrefix="0" xfId="0">
      <alignment horizontal="center" vertical="center" wrapText="1"/>
    </xf>
    <xf numFmtId="10" fontId="2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3" fillId="0" borderId="3" applyAlignment="1" pivotButton="0" quotePrefix="0" xfId="0">
      <alignment horizontal="left" vertical="center" wrapText="1"/>
    </xf>
    <xf numFmtId="2" fontId="2" fillId="0" borderId="3" applyAlignment="1" pivotButton="0" quotePrefix="0" xfId="0">
      <alignment horizontal="center" vertical="center" wrapText="1"/>
    </xf>
    <xf numFmtId="4" fontId="2" fillId="0" borderId="3" applyAlignment="1" pivotButton="0" quotePrefix="0" xfId="0">
      <alignment horizontal="right" vertical="center" wrapText="1"/>
    </xf>
    <xf numFmtId="10" fontId="2" fillId="0" borderId="3" applyAlignment="1" pivotButton="0" quotePrefix="0" xfId="0">
      <alignment horizontal="right" vertical="center" wrapText="1"/>
    </xf>
    <xf numFmtId="0" fontId="1" fillId="0" borderId="0" pivotButton="0" quotePrefix="0" xfId="0"/>
    <xf numFmtId="2" fontId="2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10" fontId="2" fillId="0" borderId="1" applyAlignment="1" pivotButton="0" quotePrefix="0" xfId="0">
      <alignment horizontal="center" vertical="center" wrapText="1"/>
    </xf>
    <xf numFmtId="10" fontId="1" fillId="0" borderId="0" pivotButton="0" quotePrefix="0" xfId="0"/>
    <xf numFmtId="4" fontId="1" fillId="0" borderId="0" pivotButton="0" quotePrefix="0" xfId="0"/>
    <xf numFmtId="4" fontId="2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10" fontId="2" fillId="0" borderId="0" applyAlignment="1" applyProtection="1" pivotButton="0" quotePrefix="0" xfId="0">
      <alignment horizontal="center" vertical="center" wrapText="1"/>
      <protection locked="0" hidden="0"/>
    </xf>
    <xf numFmtId="0" fontId="6" fillId="0" borderId="0" applyAlignment="1" pivotButton="0" quotePrefix="0" xfId="0">
      <alignment horizontal="right"/>
    </xf>
    <xf numFmtId="0" fontId="6" fillId="0" borderId="0" pivotButton="0" quotePrefix="0" xfId="0"/>
    <xf numFmtId="0" fontId="2" fillId="0" borderId="0" pivotButton="0" quotePrefix="0" xfId="0"/>
    <xf numFmtId="0" fontId="7" fillId="0" borderId="0" applyAlignment="1" pivotButton="0" quotePrefix="0" xfId="0">
      <alignment vertical="center"/>
    </xf>
    <xf numFmtId="0" fontId="0" fillId="0" borderId="0" pivotButton="0" quotePrefix="0" xfId="0"/>
    <xf numFmtId="2" fontId="2" fillId="0" borderId="1" applyAlignment="1" pivotButton="0" quotePrefix="0" xfId="0">
      <alignment horizontal="right" vertical="center" wrapText="1"/>
    </xf>
    <xf numFmtId="49" fontId="2" fillId="0" borderId="1" applyAlignment="1" pivotButton="0" quotePrefix="0" xfId="0">
      <alignment horizontal="center" vertical="top" wrapText="1"/>
    </xf>
    <xf numFmtId="165" fontId="1" fillId="0" borderId="0" pivotButton="0" quotePrefix="0" xfId="0"/>
    <xf numFmtId="0" fontId="8" fillId="0" borderId="0" applyAlignment="1" pivotButton="0" quotePrefix="0" xfId="0">
      <alignment horizontal="left"/>
    </xf>
    <xf numFmtId="0" fontId="3" fillId="0" borderId="1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4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164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right" vertical="center" wrapText="1"/>
    </xf>
    <xf numFmtId="0" fontId="0" fillId="0" borderId="1" pivotButton="0" quotePrefix="0" xfId="0"/>
    <xf numFmtId="2" fontId="2" fillId="0" borderId="1" applyAlignment="1" pivotButton="0" quotePrefix="0" xfId="0">
      <alignment horizontal="center" vertical="center" wrapText="1"/>
    </xf>
    <xf numFmtId="10" fontId="2" fillId="0" borderId="1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vertical="center"/>
    </xf>
    <xf numFmtId="0" fontId="6" fillId="0" borderId="0" pivotButton="0" quotePrefix="0" xfId="0"/>
    <xf numFmtId="0" fontId="6" fillId="0" borderId="0" applyAlignment="1" pivotButton="0" quotePrefix="0" xfId="0">
      <alignment horizontal="center" vertical="center"/>
    </xf>
    <xf numFmtId="0" fontId="9" fillId="0" borderId="0" pivotButton="0" quotePrefix="0" xfId="0"/>
    <xf numFmtId="0" fontId="6" fillId="0" borderId="1" applyAlignment="1" pivotButton="0" quotePrefix="0" xfId="0">
      <alignment vertical="center" wrapText="1"/>
    </xf>
    <xf numFmtId="0" fontId="6" fillId="0" borderId="1" applyAlignment="1" pivotButton="0" quotePrefix="0" xfId="0">
      <alignment horizontal="justify" vertical="center" wrapText="1"/>
    </xf>
    <xf numFmtId="4" fontId="6" fillId="0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wrapText="1"/>
    </xf>
    <xf numFmtId="49" fontId="6" fillId="0" borderId="1" applyAlignment="1" pivotButton="0" quotePrefix="0" xfId="0">
      <alignment horizontal="center" vertical="center" wrapText="1"/>
    </xf>
    <xf numFmtId="0" fontId="6" fillId="0" borderId="5" applyAlignment="1" pivotButton="0" quotePrefix="0" xfId="0">
      <alignment vertical="center" wrapText="1"/>
    </xf>
    <xf numFmtId="0" fontId="6" fillId="0" borderId="5" applyAlignment="1" pivotButton="0" quotePrefix="0" xfId="0">
      <alignment horizontal="justify" vertical="center" wrapText="1"/>
    </xf>
    <xf numFmtId="2" fontId="6" fillId="0" borderId="1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left" vertical="center"/>
    </xf>
    <xf numFmtId="0" fontId="6" fillId="0" borderId="3" applyAlignment="1" pivotButton="0" quotePrefix="0" xfId="0">
      <alignment horizontal="center" vertical="center" wrapText="1"/>
    </xf>
    <xf numFmtId="4" fontId="10" fillId="0" borderId="1" applyAlignment="1" pivotButton="0" quotePrefix="0" xfId="0">
      <alignment vertical="top"/>
    </xf>
    <xf numFmtId="0" fontId="10" fillId="0" borderId="0" pivotButton="0" quotePrefix="0" xfId="0"/>
    <xf numFmtId="4" fontId="6" fillId="0" borderId="1" applyAlignment="1" pivotButton="0" quotePrefix="0" xfId="0">
      <alignment vertical="top"/>
    </xf>
    <xf numFmtId="0" fontId="10" fillId="0" borderId="1" applyAlignment="1" pivotButton="0" quotePrefix="0" xfId="0">
      <alignment vertical="top"/>
    </xf>
    <xf numFmtId="0" fontId="6" fillId="0" borderId="1" pivotButton="0" quotePrefix="0" xfId="0"/>
    <xf numFmtId="0" fontId="6" fillId="0" borderId="1" applyAlignment="1" pivotButton="0" quotePrefix="0" xfId="0">
      <alignment vertical="center" wrapText="1"/>
    </xf>
    <xf numFmtId="0" fontId="11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left" vertical="center" wrapText="1"/>
    </xf>
    <xf numFmtId="166" fontId="6" fillId="0" borderId="1" applyAlignment="1" pivotButton="0" quotePrefix="0" xfId="0">
      <alignment horizontal="right" vertical="center"/>
    </xf>
    <xf numFmtId="166" fontId="6" fillId="0" borderId="1" applyAlignment="1" pivotButton="0" quotePrefix="0" xfId="0">
      <alignment horizontal="right" vertical="center" wrapText="1"/>
    </xf>
    <xf numFmtId="166" fontId="10" fillId="0" borderId="1" applyAlignment="1" pivotButton="0" quotePrefix="0" xfId="0">
      <alignment vertical="center" wrapText="1"/>
    </xf>
    <xf numFmtId="166" fontId="10" fillId="0" borderId="1" applyAlignment="1" pivotButton="0" quotePrefix="0" xfId="0">
      <alignment vertical="center" wrapText="1"/>
    </xf>
    <xf numFmtId="165" fontId="12" fillId="0" borderId="0" pivotButton="0" quotePrefix="0" xfId="0"/>
    <xf numFmtId="4" fontId="6" fillId="0" borderId="0" applyAlignment="1" pivotButton="0" quotePrefix="0" xfId="0">
      <alignment horizontal="left"/>
    </xf>
    <xf numFmtId="4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left" vertical="center" wrapText="1"/>
    </xf>
    <xf numFmtId="167" fontId="6" fillId="0" borderId="1" applyAlignment="1" pivotButton="0" quotePrefix="0" xfId="0">
      <alignment horizontal="center" vertical="center" wrapText="1"/>
    </xf>
    <xf numFmtId="10" fontId="0" fillId="0" borderId="0" pivotButton="0" quotePrefix="0" xfId="0"/>
    <xf numFmtId="1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top"/>
    </xf>
    <xf numFmtId="4" fontId="6" fillId="0" borderId="0" pivotButton="0" quotePrefix="0" xfId="0"/>
    <xf numFmtId="0" fontId="6" fillId="0" borderId="1" applyAlignment="1" pivotButton="0" quotePrefix="1" xfId="0">
      <alignment horizontal="center" vertical="center"/>
    </xf>
    <xf numFmtId="0" fontId="6" fillId="0" borderId="1" applyAlignment="1" pivotButton="0" quotePrefix="0" xfId="0">
      <alignment vertical="center"/>
    </xf>
    <xf numFmtId="0" fontId="10" fillId="0" borderId="0" applyAlignment="1" pivotButton="0" quotePrefix="0" xfId="0">
      <alignment horizontal="right" vertical="center" wrapText="1"/>
    </xf>
    <xf numFmtId="166" fontId="10" fillId="0" borderId="0" applyAlignment="1" pivotButton="0" quotePrefix="0" xfId="0">
      <alignment vertical="center" wrapText="1"/>
    </xf>
    <xf numFmtId="166" fontId="10" fillId="0" borderId="0" applyAlignment="1" pivotButton="0" quotePrefix="0" xfId="0">
      <alignment vertical="center" wrapText="1"/>
    </xf>
    <xf numFmtId="168" fontId="6" fillId="0" borderId="0" pivotButton="0" quotePrefix="0" xfId="0"/>
    <xf numFmtId="0" fontId="13" fillId="0" borderId="0" pivotButton="0" quotePrefix="0" xfId="0"/>
    <xf numFmtId="169" fontId="0" fillId="0" borderId="0" pivotButton="0" quotePrefix="0" xfId="0"/>
    <xf numFmtId="49" fontId="6" fillId="0" borderId="1" applyAlignment="1" pivotButton="0" quotePrefix="1" xfId="0">
      <alignment horizontal="center" vertical="center"/>
    </xf>
    <xf numFmtId="49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center" vertical="top" wrapText="1"/>
    </xf>
    <xf numFmtId="167" fontId="2" fillId="0" borderId="1" applyAlignment="1" pivotButton="0" quotePrefix="0" xfId="0">
      <alignment horizontal="center" vertical="top" wrapText="1"/>
    </xf>
    <xf numFmtId="4" fontId="2" fillId="0" borderId="1" applyAlignment="1" pivotButton="0" quotePrefix="0" xfId="0">
      <alignment horizontal="right" vertical="top" wrapText="1"/>
    </xf>
    <xf numFmtId="4" fontId="2" fillId="0" borderId="1" applyAlignment="1" pivotButton="0" quotePrefix="0" xfId="0">
      <alignment horizontal="right" vertical="top" wrapText="1"/>
    </xf>
    <xf numFmtId="167" fontId="2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horizontal="right" vertical="top" wrapText="1"/>
    </xf>
    <xf numFmtId="43" fontId="3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vertical="center" wrapText="1"/>
    </xf>
    <xf numFmtId="10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1" fontId="2" fillId="0" borderId="1" applyAlignment="1" pivotButton="0" quotePrefix="0" xfId="0">
      <alignment horizontal="center" vertical="top" wrapText="1"/>
    </xf>
    <xf numFmtId="49" fontId="2" fillId="0" borderId="1" applyAlignment="1" pivotButton="0" quotePrefix="0" xfId="0">
      <alignment horizontal="center" vertical="top" wrapText="1"/>
    </xf>
    <xf numFmtId="0" fontId="2" fillId="0" borderId="1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center" vertical="top" wrapText="1"/>
    </xf>
    <xf numFmtId="0" fontId="2" fillId="0" borderId="1" applyAlignment="1" pivotButton="0" quotePrefix="0" xfId="0">
      <alignment horizontal="right" vertical="top" wrapText="1"/>
    </xf>
    <xf numFmtId="170" fontId="6" fillId="0" borderId="0" pivotButton="0" quotePrefix="0" xfId="0"/>
    <xf numFmtId="49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right" vertical="center" wrapText="1"/>
    </xf>
    <xf numFmtId="0" fontId="6" fillId="0" borderId="0" pivotButton="0" quotePrefix="0" xfId="0"/>
    <xf numFmtId="0" fontId="0" fillId="0" borderId="0" pivotButton="0" quotePrefix="0" xfId="0"/>
    <xf numFmtId="0" fontId="10" fillId="0" borderId="0" pivotButton="0" quotePrefix="0" xfId="0"/>
    <xf numFmtId="4" fontId="6" fillId="0" borderId="0" applyAlignment="1" pivotButton="0" quotePrefix="0" xfId="0">
      <alignment horizontal="left" vertical="center" wrapText="1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vertical="center" wrapText="1"/>
    </xf>
    <xf numFmtId="4" fontId="6" fillId="0" borderId="1" applyAlignment="1" pivotButton="0" quotePrefix="0" xfId="0">
      <alignment horizontal="center" vertical="center"/>
    </xf>
    <xf numFmtId="0" fontId="2" fillId="0" borderId="0" pivotButton="0" quotePrefix="0" xfId="0"/>
    <xf numFmtId="0" fontId="1" fillId="0" borderId="0" pivotButton="0" quotePrefix="0" xfId="0"/>
    <xf numFmtId="0" fontId="4" fillId="0" borderId="0" pivotButton="0" quotePrefix="0" xfId="0"/>
    <xf numFmtId="0" fontId="7" fillId="0" borderId="0" applyAlignment="1" pivotButton="0" quotePrefix="0" xfId="0">
      <alignment vertical="center"/>
    </xf>
    <xf numFmtId="0" fontId="6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justify" vertical="center" wrapText="1"/>
    </xf>
    <xf numFmtId="10" fontId="6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top" wrapText="1"/>
    </xf>
    <xf numFmtId="0" fontId="0" fillId="0" borderId="0" pivotButton="0" quotePrefix="0" xfId="0"/>
    <xf numFmtId="49" fontId="6" fillId="0" borderId="0" applyAlignment="1" pivotButton="0" quotePrefix="0" xfId="0">
      <alignment horizontal="left" vertical="center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/>
    </xf>
    <xf numFmtId="49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14" fillId="0" borderId="0" applyAlignment="1" pivotButton="0" quotePrefix="0" xfId="0">
      <alignment vertical="center"/>
    </xf>
    <xf numFmtId="0" fontId="14" fillId="0" borderId="0" applyAlignment="1" pivotButton="0" quotePrefix="0" xfId="0">
      <alignment vertical="center"/>
    </xf>
    <xf numFmtId="171" fontId="6" fillId="0" borderId="1" applyAlignment="1" pivotButton="0" quotePrefix="0" xfId="0">
      <alignment horizontal="center" vertical="center"/>
    </xf>
    <xf numFmtId="166" fontId="6" fillId="0" borderId="1" applyAlignment="1" pivotButton="0" quotePrefix="0" xfId="0">
      <alignment horizontal="center" vertical="center"/>
    </xf>
    <xf numFmtId="49" fontId="6" fillId="0" borderId="3" applyAlignment="1" pivotButton="0" quotePrefix="0" xfId="0">
      <alignment horizontal="center" vertical="center"/>
    </xf>
    <xf numFmtId="0" fontId="6" fillId="0" borderId="3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left" vertical="center"/>
    </xf>
    <xf numFmtId="0" fontId="6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horizontal="right" vertical="center"/>
    </xf>
    <xf numFmtId="0" fontId="10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left" vertical="center" wrapText="1"/>
    </xf>
    <xf numFmtId="0" fontId="10" fillId="0" borderId="1" applyAlignment="1" pivotButton="0" quotePrefix="0" xfId="0">
      <alignment horizontal="right" vertical="center" wrapText="1"/>
    </xf>
    <xf numFmtId="0" fontId="6" fillId="0" borderId="1" applyAlignment="1" pivotButton="0" quotePrefix="0" xfId="0">
      <alignment horizontal="center" vertical="center" wrapText="1"/>
    </xf>
    <xf numFmtId="0" fontId="10" fillId="0" borderId="1" applyAlignment="1" pivotButton="0" quotePrefix="0" xfId="0">
      <alignment vertical="top"/>
    </xf>
    <xf numFmtId="0" fontId="6" fillId="0" borderId="1" applyAlignment="1" pivotButton="0" quotePrefix="0" xfId="0">
      <alignment vertical="top"/>
    </xf>
    <xf numFmtId="0" fontId="6" fillId="0" borderId="1" applyAlignment="1" pivotButton="0" quotePrefix="0" xfId="0">
      <alignment vertical="top" wrapText="1"/>
    </xf>
    <xf numFmtId="0" fontId="6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5" applyAlignment="1" pivotButton="0" quotePrefix="0" xfId="0">
      <alignment horizontal="center" vertical="center" wrapText="1"/>
    </xf>
    <xf numFmtId="0" fontId="2" fillId="0" borderId="8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5" applyAlignment="1" pivotButton="0" quotePrefix="0" xfId="0">
      <alignment horizontal="right" vertical="center" wrapText="1"/>
    </xf>
    <xf numFmtId="0" fontId="3" fillId="0" borderId="3" applyAlignment="1" pivotButton="0" quotePrefix="0" xfId="0">
      <alignment horizontal="left" vertical="center" wrapText="1"/>
    </xf>
    <xf numFmtId="0" fontId="3" fillId="0" borderId="6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left" vertical="center" wrapText="1"/>
    </xf>
    <xf numFmtId="0" fontId="3" fillId="0" borderId="7" applyAlignment="1" pivotButton="0" quotePrefix="0" xfId="0">
      <alignment horizontal="left" vertical="center" wrapText="1"/>
    </xf>
    <xf numFmtId="4" fontId="2" fillId="0" borderId="0" applyAlignment="1" pivotButton="0" quotePrefix="0" xfId="0">
      <alignment horizontal="left" vertical="center" wrapText="1"/>
    </xf>
    <xf numFmtId="0" fontId="3" fillId="0" borderId="1" applyAlignment="1" pivotButton="0" quotePrefix="0" xfId="0">
      <alignment horizontal="left" vertical="center" wrapText="1"/>
    </xf>
    <xf numFmtId="10" fontId="2" fillId="0" borderId="1" applyAlignment="1" pivotButton="0" quotePrefix="0" xfId="0">
      <alignment horizontal="right" vertical="center" wrapText="1"/>
    </xf>
    <xf numFmtId="0" fontId="2" fillId="0" borderId="5" applyAlignment="1" pivotButton="0" quotePrefix="0" xfId="0">
      <alignment horizontal="left" vertical="center" wrapText="1"/>
    </xf>
    <xf numFmtId="0" fontId="2" fillId="0" borderId="9" applyAlignment="1" pivotButton="0" quotePrefix="0" xfId="0">
      <alignment horizontal="left" vertical="center" wrapText="1"/>
    </xf>
    <xf numFmtId="0" fontId="2" fillId="0" borderId="8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0" fontId="2" fillId="0" borderId="1" applyAlignment="1" pivotButton="0" quotePrefix="0" xfId="0">
      <alignment horizontal="center" vertical="top" wrapText="1"/>
    </xf>
    <xf numFmtId="0" fontId="6" fillId="0" borderId="0" applyAlignment="1" pivotButton="0" quotePrefix="0" xfId="0">
      <alignment horizontal="center" vertical="center" wrapText="1"/>
    </xf>
    <xf numFmtId="4" fontId="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6" fillId="0" borderId="3" applyAlignment="1" pivotButton="0" quotePrefix="0" xfId="0">
      <alignment vertical="center" wrapText="1"/>
    </xf>
    <xf numFmtId="165" fontId="6" fillId="0" borderId="3" applyAlignment="1" pivotButton="0" quotePrefix="0" xfId="0">
      <alignment horizontal="center" vertical="center"/>
    </xf>
    <xf numFmtId="0" fontId="6" fillId="0" borderId="3" applyAlignment="1" pivotButton="0" quotePrefix="0" xfId="0">
      <alignment wrapText="1"/>
    </xf>
    <xf numFmtId="49" fontId="6" fillId="0" borderId="10" applyAlignment="1" pivotButton="0" quotePrefix="0" xfId="0">
      <alignment horizontal="center" vertical="center"/>
    </xf>
    <xf numFmtId="0" fontId="10" fillId="0" borderId="10" applyAlignment="1" pivotButton="0" quotePrefix="0" xfId="0">
      <alignment vertical="center" wrapText="1"/>
    </xf>
    <xf numFmtId="0" fontId="6" fillId="0" borderId="10" applyAlignment="1" pivotButton="0" quotePrefix="0" xfId="0">
      <alignment horizontal="center" vertical="center" wrapText="1"/>
    </xf>
    <xf numFmtId="4" fontId="10" fillId="0" borderId="10" applyAlignment="1" pivotButton="0" quotePrefix="0" xfId="0">
      <alignment horizontal="center" vertical="center"/>
    </xf>
    <xf numFmtId="0" fontId="6" fillId="0" borderId="10" applyAlignment="1" pivotButton="0" quotePrefix="0" xfId="0">
      <alignment horizontal="left" vertical="center" wrapText="1"/>
    </xf>
    <xf numFmtId="167" fontId="6" fillId="0" borderId="1" applyAlignment="1" pivotButton="0" quotePrefix="0" xfId="0">
      <alignment horizontal="center" vertical="center" wrapText="1"/>
    </xf>
    <xf numFmtId="0" fontId="0" fillId="0" borderId="9" pivotButton="0" quotePrefix="0" xfId="0"/>
    <xf numFmtId="0" fontId="0" fillId="0" borderId="8" pivotButton="0" quotePrefix="0" xfId="0"/>
    <xf numFmtId="0" fontId="0" fillId="0" borderId="11" pivotButton="0" quotePrefix="0" xfId="0"/>
    <xf numFmtId="0" fontId="0" fillId="0" borderId="2" pivotButton="0" quotePrefix="0" xfId="0"/>
    <xf numFmtId="166" fontId="6" fillId="0" borderId="1" applyAlignment="1" pivotButton="0" quotePrefix="0" xfId="0">
      <alignment horizontal="right" vertical="center"/>
    </xf>
    <xf numFmtId="166" fontId="6" fillId="0" borderId="1" applyAlignment="1" pivotButton="0" quotePrefix="0" xfId="0">
      <alignment horizontal="right" vertical="center" wrapText="1"/>
    </xf>
    <xf numFmtId="166" fontId="10" fillId="0" borderId="1" applyAlignment="1" pivotButton="0" quotePrefix="0" xfId="0">
      <alignment vertical="center" wrapText="1"/>
    </xf>
    <xf numFmtId="166" fontId="10" fillId="0" borderId="0" applyAlignment="1" pivotButton="0" quotePrefix="0" xfId="0">
      <alignment vertical="center" wrapText="1"/>
    </xf>
    <xf numFmtId="168" fontId="6" fillId="0" borderId="0" pivotButton="0" quotePrefix="0" xfId="0"/>
    <xf numFmtId="43" fontId="3" fillId="0" borderId="1" applyAlignment="1" pivotButton="0" quotePrefix="0" xfId="0">
      <alignment vertical="center" wrapText="1"/>
    </xf>
    <xf numFmtId="167" fontId="2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horizontal="right" vertical="top" wrapText="1"/>
    </xf>
    <xf numFmtId="170" fontId="6" fillId="0" borderId="0" pivotButton="0" quotePrefix="0" xfId="0"/>
    <xf numFmtId="43" fontId="0" fillId="0" borderId="0" pivotButton="0" quotePrefix="0" xfId="0"/>
    <xf numFmtId="169" fontId="0" fillId="0" borderId="0" pivotButton="0" quotePrefix="0" xfId="0"/>
    <xf numFmtId="165" fontId="1" fillId="0" borderId="0" pivotButton="0" quotePrefix="0" xfId="0"/>
    <xf numFmtId="164" fontId="2" fillId="0" borderId="1" applyAlignment="1" pivotButton="0" quotePrefix="0" xfId="0">
      <alignment horizontal="center" vertical="center" wrapText="1"/>
    </xf>
    <xf numFmtId="43" fontId="1" fillId="0" borderId="0" pivotButton="0" quotePrefix="0" xfId="0"/>
    <xf numFmtId="0" fontId="0" fillId="0" borderId="12" pivotButton="0" quotePrefix="0" xfId="0"/>
    <xf numFmtId="0" fontId="0" fillId="0" borderId="13" pivotButton="0" quotePrefix="0" xfId="0"/>
    <xf numFmtId="165" fontId="12" fillId="0" borderId="0" pivotButton="0" quotePrefix="0" xfId="0"/>
    <xf numFmtId="0" fontId="3" fillId="0" borderId="11" applyAlignment="1" pivotButton="0" quotePrefix="0" xfId="0">
      <alignment horizontal="left" vertical="center" wrapText="1"/>
    </xf>
    <xf numFmtId="0" fontId="0" fillId="0" borderId="7" pivotButton="0" quotePrefix="0" xfId="0"/>
    <xf numFmtId="171" fontId="6" fillId="0" borderId="1" applyAlignment="1" pivotButton="0" quotePrefix="0" xfId="0">
      <alignment horizontal="center" vertical="center"/>
    </xf>
    <xf numFmtId="166" fontId="6" fillId="0" borderId="1" applyAlignment="1" pivotButton="0" quotePrefix="0" xfId="0">
      <alignment horizontal="center" vertical="center"/>
    </xf>
    <xf numFmtId="165" fontId="6" fillId="0" borderId="3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1">
    <outlinePr summaryBelow="1" summaryRight="1"/>
    <pageSetUpPr fitToPage="1"/>
  </sheetPr>
  <dimension ref="B1:J35"/>
  <sheetViews>
    <sheetView tabSelected="1" view="pageBreakPreview" topLeftCell="A19" zoomScale="60" zoomScaleNormal="55" workbookViewId="0">
      <selection activeCell="D30" sqref="D30"/>
    </sheetView>
  </sheetViews>
  <sheetFormatPr baseColWidth="8" defaultRowHeight="15.75"/>
  <cols>
    <col width="9.140625" customWidth="1" style="172" min="1" max="2"/>
    <col width="36.85546875" customWidth="1" style="172" min="3" max="3"/>
    <col width="42" customWidth="1" style="172" min="4" max="4"/>
    <col width="46.28515625" customWidth="1" style="172" min="5" max="5"/>
    <col width="14.28515625" customWidth="1" style="170" min="6" max="6"/>
    <col width="12.140625" customWidth="1" style="170" min="7" max="7"/>
    <col width="12.28515625" customWidth="1" style="170" min="8" max="8"/>
    <col width="15" customWidth="1" style="170" min="9" max="9"/>
  </cols>
  <sheetData>
    <row r="1">
      <c r="F1" s="172" t="n"/>
      <c r="G1" s="172" t="n"/>
      <c r="H1" s="172" t="n"/>
      <c r="I1" s="172" t="n"/>
      <c r="J1" s="172" t="n"/>
    </row>
    <row r="2">
      <c r="F2" s="172" t="n"/>
      <c r="G2" s="172" t="n"/>
      <c r="H2" s="172" t="n"/>
      <c r="I2" s="172" t="n"/>
      <c r="J2" s="172" t="n"/>
    </row>
    <row r="3">
      <c r="B3" s="188" t="inlineStr">
        <is>
          <t>Приложение № 1</t>
        </is>
      </c>
      <c r="F3" s="172" t="n"/>
      <c r="G3" s="172" t="n"/>
      <c r="H3" s="172" t="n"/>
      <c r="I3" s="172" t="n"/>
      <c r="J3" s="172" t="n"/>
    </row>
    <row r="4">
      <c r="B4" s="189" t="inlineStr">
        <is>
          <t>Сравнительная таблица отбора объекта-представителя</t>
        </is>
      </c>
      <c r="F4" s="172" t="n"/>
      <c r="G4" s="172" t="n"/>
      <c r="H4" s="172" t="n"/>
      <c r="I4" s="172" t="n"/>
      <c r="J4" s="172" t="n"/>
    </row>
    <row r="5">
      <c r="B5" s="86" t="n"/>
      <c r="C5" s="86" t="n"/>
      <c r="D5" s="86" t="n"/>
      <c r="E5" s="86" t="n"/>
      <c r="F5" s="172" t="n"/>
      <c r="G5" s="172" t="n"/>
      <c r="H5" s="172" t="n"/>
      <c r="I5" s="172" t="n"/>
      <c r="J5" s="172" t="n"/>
    </row>
    <row r="6">
      <c r="B6" s="86" t="n"/>
      <c r="C6" s="86" t="n"/>
      <c r="D6" s="86" t="n"/>
      <c r="E6" s="86" t="n"/>
      <c r="F6" s="172" t="n"/>
      <c r="G6" s="172" t="n"/>
      <c r="H6" s="172" t="n"/>
      <c r="I6" s="172" t="n"/>
      <c r="J6" s="172" t="n"/>
    </row>
    <row r="7" ht="48" customHeight="1" s="170">
      <c r="B7" s="187">
        <f>_xlfn.CONCAT(TEXT('Прил.5 Расчет СМР и ОБ'!A6,0)," - ",TEXT('Прил.5 Расчет СМР и ОБ'!D6,0))</f>
        <v/>
      </c>
      <c r="F7" s="87" t="n"/>
      <c r="G7" s="172" t="n"/>
      <c r="H7" s="172" t="n"/>
      <c r="I7" s="172" t="n"/>
      <c r="J7" s="172" t="n"/>
    </row>
    <row r="8" ht="15.75" customHeight="1" s="170">
      <c r="B8" s="84" t="inlineStr">
        <is>
          <t xml:space="preserve">Сопоставимый уровень цен: </t>
        </is>
      </c>
      <c r="C8" s="84" t="n"/>
      <c r="D8" s="84">
        <f>D22</f>
        <v/>
      </c>
      <c r="E8" s="84" t="n"/>
      <c r="F8" s="172" t="n"/>
      <c r="G8" s="172" t="n"/>
      <c r="H8" s="172" t="n"/>
      <c r="I8" s="172" t="n"/>
      <c r="J8" s="172" t="n"/>
    </row>
    <row r="9" ht="15.75" customHeight="1" s="170">
      <c r="B9" s="187" t="inlineStr">
        <is>
          <t>Единица измерения  — 1 ед</t>
        </is>
      </c>
      <c r="F9" s="87" t="n"/>
      <c r="G9" s="172" t="n"/>
      <c r="H9" s="172" t="n"/>
      <c r="I9" s="172" t="n"/>
      <c r="J9" s="172" t="n"/>
    </row>
    <row r="10">
      <c r="B10" s="187" t="n"/>
      <c r="F10" s="172" t="n"/>
      <c r="G10" s="172" t="n"/>
      <c r="H10" s="172" t="n"/>
      <c r="I10" s="172" t="n"/>
      <c r="J10" s="172" t="n"/>
    </row>
    <row r="11" ht="27" customHeight="1" s="170">
      <c r="B11" s="192" t="inlineStr">
        <is>
          <t>№ п/п</t>
        </is>
      </c>
      <c r="C11" s="192" t="inlineStr">
        <is>
          <t>Параметр</t>
        </is>
      </c>
      <c r="D11" s="192" t="inlineStr">
        <is>
          <t>Объект-представитель 1</t>
        </is>
      </c>
      <c r="E11" s="192" t="inlineStr">
        <is>
          <t>Объект-представитель 2</t>
        </is>
      </c>
      <c r="F11" s="87" t="n"/>
      <c r="G11" s="172" t="n"/>
      <c r="H11" s="172" t="n"/>
      <c r="I11" s="172" t="n"/>
      <c r="J11" s="172" t="n"/>
    </row>
    <row r="12" ht="71.25" customHeight="1" s="170">
      <c r="B12" s="192" t="n">
        <v>1</v>
      </c>
      <c r="C12" s="105" t="inlineStr">
        <is>
          <t>Наименование объекта-представителя</t>
        </is>
      </c>
      <c r="D12" s="192" t="inlineStr">
        <is>
          <t>Реконструкция ПС 35 кВ "Саперная" (замена силовых трансформаторов мощностью 2х6.3 МВА на 2х10 МВА)</t>
        </is>
      </c>
      <c r="E12" s="192" t="inlineStr">
        <is>
          <t>Реконструкция ПС 35/10/6 кВ Купино в части замены существующих трансформаторов 2х2,5 МВА и 1х4 МВА на трансформаторы 2х4 МВА</t>
        </is>
      </c>
      <c r="F12" s="172" t="n"/>
      <c r="G12" s="172" t="n"/>
      <c r="H12" s="172" t="n"/>
      <c r="I12" s="172" t="n"/>
      <c r="J12" s="172" t="n"/>
    </row>
    <row r="13" ht="31.5" customHeight="1" s="170">
      <c r="B13" s="192" t="n">
        <v>2</v>
      </c>
      <c r="C13" s="105" t="inlineStr">
        <is>
          <t>Наименование субъекта Российской Федерации</t>
        </is>
      </c>
      <c r="D13" s="192" t="inlineStr">
        <is>
          <t>Ленинградская область</t>
        </is>
      </c>
      <c r="E13" s="192" t="inlineStr">
        <is>
          <t>Самарская область</t>
        </is>
      </c>
      <c r="F13" s="172" t="n"/>
      <c r="G13" s="172" t="n"/>
      <c r="H13" s="172" t="n"/>
      <c r="I13" s="172" t="n"/>
      <c r="J13" s="172" t="n"/>
    </row>
    <row r="14">
      <c r="B14" s="192" t="n">
        <v>3</v>
      </c>
      <c r="C14" s="105" t="inlineStr">
        <is>
          <t>Климатический район и подрайон</t>
        </is>
      </c>
      <c r="D14" s="192" t="inlineStr">
        <is>
          <t>IIВ</t>
        </is>
      </c>
      <c r="E14" s="192" t="inlineStr">
        <is>
          <t>IIB</t>
        </is>
      </c>
      <c r="F14" s="172" t="n"/>
      <c r="G14" s="172" t="n"/>
      <c r="H14" s="172" t="n"/>
      <c r="I14" s="172" t="n"/>
      <c r="J14" s="172" t="n"/>
    </row>
    <row r="15">
      <c r="B15" s="192" t="n">
        <v>4</v>
      </c>
      <c r="C15" s="105" t="inlineStr">
        <is>
          <t>Мощность объекта</t>
        </is>
      </c>
      <c r="D15" s="192" t="n">
        <v>2</v>
      </c>
      <c r="E15" s="192" t="n">
        <v>3</v>
      </c>
      <c r="F15" s="172" t="n"/>
      <c r="G15" s="172" t="n"/>
      <c r="H15" s="172" t="n"/>
      <c r="I15" s="172" t="n"/>
      <c r="J15" s="172" t="n"/>
    </row>
    <row r="16" ht="173.25" customHeight="1" s="170">
      <c r="B16" s="192" t="n">
        <v>5</v>
      </c>
      <c r="C16" s="16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92" t="inlineStr">
        <is>
          <t>ВР35НТ-35-25/1600 УХЛ1 - 2 шт;
СВС 219(8)-500(8)-5000 -4 шт
площадки обсулживания
рамы Рм-3</t>
        </is>
      </c>
      <c r="E16" s="192" t="inlineStr">
        <is>
          <t>Выключатель  ВВН-СЭЩ-П-35-25/1000 УХЛ1 - 3 шт.
ЭЛ-1: Установка сборных железобетонных опорных и подкладных плит объемом до 1,5 м3 - 2,6 м3 - 2 шт
ЭЛ-1.1: Установка сборных железобетонных опорных и подкладных плит объемом до 1,5 м3 - 1,3 м3 - 1 шт</t>
        </is>
      </c>
      <c r="F16" s="172" t="n"/>
      <c r="G16" s="172" t="n"/>
      <c r="H16" s="172" t="n"/>
      <c r="I16" s="172" t="n"/>
      <c r="J16" s="172" t="n"/>
    </row>
    <row r="17" ht="82.5" customHeight="1" s="170">
      <c r="B17" s="192" t="n">
        <v>6</v>
      </c>
      <c r="C17" s="16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90">
        <f>SUM(D18:D21)</f>
        <v/>
      </c>
      <c r="E17" s="90">
        <f>SUM(E18:E21)</f>
        <v/>
      </c>
      <c r="F17" s="91" t="n"/>
      <c r="G17" s="172" t="n"/>
      <c r="H17" s="172" t="n"/>
      <c r="I17" s="172" t="n"/>
      <c r="J17" s="172" t="n"/>
    </row>
    <row r="18">
      <c r="B18" s="92" t="inlineStr">
        <is>
          <t>6.1</t>
        </is>
      </c>
      <c r="C18" s="105" t="inlineStr">
        <is>
          <t>строительно-монтажные работы</t>
        </is>
      </c>
      <c r="D18" s="90">
        <f>'Прил.2 Расч стоим'!F14+'Прил.2 Расч стоим'!G14</f>
        <v/>
      </c>
      <c r="E18" s="90">
        <f>'Прил.2 Расч стоим'!F23+'Прил.2 Расч стоим'!G23</f>
        <v/>
      </c>
      <c r="F18" s="172" t="n"/>
      <c r="G18" s="172" t="n"/>
      <c r="H18" s="172" t="n"/>
      <c r="I18" s="172" t="n"/>
      <c r="J18" s="172" t="n"/>
    </row>
    <row r="19">
      <c r="B19" s="92" t="inlineStr">
        <is>
          <t>6.2</t>
        </is>
      </c>
      <c r="C19" s="105" t="inlineStr">
        <is>
          <t>оборудование и инвентарь</t>
        </is>
      </c>
      <c r="D19" s="90">
        <f>'Прил.2 Расч стоим'!H14</f>
        <v/>
      </c>
      <c r="E19" s="90">
        <f>'Прил.2 Расч стоим'!H21</f>
        <v/>
      </c>
      <c r="F19" s="172" t="n"/>
      <c r="G19" s="172" t="n"/>
      <c r="H19" s="172" t="n"/>
      <c r="I19" s="172" t="n"/>
      <c r="J19" s="172" t="n"/>
    </row>
    <row r="20">
      <c r="B20" s="92" t="inlineStr">
        <is>
          <t>6.3</t>
        </is>
      </c>
      <c r="C20" s="105" t="inlineStr">
        <is>
          <t>пусконаладочные работы</t>
        </is>
      </c>
      <c r="D20" s="90" t="n">
        <v>0</v>
      </c>
      <c r="E20" s="233" t="n">
        <v>0</v>
      </c>
      <c r="F20" s="172" t="n"/>
      <c r="G20" s="172" t="n"/>
      <c r="H20" s="172" t="n"/>
      <c r="I20" s="172" t="n"/>
      <c r="J20" s="172" t="n"/>
    </row>
    <row r="21" ht="31.5" customHeight="1" s="170">
      <c r="B21" s="92" t="inlineStr">
        <is>
          <t>6.4</t>
        </is>
      </c>
      <c r="C21" s="93" t="inlineStr">
        <is>
          <t>прочие и лимитированные затраты</t>
        </is>
      </c>
      <c r="D21" s="233">
        <f>D18*2.5%+(D18+D18*2.5%)*2.1%</f>
        <v/>
      </c>
      <c r="E21" s="233">
        <f>E18*2.5%+(E18+E18*2.5%)*2.1%</f>
        <v/>
      </c>
      <c r="F21" s="172" t="n"/>
      <c r="G21" s="172" t="n"/>
      <c r="H21" s="172" t="n"/>
      <c r="I21" s="172" t="n"/>
      <c r="J21" s="172" t="n"/>
    </row>
    <row r="22">
      <c r="B22" s="192" t="n">
        <v>7</v>
      </c>
      <c r="C22" s="93" t="inlineStr">
        <is>
          <t>Сопоставимый уровень цен</t>
        </is>
      </c>
      <c r="D22" s="192" t="inlineStr">
        <is>
          <t>2 кв. 2020г</t>
        </is>
      </c>
      <c r="E22" s="192">
        <f>D22</f>
        <v/>
      </c>
      <c r="F22" s="91" t="n"/>
      <c r="G22" s="172" t="n"/>
      <c r="H22" s="172" t="n"/>
      <c r="I22" s="172" t="n"/>
      <c r="J22" s="172" t="n"/>
    </row>
    <row r="23" ht="119.25" customHeight="1" s="170">
      <c r="B23" s="192" t="n">
        <v>8</v>
      </c>
      <c r="C23" s="94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95">
        <f>D17</f>
        <v/>
      </c>
      <c r="E23" s="95">
        <f>E17</f>
        <v/>
      </c>
      <c r="F23" s="172" t="n"/>
      <c r="G23" s="172" t="n"/>
      <c r="H23" s="172" t="n"/>
      <c r="I23" s="172" t="n"/>
      <c r="J23" s="172" t="n"/>
    </row>
    <row r="24" ht="47.25" customHeight="1" s="170">
      <c r="B24" s="192" t="n">
        <v>9</v>
      </c>
      <c r="C24" s="166" t="inlineStr">
        <is>
          <t>Приведенная сметная стоимость на единицу мощности, тыс. руб. (строка 8/строку 4)</t>
        </is>
      </c>
      <c r="D24" s="95">
        <f>D23/D15</f>
        <v/>
      </c>
      <c r="E24" s="95">
        <f>E23/E15</f>
        <v/>
      </c>
      <c r="F24" s="91" t="n"/>
      <c r="G24" s="172" t="n"/>
      <c r="H24" s="172" t="n"/>
      <c r="I24" s="172" t="n"/>
      <c r="J24" s="172" t="n"/>
    </row>
    <row r="25" ht="47.25" customHeight="1" s="170">
      <c r="B25" s="192" t="n">
        <v>10</v>
      </c>
      <c r="C25" s="105" t="inlineStr">
        <is>
          <t>Примечание</t>
        </is>
      </c>
      <c r="D25" s="105" t="inlineStr">
        <is>
          <t xml:space="preserve">Выбран объектом-представителем с учетом минимальной удельной стоимости </t>
        </is>
      </c>
      <c r="E25" s="104" t="n"/>
      <c r="F25" s="172" t="n"/>
      <c r="G25" s="172" t="n"/>
      <c r="H25" s="172" t="n"/>
      <c r="I25" s="172" t="n"/>
      <c r="J25" s="172" t="n"/>
    </row>
    <row r="26">
      <c r="B26" s="222" t="n"/>
      <c r="C26" s="97" t="n"/>
      <c r="D26" s="97" t="n"/>
      <c r="E26" s="97" t="n"/>
      <c r="F26" s="172" t="n"/>
      <c r="G26" s="172" t="n"/>
      <c r="H26" s="172" t="n"/>
      <c r="I26" s="172" t="n"/>
      <c r="J26" s="172" t="n"/>
    </row>
    <row r="27">
      <c r="B27" s="84" t="n"/>
      <c r="F27" s="172" t="n"/>
      <c r="G27" s="172" t="n"/>
      <c r="H27" s="172" t="n"/>
      <c r="I27" s="172" t="n"/>
      <c r="J27" s="172" t="n"/>
    </row>
    <row r="28">
      <c r="B28" s="172" t="inlineStr">
        <is>
          <t>Составил ______________________  Е. М. Добровольская</t>
        </is>
      </c>
      <c r="F28" s="172" t="n"/>
      <c r="G28" s="172" t="n"/>
      <c r="H28" s="172" t="n"/>
      <c r="I28" s="172" t="n"/>
      <c r="J28" s="172" t="n"/>
    </row>
    <row r="29" ht="22.5" customHeight="1" s="170">
      <c r="B29" s="106" t="inlineStr">
        <is>
          <t xml:space="preserve">                         (подпись, инициалы, фамилия)</t>
        </is>
      </c>
      <c r="F29" s="172" t="n"/>
      <c r="G29" s="172" t="n"/>
      <c r="H29" s="172" t="n"/>
      <c r="I29" s="172" t="n"/>
      <c r="J29" s="172" t="n"/>
    </row>
    <row r="30">
      <c r="F30" s="172" t="n"/>
      <c r="G30" s="172" t="n"/>
      <c r="H30" s="172" t="n"/>
      <c r="I30" s="172" t="n"/>
      <c r="J30" s="172" t="n"/>
    </row>
    <row r="31">
      <c r="B31" s="172" t="inlineStr">
        <is>
          <t>Проверил ______________________        А.В. Костянецкая</t>
        </is>
      </c>
      <c r="F31" s="172" t="n"/>
      <c r="G31" s="172" t="n"/>
      <c r="H31" s="172" t="n"/>
      <c r="I31" s="172" t="n"/>
      <c r="J31" s="172" t="n"/>
    </row>
    <row r="32" ht="22.5" customHeight="1" s="170">
      <c r="B32" s="106" t="inlineStr">
        <is>
          <t xml:space="preserve">                        (подпись, инициалы, фамилия)</t>
        </is>
      </c>
      <c r="F32" s="172" t="n"/>
      <c r="G32" s="172" t="n"/>
      <c r="H32" s="172" t="n"/>
      <c r="I32" s="172" t="n"/>
      <c r="J32" s="172" t="n"/>
    </row>
    <row r="33">
      <c r="F33" s="172" t="n"/>
      <c r="G33" s="172" t="n"/>
      <c r="H33" s="172" t="n"/>
      <c r="I33" s="172" t="n"/>
      <c r="J33" s="172" t="n"/>
    </row>
    <row r="34">
      <c r="F34" s="172" t="n"/>
      <c r="G34" s="172" t="n"/>
      <c r="H34" s="172" t="n"/>
      <c r="I34" s="172" t="n"/>
      <c r="J34" s="172" t="n"/>
    </row>
    <row r="35">
      <c r="F35" s="172" t="n"/>
      <c r="G35" s="172" t="n"/>
      <c r="H35" s="172" t="n"/>
      <c r="I35" s="172" t="n"/>
      <c r="J35" s="172" t="n"/>
    </row>
  </sheetData>
  <mergeCells count="4">
    <mergeCell ref="B7:E7"/>
    <mergeCell ref="B9:E9"/>
    <mergeCell ref="B3:E3"/>
    <mergeCell ref="B4:E4"/>
  </mergeCells>
  <pageMargins left="0.7" right="0.7" top="0.75" bottom="0.75" header="0.3" footer="0.3"/>
  <pageSetup orientation="portrait" paperSize="9" scale="61" cellComments="atEnd"/>
</worksheet>
</file>

<file path=xl/worksheets/sheet2.xml><?xml version="1.0" encoding="utf-8"?>
<worksheet xmlns="http://schemas.openxmlformats.org/spreadsheetml/2006/main">
  <sheetPr codeName="Лист2">
    <outlinePr summaryBelow="1" summaryRight="1"/>
    <pageSetUpPr fitToPage="1"/>
  </sheetPr>
  <dimension ref="A1:Q33"/>
  <sheetViews>
    <sheetView view="pageBreakPreview" zoomScale="60" zoomScaleNormal="70" workbookViewId="0">
      <selection activeCell="G28" sqref="G28"/>
    </sheetView>
  </sheetViews>
  <sheetFormatPr baseColWidth="8" defaultRowHeight="15"/>
  <cols>
    <col width="5.5703125" customWidth="1" style="170" min="1" max="1"/>
    <col width="35.28515625" customWidth="1" style="170" min="3" max="3"/>
    <col width="13.85546875" customWidth="1" style="170" min="4" max="4"/>
    <col width="24.85546875" customWidth="1" style="170" min="5" max="5"/>
    <col width="15.28515625" customWidth="1" style="170" min="6" max="6"/>
    <col width="14.85546875" customWidth="1" style="170" min="7" max="7"/>
    <col width="16.7109375" customWidth="1" style="170" min="8" max="8"/>
    <col width="13" customWidth="1" style="170" min="9" max="10"/>
    <col hidden="1" width="13.42578125" customWidth="1" style="170" min="12" max="12"/>
    <col hidden="1" width="15.28515625" customWidth="1" style="170" min="13" max="13"/>
    <col hidden="1" width="14" customWidth="1" style="170" min="14" max="14"/>
    <col hidden="1" width="14.28515625" customWidth="1" style="170" min="15" max="15"/>
    <col hidden="1" style="170" min="16" max="16"/>
    <col hidden="1" width="15.28515625" customWidth="1" style="170" min="17" max="17"/>
    <col hidden="1" style="170" min="18" max="18"/>
  </cols>
  <sheetData>
    <row r="1" ht="15.75" customHeight="1" s="170">
      <c r="A1" s="172" t="n"/>
      <c r="B1" s="172" t="n"/>
      <c r="C1" s="172" t="n"/>
      <c r="D1" s="172" t="n"/>
      <c r="E1" s="172" t="n"/>
      <c r="F1" s="172" t="n"/>
      <c r="G1" s="172" t="n"/>
      <c r="H1" s="172" t="n"/>
      <c r="I1" s="172" t="n"/>
      <c r="J1" s="172" t="n"/>
    </row>
    <row r="2" ht="15.75" customHeight="1" s="170">
      <c r="A2" s="172" t="n"/>
      <c r="B2" s="172" t="n"/>
      <c r="C2" s="172" t="n"/>
      <c r="D2" s="172" t="n"/>
      <c r="E2" s="172" t="n"/>
      <c r="F2" s="172" t="n"/>
      <c r="G2" s="172" t="n"/>
      <c r="H2" s="172" t="n"/>
      <c r="I2" s="172" t="n"/>
      <c r="J2" s="172" t="n"/>
    </row>
    <row r="3" ht="15.75" customHeight="1" s="170">
      <c r="A3" s="172" t="n"/>
      <c r="B3" s="188" t="inlineStr">
        <is>
          <t>Приложение № 2</t>
        </is>
      </c>
    </row>
    <row r="4" ht="15.75" customHeight="1" s="170">
      <c r="A4" s="172" t="n"/>
      <c r="B4" s="189" t="inlineStr">
        <is>
          <t>Расчет стоимости основных видов работ для выбора объекта-представителя</t>
        </is>
      </c>
    </row>
    <row r="5" ht="15.75" customHeight="1" s="170">
      <c r="A5" s="172" t="n"/>
      <c r="B5" s="86" t="n"/>
      <c r="C5" s="86" t="n"/>
      <c r="D5" s="86" t="n"/>
      <c r="E5" s="86" t="n"/>
      <c r="F5" s="86" t="n"/>
      <c r="G5" s="86" t="n"/>
      <c r="H5" s="86" t="n"/>
      <c r="I5" s="86" t="n"/>
      <c r="J5" s="86" t="n"/>
    </row>
    <row r="6" ht="45.75" customHeight="1" s="170">
      <c r="A6" s="172" t="n"/>
      <c r="B6" s="190">
        <f>'Прил.1 Сравнит табл'!B7</f>
        <v/>
      </c>
    </row>
    <row r="7" ht="15.75" customHeight="1" s="170">
      <c r="A7" s="172" t="n"/>
      <c r="B7" s="187">
        <f>'Прил.1 Сравнит табл'!B9</f>
        <v/>
      </c>
    </row>
    <row r="8" ht="15.75" customHeight="1" s="170">
      <c r="A8" s="172" t="n"/>
      <c r="B8" s="187" t="n"/>
      <c r="C8" s="172" t="n"/>
      <c r="D8" s="172" t="n"/>
      <c r="E8" s="172" t="n"/>
      <c r="F8" s="172" t="n"/>
      <c r="G8" s="172" t="n"/>
      <c r="H8" s="172" t="n"/>
      <c r="I8" s="172" t="n"/>
      <c r="J8" s="172" t="n"/>
    </row>
    <row r="9" ht="15.75" customHeight="1" s="170">
      <c r="A9" s="172" t="n"/>
      <c r="B9" s="192" t="inlineStr">
        <is>
          <t>№ п/п</t>
        </is>
      </c>
      <c r="C9" s="192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192" t="inlineStr">
        <is>
          <t>Объект-представитель 1</t>
        </is>
      </c>
      <c r="E9" s="234" t="n"/>
      <c r="F9" s="234" t="n"/>
      <c r="G9" s="234" t="n"/>
      <c r="H9" s="234" t="n"/>
      <c r="I9" s="234" t="n"/>
      <c r="J9" s="235" t="n"/>
    </row>
    <row r="10" ht="15.75" customHeight="1" s="170">
      <c r="A10" s="172" t="n"/>
      <c r="B10" s="236" t="n"/>
      <c r="C10" s="236" t="n"/>
      <c r="D10" s="192" t="inlineStr">
        <is>
          <t>Номер сметы</t>
        </is>
      </c>
      <c r="E10" s="192" t="inlineStr">
        <is>
          <t>Наименование сметы</t>
        </is>
      </c>
      <c r="F10" s="192" t="inlineStr">
        <is>
          <t>Сметная стоимость в уровне цен 2 квартал 2020г, тыс. руб.</t>
        </is>
      </c>
      <c r="G10" s="234" t="n"/>
      <c r="H10" s="234" t="n"/>
      <c r="I10" s="234" t="n"/>
      <c r="J10" s="235" t="n"/>
    </row>
    <row r="11" ht="63.75" customHeight="1" s="170">
      <c r="A11" s="172" t="n"/>
      <c r="B11" s="237" t="n"/>
      <c r="C11" s="237" t="n"/>
      <c r="D11" s="237" t="n"/>
      <c r="E11" s="237" t="n"/>
      <c r="F11" s="192" t="inlineStr">
        <is>
          <t>Строительные работы</t>
        </is>
      </c>
      <c r="G11" s="192" t="inlineStr">
        <is>
          <t>Монтажные работы</t>
        </is>
      </c>
      <c r="H11" s="192" t="inlineStr">
        <is>
          <t>Оборудование</t>
        </is>
      </c>
      <c r="I11" s="192" t="inlineStr">
        <is>
          <t>Прочее</t>
        </is>
      </c>
      <c r="J11" s="192" t="inlineStr">
        <is>
          <t>Всего</t>
        </is>
      </c>
    </row>
    <row r="12" ht="15.75" customHeight="1" s="170">
      <c r="A12" s="172" t="n"/>
      <c r="B12" s="125" t="n">
        <v>1</v>
      </c>
      <c r="C12" s="105" t="inlineStr">
        <is>
          <t>Строительные работы</t>
        </is>
      </c>
      <c r="D12" s="124" t="inlineStr">
        <is>
          <t>02-01-01</t>
        </is>
      </c>
      <c r="E12" s="105" t="inlineStr">
        <is>
          <t>Строительные работы</t>
        </is>
      </c>
      <c r="F12" s="238">
        <f>23544/1000*6.67</f>
        <v/>
      </c>
      <c r="G12" s="238" t="n"/>
      <c r="H12" s="238" t="n"/>
      <c r="I12" s="238" t="n"/>
      <c r="J12" s="239">
        <f>SUM(F12:I12)</f>
        <v/>
      </c>
    </row>
    <row r="13" ht="31.5" customHeight="1" s="170">
      <c r="A13" s="172" t="n"/>
      <c r="B13" s="125" t="n">
        <v>2</v>
      </c>
      <c r="C13" s="105" t="inlineStr">
        <is>
          <t xml:space="preserve">Установка фундаментов </t>
        </is>
      </c>
      <c r="D13" s="132" t="inlineStr">
        <is>
          <t>02-01-02</t>
        </is>
      </c>
      <c r="E13" s="105" t="inlineStr">
        <is>
          <t>Первичное электрооборудование</t>
        </is>
      </c>
      <c r="F13" s="238" t="n"/>
      <c r="G13" s="238">
        <f>10350/1000*6.67</f>
        <v/>
      </c>
      <c r="H13" s="238">
        <f>321532/1000*4.91</f>
        <v/>
      </c>
      <c r="I13" s="238" t="n"/>
      <c r="J13" s="239">
        <f>SUM(F13:I13)</f>
        <v/>
      </c>
    </row>
    <row r="14" ht="15" customHeight="1" s="170">
      <c r="A14" s="172" t="n"/>
      <c r="B14" s="191" t="inlineStr">
        <is>
          <t>Всего по объекту:</t>
        </is>
      </c>
      <c r="C14" s="234" t="n"/>
      <c r="D14" s="234" t="n"/>
      <c r="E14" s="235" t="n"/>
      <c r="F14" s="240">
        <f>SUM(F12:F13)</f>
        <v/>
      </c>
      <c r="G14" s="240">
        <f>SUM(G12:G13)</f>
        <v/>
      </c>
      <c r="H14" s="240">
        <f>SUM(H12:H13)</f>
        <v/>
      </c>
      <c r="I14" s="240">
        <f>SUM(I12:I13)</f>
        <v/>
      </c>
      <c r="J14" s="240">
        <f>SUM(F14:I14)</f>
        <v/>
      </c>
    </row>
    <row r="15" ht="15.75" customHeight="1" s="170">
      <c r="A15" s="172" t="n"/>
      <c r="B15" s="191" t="inlineStr">
        <is>
          <t>Всего по объекту в сопоставимом уровне цен 2 кв. 2020г:</t>
        </is>
      </c>
      <c r="C15" s="234" t="n"/>
      <c r="D15" s="234" t="n"/>
      <c r="E15" s="235" t="n"/>
      <c r="F15" s="240">
        <f>F14</f>
        <v/>
      </c>
      <c r="G15" s="240">
        <f>G14</f>
        <v/>
      </c>
      <c r="H15" s="240">
        <f>H14</f>
        <v/>
      </c>
      <c r="I15" s="240">
        <f>I14</f>
        <v/>
      </c>
      <c r="J15" s="240">
        <f>SUM(F15:I15)</f>
        <v/>
      </c>
    </row>
    <row r="16" ht="15.75" customHeight="1" s="170">
      <c r="A16" s="172" t="n"/>
      <c r="B16" s="126" t="n"/>
      <c r="C16" s="126" t="n"/>
      <c r="D16" s="126" t="n"/>
      <c r="E16" s="126" t="n"/>
      <c r="F16" s="241" t="n"/>
      <c r="G16" s="241" t="n"/>
      <c r="H16" s="241" t="n"/>
      <c r="I16" s="241" t="n"/>
      <c r="J16" s="241" t="n"/>
    </row>
    <row r="17" ht="66" customHeight="1" s="170">
      <c r="A17" s="172" t="n"/>
      <c r="B17" s="187" t="n"/>
      <c r="C17" s="172" t="n"/>
      <c r="D17" s="172" t="n"/>
      <c r="E17" s="172" t="n"/>
      <c r="F17" s="172" t="n"/>
      <c r="G17" s="172" t="n"/>
      <c r="H17" s="172" t="n"/>
      <c r="I17" s="172" t="n"/>
      <c r="J17" s="172" t="n"/>
    </row>
    <row r="18" ht="15.75" customHeight="1" s="170">
      <c r="A18" s="172" t="n"/>
      <c r="B18" s="192" t="inlineStr">
        <is>
          <t>№ п/п</t>
        </is>
      </c>
      <c r="C18" s="192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18" s="192" t="inlineStr">
        <is>
          <t>Объект-представитель 2</t>
        </is>
      </c>
      <c r="E18" s="234" t="n"/>
      <c r="F18" s="234" t="n"/>
      <c r="G18" s="234" t="n"/>
      <c r="H18" s="234" t="n"/>
      <c r="I18" s="234" t="n"/>
      <c r="J18" s="235" t="n"/>
    </row>
    <row r="19" ht="15.75" customHeight="1" s="170">
      <c r="A19" s="172" t="n"/>
      <c r="B19" s="236" t="n"/>
      <c r="C19" s="236" t="n"/>
      <c r="D19" s="192" t="inlineStr">
        <is>
          <t>Номер сметы</t>
        </is>
      </c>
      <c r="E19" s="192" t="inlineStr">
        <is>
          <t>Наименование сметы</t>
        </is>
      </c>
      <c r="F19" s="192" t="inlineStr">
        <is>
          <t>Сметная стоимость в уровне цен 3 кв. 2018 г., тыс. руб.</t>
        </is>
      </c>
      <c r="G19" s="234" t="n"/>
      <c r="H19" s="234" t="n"/>
      <c r="I19" s="234" t="n"/>
      <c r="J19" s="235" t="n"/>
    </row>
    <row r="20" ht="63" customHeight="1" s="170">
      <c r="A20" s="172" t="n"/>
      <c r="B20" s="237" t="n"/>
      <c r="C20" s="237" t="n"/>
      <c r="D20" s="237" t="n"/>
      <c r="E20" s="237" t="n"/>
      <c r="F20" s="192" t="inlineStr">
        <is>
          <t>Строительные работы</t>
        </is>
      </c>
      <c r="G20" s="192" t="inlineStr">
        <is>
          <t>Монтажные работы</t>
        </is>
      </c>
      <c r="H20" s="192" t="inlineStr">
        <is>
          <t>Оборудование</t>
        </is>
      </c>
      <c r="I20" s="192" t="inlineStr">
        <is>
          <t>Прочее</t>
        </is>
      </c>
      <c r="J20" s="192" t="inlineStr">
        <is>
          <t>Всего</t>
        </is>
      </c>
      <c r="M20" s="192" t="inlineStr">
        <is>
          <t>Строительные работы</t>
        </is>
      </c>
      <c r="N20" s="192" t="inlineStr">
        <is>
          <t>Монтажные работы</t>
        </is>
      </c>
      <c r="O20" s="192" t="inlineStr">
        <is>
          <t>Оборудование</t>
        </is>
      </c>
      <c r="P20" s="192" t="inlineStr">
        <is>
          <t>Прочее</t>
        </is>
      </c>
      <c r="Q20" s="192" t="inlineStr">
        <is>
          <t>Всего</t>
        </is>
      </c>
    </row>
    <row r="21" ht="47.25" customHeight="1" s="170">
      <c r="A21" s="172" t="n"/>
      <c r="B21" s="105" t="n">
        <v>1</v>
      </c>
      <c r="C21" s="105" t="inlineStr">
        <is>
          <t>Земляные работы, фундаменты, заземление</t>
        </is>
      </c>
      <c r="D21" s="124" t="inlineStr">
        <is>
          <t>02-01-01</t>
        </is>
      </c>
      <c r="E21" s="105" t="inlineStr">
        <is>
          <t>Электротехнические решения, ПС 35/10/6 кВ Купино</t>
        </is>
      </c>
      <c r="F21" s="238">
        <f>44109.42/1000*7.7</f>
        <v/>
      </c>
      <c r="G21" s="238" t="n"/>
      <c r="H21" s="238">
        <f>767814.56/1000*4.53</f>
        <v/>
      </c>
      <c r="I21" s="238" t="n"/>
      <c r="J21" s="239">
        <f>SUM(F21:I21)</f>
        <v/>
      </c>
      <c r="M21" s="238">
        <f>44109.42/1000</f>
        <v/>
      </c>
      <c r="N21" s="238" t="n"/>
      <c r="O21" s="238">
        <f>867814.56/1000</f>
        <v/>
      </c>
      <c r="P21" s="238" t="n"/>
      <c r="Q21" s="239">
        <f>SUM(M21:P21)</f>
        <v/>
      </c>
    </row>
    <row r="22" ht="47.25" customHeight="1" s="170">
      <c r="A22" s="172" t="n"/>
      <c r="B22" s="105" t="n">
        <v>2</v>
      </c>
      <c r="C22" s="105" t="inlineStr">
        <is>
          <t>Подвеска проводов</t>
        </is>
      </c>
      <c r="D22" s="132" t="inlineStr">
        <is>
          <t>02-01-02</t>
        </is>
      </c>
      <c r="E22" s="105" t="inlineStr">
        <is>
          <t>Конструктивно-строительные работы, ПС 35/10/6 кВ Купино</t>
        </is>
      </c>
      <c r="F22" s="238">
        <f>9582.21/1000*7.7</f>
        <v/>
      </c>
      <c r="G22" s="238">
        <f>8462.4/1000*7.7</f>
        <v/>
      </c>
      <c r="H22" s="238" t="n"/>
      <c r="I22" s="238" t="n"/>
      <c r="J22" s="239">
        <f>SUM(F22:I22)</f>
        <v/>
      </c>
      <c r="M22" s="238">
        <f>9582.21/1000</f>
        <v/>
      </c>
      <c r="N22" s="238">
        <f>8462.4/1000</f>
        <v/>
      </c>
      <c r="O22" s="238" t="n"/>
      <c r="P22" s="238" t="n"/>
      <c r="Q22" s="239">
        <f>SUM(M22:P22)</f>
        <v/>
      </c>
    </row>
    <row r="23" ht="15.75" customHeight="1" s="170">
      <c r="A23" s="172" t="n"/>
      <c r="B23" s="191" t="inlineStr">
        <is>
          <t>Всего по объекту:</t>
        </is>
      </c>
      <c r="C23" s="234" t="n"/>
      <c r="D23" s="234" t="n"/>
      <c r="E23" s="235" t="n"/>
      <c r="F23" s="240">
        <f>SUM(F21:F22)</f>
        <v/>
      </c>
      <c r="G23" s="240">
        <f>SUM(G21:G22)</f>
        <v/>
      </c>
      <c r="H23" s="240">
        <f>SUM(H21:H22)</f>
        <v/>
      </c>
      <c r="I23" s="240">
        <f>SUM(I21:I22)</f>
        <v/>
      </c>
      <c r="J23" s="240">
        <f>SUM(F23:I23)</f>
        <v/>
      </c>
      <c r="M23" s="240">
        <f>SUM(M21:M22)</f>
        <v/>
      </c>
      <c r="N23" s="240">
        <f>SUM(N21:N22)</f>
        <v/>
      </c>
      <c r="O23" s="240">
        <f>SUM(O21:O22)</f>
        <v/>
      </c>
      <c r="P23" s="240">
        <f>SUM(P21:P22)</f>
        <v/>
      </c>
      <c r="Q23" s="240">
        <f>SUM(M23:P23)</f>
        <v/>
      </c>
    </row>
    <row r="24" ht="15.75" customHeight="1" s="170">
      <c r="A24" s="172" t="n"/>
      <c r="B24" s="191" t="inlineStr">
        <is>
          <t>Всего по объекту в сопоставимом уровне цен 3 кв. 2018г:</t>
        </is>
      </c>
      <c r="C24" s="234" t="n"/>
      <c r="D24" s="234" t="n"/>
      <c r="E24" s="235" t="n"/>
      <c r="F24" s="240">
        <f>F23</f>
        <v/>
      </c>
      <c r="G24" s="240">
        <f>G23</f>
        <v/>
      </c>
      <c r="H24" s="240">
        <f>H23</f>
        <v/>
      </c>
      <c r="I24" s="240">
        <f>I23</f>
        <v/>
      </c>
      <c r="J24" s="240">
        <f>SUM(F24:I24)</f>
        <v/>
      </c>
    </row>
    <row r="25" ht="15.75" customHeight="1" s="170">
      <c r="A25" s="172" t="n"/>
      <c r="B25" s="172" t="n"/>
      <c r="C25" s="172" t="n"/>
      <c r="D25" s="172" t="n"/>
      <c r="E25" s="172" t="n"/>
      <c r="F25" s="172" t="n"/>
      <c r="G25" s="172" t="n"/>
      <c r="H25" s="172" t="n"/>
      <c r="I25" s="172" t="n"/>
      <c r="J25" s="172" t="n"/>
      <c r="M25">
        <f>M23*8.19</f>
        <v/>
      </c>
      <c r="N25">
        <f>N23*8.19</f>
        <v/>
      </c>
      <c r="O25">
        <f>O23*4.91</f>
        <v/>
      </c>
      <c r="Q25">
        <f>O25+N25+M25</f>
        <v/>
      </c>
    </row>
    <row r="26" ht="15.75" customHeight="1" s="170">
      <c r="A26" s="172" t="n"/>
      <c r="B26" s="172" t="n"/>
      <c r="C26" s="172" t="n"/>
      <c r="D26" s="172" t="n"/>
      <c r="E26" s="172" t="n"/>
      <c r="F26" s="172" t="n"/>
      <c r="G26" s="172" t="n"/>
      <c r="H26" s="172" t="n"/>
      <c r="I26" s="172" t="n"/>
      <c r="J26" s="172" t="n"/>
      <c r="M26">
        <f>M25+N25</f>
        <v/>
      </c>
    </row>
    <row r="27" ht="15.75" customHeight="1" s="170">
      <c r="A27" s="172" t="n"/>
      <c r="B27" s="172" t="n"/>
      <c r="C27" s="172" t="n"/>
      <c r="D27" s="172" t="n"/>
      <c r="E27" s="172" t="n"/>
      <c r="F27" s="172" t="n"/>
      <c r="G27" s="172" t="n"/>
      <c r="H27" s="172" t="n"/>
      <c r="I27" s="172" t="n"/>
      <c r="J27" s="172" t="n"/>
    </row>
    <row r="28" ht="15.75" customHeight="1" s="170">
      <c r="A28" s="172" t="n"/>
      <c r="B28" s="172" t="n"/>
      <c r="C28" s="172" t="n"/>
      <c r="D28" s="172" t="n"/>
      <c r="E28" s="172" t="n"/>
      <c r="F28" s="172" t="n"/>
      <c r="G28" s="172" t="n"/>
      <c r="H28" s="172" t="n"/>
      <c r="I28" s="172" t="n"/>
      <c r="J28" s="172" t="n"/>
      <c r="M28">
        <f>M26*2.5%</f>
        <v/>
      </c>
    </row>
    <row r="29" ht="15.75" customHeight="1" s="170">
      <c r="A29" s="172" t="n"/>
      <c r="B29" s="172" t="inlineStr">
        <is>
          <t>Составил ______________________   Е. М. Добровольская</t>
        </is>
      </c>
      <c r="C29" s="172" t="n"/>
      <c r="D29" s="172" t="n"/>
      <c r="E29" s="172" t="n"/>
      <c r="F29" s="172" t="n"/>
      <c r="G29" s="172" t="n"/>
      <c r="H29" s="172" t="n"/>
      <c r="I29" s="172" t="n"/>
      <c r="J29" s="172" t="n"/>
      <c r="M29">
        <f>(M26+M28*2.5%)*2.1%</f>
        <v/>
      </c>
    </row>
    <row r="30" ht="22.5" customHeight="1" s="170">
      <c r="A30" s="172" t="n"/>
      <c r="B30" s="106" t="inlineStr">
        <is>
          <t xml:space="preserve">                         (подпись, инициалы, фамилия)</t>
        </is>
      </c>
      <c r="C30" s="172" t="n"/>
      <c r="D30" s="172" t="n"/>
      <c r="E30" s="172" t="n"/>
      <c r="F30" s="172" t="n"/>
      <c r="G30" s="172" t="n"/>
      <c r="H30" s="172" t="n"/>
      <c r="I30" s="172" t="n"/>
      <c r="J30" s="172" t="n"/>
    </row>
    <row r="31" ht="15.75" customHeight="1" s="170">
      <c r="A31" s="172" t="n"/>
      <c r="B31" s="172" t="n"/>
      <c r="C31" s="172" t="n"/>
      <c r="D31" s="172" t="n"/>
      <c r="E31" s="172" t="n"/>
      <c r="F31" s="172" t="n"/>
      <c r="G31" s="172" t="n"/>
      <c r="H31" s="172" t="n"/>
      <c r="I31" s="172" t="n"/>
      <c r="J31" s="172" t="n"/>
    </row>
    <row r="32" ht="15.75" customHeight="1" s="170">
      <c r="A32" s="172" t="n"/>
      <c r="B32" s="172" t="inlineStr">
        <is>
          <t>Проверил ______________________        А.В. Костянецкая</t>
        </is>
      </c>
      <c r="C32" s="172" t="n"/>
      <c r="D32" s="172" t="n"/>
      <c r="E32" s="172" t="n"/>
      <c r="F32" s="172" t="n"/>
      <c r="G32" s="172" t="n"/>
      <c r="H32" s="172" t="n"/>
      <c r="I32" s="172" t="n"/>
      <c r="J32" s="172" t="n"/>
    </row>
    <row r="33" ht="22.5" customHeight="1" s="170">
      <c r="A33" s="172" t="n"/>
      <c r="B33" s="106" t="inlineStr">
        <is>
          <t xml:space="preserve">                        (подпись, инициалы, фамилия)</t>
        </is>
      </c>
      <c r="C33" s="172" t="n"/>
      <c r="D33" s="172" t="n"/>
      <c r="E33" s="172" t="n"/>
      <c r="F33" s="172" t="n"/>
      <c r="G33" s="172" t="n"/>
      <c r="H33" s="172" t="n"/>
      <c r="I33" s="172" t="n"/>
      <c r="J33" s="172" t="n"/>
    </row>
  </sheetData>
  <mergeCells count="20">
    <mergeCell ref="D18:J18"/>
    <mergeCell ref="D9:J9"/>
    <mergeCell ref="F10:J10"/>
    <mergeCell ref="B15:E15"/>
    <mergeCell ref="F19:J19"/>
    <mergeCell ref="B24:E24"/>
    <mergeCell ref="E19:E20"/>
    <mergeCell ref="E10:E11"/>
    <mergeCell ref="B6:J6"/>
    <mergeCell ref="C18:C20"/>
    <mergeCell ref="B4:J4"/>
    <mergeCell ref="B18:B20"/>
    <mergeCell ref="B14:E14"/>
    <mergeCell ref="B7:J7"/>
    <mergeCell ref="D19:D20"/>
    <mergeCell ref="B23:E23"/>
    <mergeCell ref="B3:J3"/>
    <mergeCell ref="D10:D11"/>
    <mergeCell ref="B9:B11"/>
    <mergeCell ref="C9:C11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 codeName="Лист3">
    <outlinePr summaryBelow="1" summaryRight="1"/>
    <pageSetUpPr fitToPage="1"/>
  </sheetPr>
  <dimension ref="A1:K89"/>
  <sheetViews>
    <sheetView view="pageBreakPreview" zoomScale="70" workbookViewId="0">
      <selection activeCell="F85" sqref="F85"/>
    </sheetView>
  </sheetViews>
  <sheetFormatPr baseColWidth="8" defaultRowHeight="15.75"/>
  <cols>
    <col width="9.140625" customWidth="1" style="172" min="1" max="1"/>
    <col width="12.5703125" customWidth="1" style="172" min="2" max="2"/>
    <col width="22.42578125" customWidth="1" style="172" min="3" max="3"/>
    <col width="49.7109375" customWidth="1" style="172" min="4" max="4"/>
    <col width="12.42578125" customWidth="1" style="172" min="5" max="5"/>
    <col width="24.5703125" customWidth="1" style="172" min="6" max="6"/>
    <col width="16.140625" customWidth="1" style="172" min="7" max="7"/>
    <col width="16.7109375" customWidth="1" style="172" min="8" max="8"/>
    <col width="9.140625" customWidth="1" style="172" min="9" max="9"/>
    <col width="19.42578125" customWidth="1" style="172" min="10" max="10"/>
    <col width="13" customWidth="1" style="170" min="11" max="11"/>
    <col width="9.140625" customWidth="1" style="170" min="12" max="12"/>
  </cols>
  <sheetData>
    <row r="1">
      <c r="K1" s="172" t="n"/>
    </row>
    <row r="2">
      <c r="A2" s="188" t="inlineStr">
        <is>
          <t xml:space="preserve">Приложение № 3 </t>
        </is>
      </c>
      <c r="K2" s="172" t="n"/>
    </row>
    <row r="3">
      <c r="A3" s="189" t="inlineStr">
        <is>
          <t>Объектная ресурсная ведомость</t>
        </is>
      </c>
      <c r="K3" s="172" t="n"/>
    </row>
    <row r="4" ht="18.75" customHeight="1" s="170">
      <c r="A4" s="187" t="n"/>
      <c r="K4" s="172" t="n"/>
    </row>
    <row r="5">
      <c r="A5" s="196">
        <f>'Прил.1 Сравнит табл'!B7</f>
        <v/>
      </c>
      <c r="K5" s="172" t="n"/>
    </row>
    <row r="6" s="170">
      <c r="A6" s="196" t="n"/>
      <c r="B6" s="196" t="n"/>
      <c r="C6" s="196" t="n"/>
      <c r="D6" s="196" t="n"/>
      <c r="E6" s="196" t="n"/>
      <c r="F6" s="196" t="n"/>
      <c r="G6" s="196" t="n"/>
      <c r="H6" s="196" t="n"/>
      <c r="I6" s="172" t="n"/>
      <c r="J6" s="172" t="n"/>
      <c r="K6" s="172" t="n"/>
    </row>
    <row r="7">
      <c r="A7" s="196" t="n"/>
      <c r="B7" s="196" t="n"/>
      <c r="C7" s="196" t="n"/>
      <c r="D7" s="196" t="n"/>
      <c r="E7" s="196" t="n"/>
      <c r="F7" s="196" t="n"/>
      <c r="G7" s="196" t="n"/>
      <c r="H7" s="196" t="n"/>
      <c r="K7" s="172" t="n"/>
    </row>
    <row r="8" ht="33" customHeight="1" s="170">
      <c r="A8" s="192" t="inlineStr">
        <is>
          <t>п/п</t>
        </is>
      </c>
      <c r="B8" s="192" t="inlineStr">
        <is>
          <t>№ЛСР</t>
        </is>
      </c>
      <c r="C8" s="192" t="inlineStr">
        <is>
          <t>Код ресурса</t>
        </is>
      </c>
      <c r="D8" s="192" t="inlineStr">
        <is>
          <t>Наименование ресурса</t>
        </is>
      </c>
      <c r="E8" s="192" t="inlineStr">
        <is>
          <t>Ед. изм.</t>
        </is>
      </c>
      <c r="F8" s="192" t="inlineStr">
        <is>
          <t>Кол-во единиц по данным объекта-представителя</t>
        </is>
      </c>
      <c r="G8" s="192" t="inlineStr">
        <is>
          <t>Сметная стоимость в ценах на 01.01.2000 (руб.)</t>
        </is>
      </c>
      <c r="H8" s="235" t="n"/>
      <c r="K8" s="172" t="n"/>
    </row>
    <row r="9">
      <c r="A9" s="237" t="n"/>
      <c r="B9" s="237" t="n"/>
      <c r="C9" s="237" t="n"/>
      <c r="D9" s="237" t="n"/>
      <c r="E9" s="237" t="n"/>
      <c r="F9" s="237" t="n"/>
      <c r="G9" s="192" t="inlineStr">
        <is>
          <t>на ед.изм.</t>
        </is>
      </c>
      <c r="H9" s="192" t="inlineStr">
        <is>
          <t>общая</t>
        </is>
      </c>
      <c r="K9" s="172" t="n"/>
    </row>
    <row r="10">
      <c r="A10" s="185" t="n">
        <v>1</v>
      </c>
      <c r="B10" s="185" t="n"/>
      <c r="C10" s="185" t="n">
        <v>2</v>
      </c>
      <c r="D10" s="185" t="inlineStr">
        <is>
          <t>З</t>
        </is>
      </c>
      <c r="E10" s="185" t="n">
        <v>4</v>
      </c>
      <c r="F10" s="185" t="n">
        <v>5</v>
      </c>
      <c r="G10" s="185" t="n">
        <v>6</v>
      </c>
      <c r="H10" s="185" t="n">
        <v>7</v>
      </c>
      <c r="I10" s="242" t="n"/>
      <c r="K10" s="172" t="n"/>
    </row>
    <row r="11">
      <c r="A11" s="193" t="inlineStr">
        <is>
          <t>Затраты труда рабочих</t>
        </is>
      </c>
      <c r="B11" s="234" t="n"/>
      <c r="C11" s="234" t="n"/>
      <c r="D11" s="234" t="n"/>
      <c r="E11" s="235" t="n"/>
      <c r="F11" s="243" t="n">
        <v>129.857944</v>
      </c>
      <c r="G11" s="142" t="n"/>
      <c r="H11" s="243">
        <f>SUM(H12:H17)</f>
        <v/>
      </c>
      <c r="I11" s="155" t="n"/>
      <c r="J11" s="155" t="n"/>
      <c r="K11" s="155" t="n"/>
    </row>
    <row r="12">
      <c r="A12" s="145" t="n">
        <v>1</v>
      </c>
      <c r="B12" s="120" t="n"/>
      <c r="C12" s="146" t="inlineStr">
        <is>
          <t>1-4-0</t>
        </is>
      </c>
      <c r="D12" s="147" t="inlineStr">
        <is>
          <t>Затраты труда рабочих (ср 4)</t>
        </is>
      </c>
      <c r="E12" s="221" t="inlineStr">
        <is>
          <t>чел.-ч</t>
        </is>
      </c>
      <c r="F12" s="244" t="n">
        <v>91.31471999999999</v>
      </c>
      <c r="G12" s="138" t="n">
        <v>9.619999999999999</v>
      </c>
      <c r="H12" s="138">
        <f>ROUND(F12*G12,2)</f>
        <v/>
      </c>
      <c r="K12" s="172" t="n"/>
    </row>
    <row r="13" ht="15" customHeight="1" s="170">
      <c r="A13" s="145" t="n">
        <v>2</v>
      </c>
      <c r="B13" s="120" t="n"/>
      <c r="C13" s="146" t="inlineStr">
        <is>
          <t>1-3-6</t>
        </is>
      </c>
      <c r="D13" s="147" t="inlineStr">
        <is>
          <t>Затраты труда рабочих (ср 3,6)</t>
        </is>
      </c>
      <c r="E13" s="221" t="inlineStr">
        <is>
          <t>чел.-ч</t>
        </is>
      </c>
      <c r="F13" s="244" t="n">
        <v>16.86941</v>
      </c>
      <c r="G13" s="138" t="n">
        <v>9.18</v>
      </c>
      <c r="H13" s="138">
        <f>ROUND(F13*G13,2)</f>
        <v/>
      </c>
      <c r="K13" s="172" t="n"/>
    </row>
    <row r="14">
      <c r="A14" s="145" t="n">
        <v>3</v>
      </c>
      <c r="B14" s="120" t="n"/>
      <c r="C14" s="146" t="inlineStr">
        <is>
          <t>1-4-1</t>
        </is>
      </c>
      <c r="D14" s="147" t="inlineStr">
        <is>
          <t>Затраты труда рабочих (ср 4,1)</t>
        </is>
      </c>
      <c r="E14" s="221" t="inlineStr">
        <is>
          <t>чел.-ч</t>
        </is>
      </c>
      <c r="F14" s="244" t="n">
        <v>7.170294</v>
      </c>
      <c r="G14" s="138" t="n">
        <v>9.76</v>
      </c>
      <c r="H14" s="138">
        <f>ROUND(F14*G14,2)</f>
        <v/>
      </c>
      <c r="K14" s="172" t="n"/>
    </row>
    <row r="15">
      <c r="A15" s="145" t="n">
        <v>4</v>
      </c>
      <c r="B15" s="120" t="n"/>
      <c r="C15" s="146" t="inlineStr">
        <is>
          <t>1-3-0</t>
        </is>
      </c>
      <c r="D15" s="147" t="inlineStr">
        <is>
          <t>Затраты труда рабочих (ср 3)</t>
        </is>
      </c>
      <c r="E15" s="221" t="inlineStr">
        <is>
          <t>чел.-ч</t>
        </is>
      </c>
      <c r="F15" s="244" t="n">
        <v>7.9294</v>
      </c>
      <c r="G15" s="138" t="n">
        <v>8.529999999999999</v>
      </c>
      <c r="H15" s="138">
        <f>ROUND(F15*G15,2)</f>
        <v/>
      </c>
      <c r="K15" s="172" t="n"/>
    </row>
    <row r="16">
      <c r="A16" s="145" t="n">
        <v>5</v>
      </c>
      <c r="B16" s="120" t="n"/>
      <c r="C16" s="146" t="inlineStr">
        <is>
          <t>1-3-5</t>
        </is>
      </c>
      <c r="D16" s="147" t="inlineStr">
        <is>
          <t>Затраты труда рабочих (ср 3,5)</t>
        </is>
      </c>
      <c r="E16" s="221" t="inlineStr">
        <is>
          <t>чел.-ч</t>
        </is>
      </c>
      <c r="F16" s="244" t="n">
        <v>5.27668</v>
      </c>
      <c r="G16" s="138" t="n">
        <v>9.07</v>
      </c>
      <c r="H16" s="138">
        <f>ROUND(F16*G16,2)</f>
        <v/>
      </c>
      <c r="K16" s="172" t="n"/>
    </row>
    <row r="17">
      <c r="A17" s="145" t="n">
        <v>6</v>
      </c>
      <c r="B17" s="120" t="n"/>
      <c r="C17" s="146" t="inlineStr">
        <is>
          <t>1-3-9</t>
        </is>
      </c>
      <c r="D17" s="147" t="inlineStr">
        <is>
          <t>Затраты труда рабочих (ср 3,9)</t>
        </is>
      </c>
      <c r="E17" s="221" t="inlineStr">
        <is>
          <t>чел.-ч</t>
        </is>
      </c>
      <c r="F17" s="244" t="n">
        <v>1.29744</v>
      </c>
      <c r="G17" s="138" t="n">
        <v>9.51</v>
      </c>
      <c r="H17" s="138">
        <f>ROUND(F17*G17,2)</f>
        <v/>
      </c>
      <c r="K17" s="172" t="n"/>
    </row>
    <row r="18">
      <c r="A18" s="193" t="inlineStr">
        <is>
          <t>Затраты труда машинистов</t>
        </is>
      </c>
      <c r="B18" s="234" t="n"/>
      <c r="C18" s="234" t="n"/>
      <c r="D18" s="234" t="n"/>
      <c r="E18" s="235" t="n"/>
      <c r="F18" s="193" t="n"/>
      <c r="G18" s="100" t="n"/>
      <c r="H18" s="243">
        <f>H19</f>
        <v/>
      </c>
      <c r="K18" s="172" t="n"/>
    </row>
    <row r="19">
      <c r="A19" s="145" t="n">
        <v>7</v>
      </c>
      <c r="B19" s="173" t="n"/>
      <c r="C19" s="146" t="n">
        <v>2</v>
      </c>
      <c r="D19" s="147" t="inlineStr">
        <is>
          <t>Затраты труда машинистов</t>
        </is>
      </c>
      <c r="E19" s="221" t="inlineStr">
        <is>
          <t>чел.-ч</t>
        </is>
      </c>
      <c r="F19" s="244" t="n">
        <v>14.707944</v>
      </c>
      <c r="G19" s="138" t="n"/>
      <c r="H19" s="245" t="n">
        <v>194.57</v>
      </c>
      <c r="K19" s="172" t="n"/>
    </row>
    <row r="20">
      <c r="A20" s="193" t="inlineStr">
        <is>
          <t>Машины и механизмы</t>
        </is>
      </c>
      <c r="B20" s="234" t="n"/>
      <c r="C20" s="234" t="n"/>
      <c r="D20" s="234" t="n"/>
      <c r="E20" s="235" t="n"/>
      <c r="F20" s="193" t="n"/>
      <c r="G20" s="100" t="n"/>
      <c r="H20" s="243">
        <f>SUM(H21:H38)</f>
        <v/>
      </c>
      <c r="I20" s="155" t="n"/>
      <c r="J20" s="155" t="n"/>
      <c r="K20" s="155" t="n"/>
    </row>
    <row r="21" ht="17.25" customHeight="1" s="170">
      <c r="A21" s="145" t="n">
        <v>8</v>
      </c>
      <c r="B21" s="173" t="n"/>
      <c r="C21" s="146" t="inlineStr">
        <is>
          <t>91.05.05-015</t>
        </is>
      </c>
      <c r="D21" s="147" t="inlineStr">
        <is>
          <t>Краны на автомобильном ходу, грузоподъемность 16 т</t>
        </is>
      </c>
      <c r="E21" s="221" t="inlineStr">
        <is>
          <t>маш.час</t>
        </is>
      </c>
      <c r="F21" s="146" t="n">
        <v>11.205846</v>
      </c>
      <c r="G21" s="149" t="n">
        <v>115.4</v>
      </c>
      <c r="H21" s="102">
        <f>ROUND(F21*G21,2)</f>
        <v/>
      </c>
      <c r="J21" s="246" t="n"/>
      <c r="K21" s="172" t="n"/>
    </row>
    <row r="22" ht="38.25" customHeight="1" s="170">
      <c r="A22" s="145" t="n">
        <v>9</v>
      </c>
      <c r="B22" s="173" t="n"/>
      <c r="C22" s="146" t="inlineStr">
        <is>
          <t>91.02.04-036</t>
        </is>
      </c>
      <c r="D22" s="147" t="inlineStr">
        <is>
          <t>Установки буровые для бурения скважин под сваи шнекового бурения, глубиной до 30 м, диаметром до 600 мм</t>
        </is>
      </c>
      <c r="E22" s="221" t="inlineStr">
        <is>
          <t>маш.час</t>
        </is>
      </c>
      <c r="F22" s="146" t="n">
        <v>1.134984</v>
      </c>
      <c r="G22" s="149" t="n">
        <v>218.17</v>
      </c>
      <c r="H22" s="102">
        <f>ROUND(F22*G22,2)</f>
        <v/>
      </c>
      <c r="I22" s="155" t="n"/>
      <c r="J22" s="155" t="n"/>
      <c r="K22" s="155" t="n"/>
    </row>
    <row r="23">
      <c r="A23" s="145" t="n">
        <v>10</v>
      </c>
      <c r="B23" s="173" t="n"/>
      <c r="C23" s="146" t="inlineStr">
        <is>
          <t>91.14.02-001</t>
        </is>
      </c>
      <c r="D23" s="147" t="inlineStr">
        <is>
          <t>Автомобили бортовые, грузоподъемность до 5 т</t>
        </is>
      </c>
      <c r="E23" s="221" t="inlineStr">
        <is>
          <t>маш.час</t>
        </is>
      </c>
      <c r="F23" s="146" t="n">
        <v>2.102454</v>
      </c>
      <c r="G23" s="149" t="n">
        <v>65.70999999999999</v>
      </c>
      <c r="H23" s="102">
        <f>ROUND(F23*G23,2)</f>
        <v/>
      </c>
      <c r="K23" s="172" t="n"/>
    </row>
    <row r="24" ht="25.5" customHeight="1" s="170">
      <c r="A24" s="145" t="n">
        <v>11</v>
      </c>
      <c r="B24" s="173" t="n"/>
      <c r="C24" s="146" t="inlineStr">
        <is>
          <t>91.17.04-171</t>
        </is>
      </c>
      <c r="D24" s="147" t="inlineStr">
        <is>
          <t>Преобразователи сварочные номинальным сварочным током 315-500 А</t>
        </is>
      </c>
      <c r="E24" s="221" t="inlineStr">
        <is>
          <t>маш.час</t>
        </is>
      </c>
      <c r="F24" s="146" t="n">
        <v>2.894584</v>
      </c>
      <c r="G24" s="149" t="n">
        <v>12.31</v>
      </c>
      <c r="H24" s="102">
        <f>ROUND(F24*G24,2)</f>
        <v/>
      </c>
      <c r="K24" s="172" t="n"/>
    </row>
    <row r="25" ht="25.5" customHeight="1" s="170">
      <c r="A25" s="145" t="n">
        <v>12</v>
      </c>
      <c r="B25" s="173" t="n"/>
      <c r="C25" s="146" t="inlineStr">
        <is>
          <t>91.21.01-012</t>
        </is>
      </c>
      <c r="D25" s="147" t="inlineStr">
        <is>
          <t>Агрегаты окрасочные высокого давления для окраски поверхностей конструкций, мощность 1 кВт</t>
        </is>
      </c>
      <c r="E25" s="221" t="inlineStr">
        <is>
          <t>маш.час</t>
        </is>
      </c>
      <c r="F25" s="146" t="n">
        <v>2.39835</v>
      </c>
      <c r="G25" s="149" t="n">
        <v>6.82</v>
      </c>
      <c r="H25" s="102">
        <f>ROUND(F25*G25,2)</f>
        <v/>
      </c>
      <c r="K25" s="172" t="n"/>
    </row>
    <row r="26" ht="25.5" customHeight="1" s="170">
      <c r="A26" s="145" t="n">
        <v>13</v>
      </c>
      <c r="B26" s="173" t="n"/>
      <c r="C26" s="146" t="inlineStr">
        <is>
          <t>91.17.04-036</t>
        </is>
      </c>
      <c r="D26" s="147" t="inlineStr">
        <is>
          <t>Агрегаты сварочные передвижные с дизельным двигателем, номинальный сварочный ток 250-400 А</t>
        </is>
      </c>
      <c r="E26" s="221" t="inlineStr">
        <is>
          <t>маш.час</t>
        </is>
      </c>
      <c r="F26" s="146" t="n">
        <v>0.993426</v>
      </c>
      <c r="G26" s="149" t="n">
        <v>14</v>
      </c>
      <c r="H26" s="102">
        <f>ROUND(F26*G26,2)</f>
        <v/>
      </c>
      <c r="K26" s="172" t="n"/>
    </row>
    <row r="27">
      <c r="A27" s="145" t="n">
        <v>14</v>
      </c>
      <c r="B27" s="173" t="n"/>
      <c r="C27" s="146" t="inlineStr">
        <is>
          <t>91.05.01-017</t>
        </is>
      </c>
      <c r="D27" s="147" t="inlineStr">
        <is>
          <t>Краны башенные, грузоподъемность 8 т</t>
        </is>
      </c>
      <c r="E27" s="221" t="inlineStr">
        <is>
          <t>маш.час</t>
        </is>
      </c>
      <c r="F27" s="146" t="n">
        <v>0.114664</v>
      </c>
      <c r="G27" s="149" t="n">
        <v>86.40000000000001</v>
      </c>
      <c r="H27" s="102">
        <f>ROUND(F27*G27,2)</f>
        <v/>
      </c>
      <c r="K27" s="172" t="n"/>
    </row>
    <row r="28">
      <c r="A28" s="145" t="n">
        <v>15</v>
      </c>
      <c r="B28" s="173" t="n"/>
      <c r="C28" s="146" t="inlineStr">
        <is>
          <t>91.01.01-035</t>
        </is>
      </c>
      <c r="D28" s="147" t="inlineStr">
        <is>
          <t>Бульдозеры, мощность 79 кВт (108 л.с.)</t>
        </is>
      </c>
      <c r="E28" s="221" t="inlineStr">
        <is>
          <t>маш.час</t>
        </is>
      </c>
      <c r="F28" s="146" t="n">
        <v>0.076532</v>
      </c>
      <c r="G28" s="149" t="n">
        <v>79.06999999999999</v>
      </c>
      <c r="H28" s="102">
        <f>ROUND(F28*G28,2)</f>
        <v/>
      </c>
      <c r="K28" s="172" t="n"/>
    </row>
    <row r="29">
      <c r="A29" s="145" t="n">
        <v>16</v>
      </c>
      <c r="B29" s="173" t="n"/>
      <c r="C29" s="146" t="inlineStr">
        <is>
          <t>91.05.02-005</t>
        </is>
      </c>
      <c r="D29" s="147" t="inlineStr">
        <is>
          <t>Краны козловые, грузоподъемность 32 т</t>
        </is>
      </c>
      <c r="E29" s="221" t="inlineStr">
        <is>
          <t>маш.час</t>
        </is>
      </c>
      <c r="F29" s="146" t="n">
        <v>0.04699</v>
      </c>
      <c r="G29" s="149" t="n">
        <v>120.24</v>
      </c>
      <c r="H29" s="102">
        <f>ROUND(F29*G29,2)</f>
        <v/>
      </c>
      <c r="K29" s="172" t="n"/>
    </row>
    <row r="30">
      <c r="A30" s="145" t="n">
        <v>17</v>
      </c>
      <c r="B30" s="173" t="n"/>
      <c r="C30" s="146" t="inlineStr">
        <is>
          <t>91.08.04-021</t>
        </is>
      </c>
      <c r="D30" s="147" t="inlineStr">
        <is>
          <t>Котлы битумные передвижные 400 л</t>
        </is>
      </c>
      <c r="E30" s="221" t="inlineStr">
        <is>
          <t>маш.час</t>
        </is>
      </c>
      <c r="F30" s="146" t="n">
        <v>0.11934</v>
      </c>
      <c r="G30" s="149" t="n">
        <v>30</v>
      </c>
      <c r="H30" s="102">
        <f>ROUND(F30*G30,2)</f>
        <v/>
      </c>
      <c r="K30" s="172" t="n"/>
    </row>
    <row r="31" ht="25.5" customHeight="1" s="170">
      <c r="A31" s="145" t="n">
        <v>18</v>
      </c>
      <c r="B31" s="173" t="n"/>
      <c r="C31" s="146" t="inlineStr">
        <is>
          <t>91.17.04-233</t>
        </is>
      </c>
      <c r="D31" s="147" t="inlineStr">
        <is>
          <t>Установки для сварки ручной дуговой (постоянного тока)</t>
        </is>
      </c>
      <c r="E31" s="221" t="inlineStr">
        <is>
          <t>маш.час</t>
        </is>
      </c>
      <c r="F31" s="146" t="n">
        <v>0.25892</v>
      </c>
      <c r="G31" s="149" t="n">
        <v>8.1</v>
      </c>
      <c r="H31" s="102">
        <f>ROUND(F31*G31,2)</f>
        <v/>
      </c>
      <c r="K31" s="172" t="n"/>
    </row>
    <row r="32">
      <c r="A32" s="145" t="n">
        <v>19</v>
      </c>
      <c r="B32" s="173" t="n"/>
      <c r="C32" s="146" t="inlineStr">
        <is>
          <t>91.06.05-011</t>
        </is>
      </c>
      <c r="D32" s="147" t="inlineStr">
        <is>
          <t>Погрузчики, грузоподъемность 5 т</t>
        </is>
      </c>
      <c r="E32" s="221" t="inlineStr">
        <is>
          <t>маш.час</t>
        </is>
      </c>
      <c r="F32" s="146" t="n">
        <v>0.01736</v>
      </c>
      <c r="G32" s="149" t="n">
        <v>89.98999999999999</v>
      </c>
      <c r="H32" s="102">
        <f>ROUND(F32*G32,2)</f>
        <v/>
      </c>
      <c r="K32" s="172" t="n"/>
    </row>
    <row r="33" ht="17.25" customHeight="1" s="170">
      <c r="A33" s="145" t="n">
        <v>20</v>
      </c>
      <c r="B33" s="173" t="n"/>
      <c r="C33" s="146" t="inlineStr">
        <is>
          <t>91.06.01-003</t>
        </is>
      </c>
      <c r="D33" s="147" t="inlineStr">
        <is>
          <t>Домкраты гидравлические, грузоподъемность 63-100 т</t>
        </is>
      </c>
      <c r="E33" s="221" t="inlineStr">
        <is>
          <t>маш.час</t>
        </is>
      </c>
      <c r="F33" s="146" t="n">
        <v>1.489583</v>
      </c>
      <c r="G33" s="149" t="n">
        <v>0.9</v>
      </c>
      <c r="H33" s="102">
        <f>ROUND(F33*G33,2)</f>
        <v/>
      </c>
    </row>
    <row r="34" ht="25.5" customHeight="1" s="170">
      <c r="A34" s="145" t="n">
        <v>21</v>
      </c>
      <c r="B34" s="173" t="n"/>
      <c r="C34" s="146" t="inlineStr">
        <is>
          <t>91.19.02-002</t>
        </is>
      </c>
      <c r="D34" s="147" t="inlineStr">
        <is>
          <t>Маслонасосы шестеренные, производительность 2,3 м3/час</t>
        </is>
      </c>
      <c r="E34" s="221" t="inlineStr">
        <is>
          <t>маш.час</t>
        </is>
      </c>
      <c r="F34" s="146" t="n">
        <v>1.06</v>
      </c>
      <c r="G34" s="149" t="n">
        <v>0.9</v>
      </c>
      <c r="H34" s="102">
        <f>ROUND(F34*G34,2)</f>
        <v/>
      </c>
    </row>
    <row r="35">
      <c r="A35" s="145" t="n">
        <v>22</v>
      </c>
      <c r="B35" s="173" t="n"/>
      <c r="C35" s="146" t="inlineStr">
        <is>
          <t>91.17.04-042</t>
        </is>
      </c>
      <c r="D35" s="147" t="inlineStr">
        <is>
          <t>Аппараты для газовой сварки и резки</t>
        </is>
      </c>
      <c r="E35" s="221" t="inlineStr">
        <is>
          <t>маш.час</t>
        </is>
      </c>
      <c r="F35" s="146" t="n">
        <v>0.765937</v>
      </c>
      <c r="G35" s="149" t="n">
        <v>1.2</v>
      </c>
      <c r="H35" s="102">
        <f>ROUND(F35*G35,2)</f>
        <v/>
      </c>
    </row>
    <row r="36">
      <c r="A36" s="145" t="n">
        <v>23</v>
      </c>
      <c r="B36" s="173" t="n"/>
      <c r="C36" s="146" t="inlineStr">
        <is>
          <t>91.14.02-002</t>
        </is>
      </c>
      <c r="D36" s="147" t="inlineStr">
        <is>
          <t>Автомобили бортовые, грузоподъемность до 8 т</t>
        </is>
      </c>
      <c r="E36" s="221" t="inlineStr">
        <is>
          <t>маш.час</t>
        </is>
      </c>
      <c r="F36" s="146" t="n">
        <v>0.009114000000000001</v>
      </c>
      <c r="G36" s="149" t="n">
        <v>85.84</v>
      </c>
      <c r="H36" s="102">
        <f>ROUND(F36*G36,2)</f>
        <v/>
      </c>
    </row>
    <row r="37">
      <c r="A37" s="145" t="n">
        <v>24</v>
      </c>
      <c r="B37" s="173" t="n"/>
      <c r="C37" s="146" t="inlineStr">
        <is>
          <t>91.07.04-001</t>
        </is>
      </c>
      <c r="D37" s="147" t="inlineStr">
        <is>
          <t>Вибраторы глубинные</t>
        </is>
      </c>
      <c r="E37" s="221" t="inlineStr">
        <is>
          <t>маш.час</t>
        </is>
      </c>
      <c r="F37" s="146" t="n">
        <v>0.0396</v>
      </c>
      <c r="G37" s="149" t="n">
        <v>1.9</v>
      </c>
      <c r="H37" s="102">
        <f>ROUND(F37*G37,2)</f>
        <v/>
      </c>
    </row>
    <row r="38" ht="25.5" customHeight="1" s="170">
      <c r="A38" s="145" t="n">
        <v>25</v>
      </c>
      <c r="B38" s="173" t="n"/>
      <c r="C38" s="146" t="inlineStr">
        <is>
          <t>91.06.03-060</t>
        </is>
      </c>
      <c r="D38" s="147" t="inlineStr">
        <is>
          <t>Лебедки электрические тяговым усилием до 5,79 кН (0,59 т)</t>
        </is>
      </c>
      <c r="E38" s="221" t="inlineStr">
        <is>
          <t>маш.час</t>
        </is>
      </c>
      <c r="F38" s="146" t="n">
        <v>0.02439</v>
      </c>
      <c r="G38" s="149" t="n">
        <v>1.7</v>
      </c>
      <c r="H38" s="102">
        <f>ROUND(F38*G38,2)</f>
        <v/>
      </c>
    </row>
    <row r="39">
      <c r="A39" s="193" t="inlineStr">
        <is>
          <t>Оборудование</t>
        </is>
      </c>
      <c r="B39" s="234" t="n"/>
      <c r="C39" s="234" t="n"/>
      <c r="D39" s="234" t="n"/>
      <c r="E39" s="235" t="n"/>
      <c r="F39" s="193" t="n"/>
      <c r="G39" s="100" t="n"/>
      <c r="H39" s="243">
        <f>H40</f>
        <v/>
      </c>
      <c r="J39" s="115" t="n"/>
    </row>
    <row r="40" ht="25.5" customHeight="1" s="170">
      <c r="A40" s="145" t="n">
        <v>26</v>
      </c>
      <c r="B40" s="214" t="n"/>
      <c r="C40" s="146" t="inlineStr">
        <is>
          <t>Прайс из СД ОП</t>
        </is>
      </c>
      <c r="D40" s="147" t="inlineStr">
        <is>
          <t>Выключатель номинальный ток 1600 А, номинальный ток отключения 25 кА</t>
        </is>
      </c>
      <c r="E40" s="221" t="inlineStr">
        <is>
          <t>шт</t>
        </is>
      </c>
      <c r="F40" s="221" t="n">
        <v>2</v>
      </c>
      <c r="G40" s="138" t="n">
        <v>188980.65</v>
      </c>
      <c r="H40" s="138">
        <f>ROUND(F40*G40,2)</f>
        <v/>
      </c>
      <c r="I40" s="143" t="n"/>
    </row>
    <row r="41">
      <c r="A41" s="193" t="inlineStr">
        <is>
          <t>Материалы</t>
        </is>
      </c>
      <c r="B41" s="234" t="n"/>
      <c r="C41" s="234" t="n"/>
      <c r="D41" s="234" t="n"/>
      <c r="E41" s="235" t="n"/>
      <c r="F41" s="193" t="n"/>
      <c r="G41" s="100" t="n"/>
      <c r="H41" s="243">
        <f>SUM(H42:H82)</f>
        <v/>
      </c>
      <c r="J41" s="115" t="n"/>
    </row>
    <row r="42" ht="25.5" customHeight="1" s="170">
      <c r="A42" s="145" t="n">
        <v>27</v>
      </c>
      <c r="B42" s="122" t="n"/>
      <c r="C42" s="146" t="inlineStr">
        <is>
          <t>Прайс из СД ОП</t>
        </is>
      </c>
      <c r="D42" s="147" t="inlineStr">
        <is>
          <t>Винтовая свая  СВС 219(8)-500(8)-5000 с антикоррозийным покрытием (с доставкой до объекта)</t>
        </is>
      </c>
      <c r="E42" s="221" t="inlineStr">
        <is>
          <t>шт</t>
        </is>
      </c>
      <c r="F42" s="221" t="n">
        <v>4</v>
      </c>
      <c r="G42" s="138" t="n">
        <v>8585.299999999999</v>
      </c>
      <c r="H42" s="138">
        <f>ROUND(F42*G42,2)</f>
        <v/>
      </c>
    </row>
    <row r="43" ht="25.5" customHeight="1" s="170">
      <c r="A43" s="145" t="n">
        <v>28</v>
      </c>
      <c r="B43" s="122" t="n"/>
      <c r="C43" s="146" t="inlineStr">
        <is>
          <t>07.2.07.04-0014</t>
        </is>
      </c>
      <c r="D43" s="147" t="inlineStr">
        <is>
          <t>Конструкции сварные индивидуальные прочие, масса сборочной единицы от 0,1 до 0,5 т</t>
        </is>
      </c>
      <c r="E43" s="221" t="inlineStr">
        <is>
          <t>т</t>
        </is>
      </c>
      <c r="F43" s="221" t="n">
        <v>0.4694</v>
      </c>
      <c r="G43" s="138" t="n">
        <v>10046</v>
      </c>
      <c r="H43" s="138">
        <f>ROUND(F43*G43,2)</f>
        <v/>
      </c>
    </row>
    <row r="44" ht="38.25" customHeight="1" s="170">
      <c r="A44" s="145" t="n">
        <v>29</v>
      </c>
      <c r="B44" s="122" t="n"/>
      <c r="C44" s="146" t="inlineStr">
        <is>
          <t>14.4.01.20-0001</t>
        </is>
      </c>
      <c r="D44" s="147" t="inlineStr">
        <is>
          <t>Грунт-краска антикоррозионная цинконаполненная на основе цинка и модифицированного химически стойкого каучука</t>
        </is>
      </c>
      <c r="E44" s="221" t="inlineStr">
        <is>
          <t>т</t>
        </is>
      </c>
      <c r="F44" s="221" t="n">
        <v>0.01626</v>
      </c>
      <c r="G44" s="138" t="n">
        <v>107351.35</v>
      </c>
      <c r="H44" s="138">
        <f>ROUND(F44*G44,2)</f>
        <v/>
      </c>
    </row>
    <row r="45">
      <c r="A45" s="145" t="n">
        <v>30</v>
      </c>
      <c r="B45" s="122" t="n"/>
      <c r="C45" s="146" t="inlineStr">
        <is>
          <t>08.3.11.01-0054</t>
        </is>
      </c>
      <c r="D45" s="147" t="inlineStr">
        <is>
          <t>Швеллеры № 16-18, марка стали Ст3сп</t>
        </is>
      </c>
      <c r="E45" s="221" t="inlineStr">
        <is>
          <t>т</t>
        </is>
      </c>
      <c r="F45" s="221" t="n">
        <v>0.2715</v>
      </c>
      <c r="G45" s="138" t="n">
        <v>5200</v>
      </c>
      <c r="H45" s="138">
        <f>ROUND(F45*G45,2)</f>
        <v/>
      </c>
    </row>
    <row r="46" ht="15" customHeight="1" s="170">
      <c r="A46" s="145" t="n">
        <v>31</v>
      </c>
      <c r="B46" s="122" t="n"/>
      <c r="C46" s="146" t="inlineStr">
        <is>
          <t>14.4.01.20-0012</t>
        </is>
      </c>
      <c r="D46" s="147" t="inlineStr">
        <is>
          <t>Грунтовка антикоррозионная цинкнаполненная быстросохнущая, преобразователь ржавчины и окалины</t>
        </is>
      </c>
      <c r="E46" s="221" t="inlineStr">
        <is>
          <t>т</t>
        </is>
      </c>
      <c r="F46" s="221" t="n">
        <v>0.012195</v>
      </c>
      <c r="G46" s="138" t="n">
        <v>86794.72</v>
      </c>
      <c r="H46" s="138">
        <f>ROUND(F46*G46,2)</f>
        <v/>
      </c>
    </row>
    <row r="47" ht="38.25" customHeight="1" s="170">
      <c r="A47" s="145" t="n">
        <v>32</v>
      </c>
      <c r="B47" s="122" t="n"/>
      <c r="C47" s="146" t="inlineStr">
        <is>
          <t>08.3.12.04-0017</t>
        </is>
      </c>
      <c r="D47" s="147" t="inlineStr">
        <is>
          <t>Просечно-вытяжной прокат горячекатаный в листах мерных размеров из стали С235, шириной: 1000 мм, толщиной 5 мм</t>
        </is>
      </c>
      <c r="E47" s="221" t="inlineStr">
        <is>
          <t>т</t>
        </is>
      </c>
      <c r="F47" s="221" t="n">
        <v>0.1304</v>
      </c>
      <c r="G47" s="138" t="n">
        <v>8007</v>
      </c>
      <c r="H47" s="138">
        <f>ROUND(F47*G47,2)</f>
        <v/>
      </c>
    </row>
    <row r="48" ht="63.75" customHeight="1" s="170">
      <c r="A48" s="145" t="n">
        <v>33</v>
      </c>
      <c r="B48" s="122" t="n"/>
      <c r="C48" s="146" t="inlineStr">
        <is>
          <t>08.4.01.02-0013</t>
        </is>
      </c>
      <c r="D48" s="147" t="inlineStr">
        <is>
          <t>Детали закладные и накладные, изготовленные с применением сварки, гнутья, сверления (пробивки) отверстий (при наличии одной из этих операций или всего перечня в любых сочетаниях), поставляемые отдельно</t>
        </is>
      </c>
      <c r="E48" s="221" t="inlineStr">
        <is>
          <t>т</t>
        </is>
      </c>
      <c r="F48" s="221" t="n">
        <v>0.0607</v>
      </c>
      <c r="G48" s="138" t="n">
        <v>6800</v>
      </c>
      <c r="H48" s="138">
        <f>ROUND(F48*G48,2)</f>
        <v/>
      </c>
    </row>
    <row r="49" ht="15" customHeight="1" s="170">
      <c r="A49" s="145" t="n">
        <v>34</v>
      </c>
      <c r="B49" s="122" t="n"/>
      <c r="C49" s="146" t="inlineStr">
        <is>
          <t>08.3.08.02-0031</t>
        </is>
      </c>
      <c r="D49" s="147" t="inlineStr">
        <is>
          <t>Сталь угловая равнополочная размером 50х50х5 мм</t>
        </is>
      </c>
      <c r="E49" s="221" t="inlineStr">
        <is>
          <t>кг</t>
        </is>
      </c>
      <c r="F49" s="221" t="n">
        <v>68</v>
      </c>
      <c r="G49" s="138" t="n">
        <v>5.43</v>
      </c>
      <c r="H49" s="138">
        <f>ROUND(F49*G49,2)</f>
        <v/>
      </c>
    </row>
    <row r="50">
      <c r="A50" s="145" t="n">
        <v>35</v>
      </c>
      <c r="B50" s="122" t="n"/>
      <c r="C50" s="146" t="inlineStr">
        <is>
          <t>01.7.03.04-0001</t>
        </is>
      </c>
      <c r="D50" s="147" t="inlineStr">
        <is>
          <t>Электроэнергия</t>
        </is>
      </c>
      <c r="E50" s="221" t="inlineStr">
        <is>
          <t>кВт-ч</t>
        </is>
      </c>
      <c r="F50" s="221" t="n">
        <v>723.84</v>
      </c>
      <c r="G50" s="138" t="n">
        <v>0.4</v>
      </c>
      <c r="H50" s="138">
        <f>ROUND(F50*G50,2)</f>
        <v/>
      </c>
    </row>
    <row r="51" ht="25.5" customHeight="1" s="170">
      <c r="A51" s="145" t="n">
        <v>36</v>
      </c>
      <c r="B51" s="122" t="n"/>
      <c r="C51" s="146" t="inlineStr">
        <is>
          <t>04.1.02.05-0006</t>
        </is>
      </c>
      <c r="D51" s="147" t="inlineStr">
        <is>
          <t>Смеси бетонные тяжелого бетона (БСТ), класс B15 (М200)</t>
        </is>
      </c>
      <c r="E51" s="221" t="inlineStr">
        <is>
          <t>м3</t>
        </is>
      </c>
      <c r="F51" s="221" t="n">
        <v>0.4466</v>
      </c>
      <c r="G51" s="138" t="n">
        <v>592.76</v>
      </c>
      <c r="H51" s="138">
        <f>ROUND(F51*G51,2)</f>
        <v/>
      </c>
    </row>
    <row r="52">
      <c r="A52" s="145" t="n">
        <v>37</v>
      </c>
      <c r="B52" s="122" t="n"/>
      <c r="C52" s="146" t="inlineStr">
        <is>
          <t>08.4.02.04-0001</t>
        </is>
      </c>
      <c r="D52" s="147" t="inlineStr">
        <is>
          <t>Каркасы металлические</t>
        </is>
      </c>
      <c r="E52" s="221" t="inlineStr">
        <is>
          <t>т</t>
        </is>
      </c>
      <c r="F52" s="221" t="n">
        <v>0.0288</v>
      </c>
      <c r="G52" s="138" t="n">
        <v>8200</v>
      </c>
      <c r="H52" s="138">
        <f>ROUND(F52*G52,2)</f>
        <v/>
      </c>
    </row>
    <row r="53">
      <c r="A53" s="145" t="n">
        <v>38</v>
      </c>
      <c r="B53" s="122" t="n"/>
      <c r="C53" s="146" t="inlineStr">
        <is>
          <t>14.4.02.09-0001</t>
        </is>
      </c>
      <c r="D53" s="147" t="inlineStr">
        <is>
          <t>Краска</t>
        </is>
      </c>
      <c r="E53" s="221" t="inlineStr">
        <is>
          <t>кг</t>
        </is>
      </c>
      <c r="F53" s="221" t="n">
        <v>7.6</v>
      </c>
      <c r="G53" s="138" t="n">
        <v>28.6</v>
      </c>
      <c r="H53" s="138">
        <f>ROUND(F53*G53,2)</f>
        <v/>
      </c>
    </row>
    <row r="54" ht="25.5" customHeight="1" s="170">
      <c r="A54" s="145" t="n">
        <v>39</v>
      </c>
      <c r="B54" s="122" t="n"/>
      <c r="C54" s="146" t="inlineStr">
        <is>
          <t>02.3.01.02-0033</t>
        </is>
      </c>
      <c r="D54" s="147" t="inlineStr">
        <is>
          <t>Песок природный обогащенный для строительных работ средний</t>
        </is>
      </c>
      <c r="E54" s="221" t="inlineStr">
        <is>
          <t>м3</t>
        </is>
      </c>
      <c r="F54" s="221" t="n">
        <v>0.7675999999999999</v>
      </c>
      <c r="G54" s="138" t="n">
        <v>70.59999999999999</v>
      </c>
      <c r="H54" s="138">
        <f>ROUND(F54*G54,2)</f>
        <v/>
      </c>
    </row>
    <row r="55">
      <c r="A55" s="145" t="n">
        <v>40</v>
      </c>
      <c r="B55" s="122" t="n"/>
      <c r="C55" s="146" t="inlineStr">
        <is>
          <t>01.2.03.03-0013</t>
        </is>
      </c>
      <c r="D55" s="147" t="inlineStr">
        <is>
          <t>Мастика битумная кровельная горячая</t>
        </is>
      </c>
      <c r="E55" s="221" t="inlineStr">
        <is>
          <t>т</t>
        </is>
      </c>
      <c r="F55" s="221" t="n">
        <v>0.014688</v>
      </c>
      <c r="G55" s="138" t="n">
        <v>3390</v>
      </c>
      <c r="H55" s="138">
        <f>ROUND(F55*G55,2)</f>
        <v/>
      </c>
      <c r="I55" s="155" t="n"/>
      <c r="J55" s="155" t="n"/>
    </row>
    <row r="56">
      <c r="A56" s="145" t="n">
        <v>41</v>
      </c>
      <c r="B56" s="122" t="n"/>
      <c r="C56" s="146" t="inlineStr">
        <is>
          <t>01.7.07.12-0022</t>
        </is>
      </c>
      <c r="D56" s="147" t="inlineStr">
        <is>
          <t>Пленка полиэтиленовая, толщина 0,2-0,5 мм</t>
        </is>
      </c>
      <c r="E56" s="221" t="inlineStr">
        <is>
          <t>м2</t>
        </is>
      </c>
      <c r="F56" s="221" t="n">
        <v>3.4272</v>
      </c>
      <c r="G56" s="138" t="n">
        <v>12.19</v>
      </c>
      <c r="H56" s="138">
        <f>ROUND(F56*G56,2)</f>
        <v/>
      </c>
    </row>
    <row r="57" ht="25.5" customHeight="1" s="170">
      <c r="A57" s="145" t="n">
        <v>42</v>
      </c>
      <c r="B57" s="122" t="n"/>
      <c r="C57" s="146" t="inlineStr">
        <is>
          <t>08.3.07.01-0076</t>
        </is>
      </c>
      <c r="D57" s="147" t="inlineStr">
        <is>
          <t>Прокат полосовой, горячекатаный, марка стали Ст3сп, ширина 50-200 мм, толщина 4-5 мм</t>
        </is>
      </c>
      <c r="E57" s="221" t="inlineStr">
        <is>
          <t>т</t>
        </is>
      </c>
      <c r="F57" s="221" t="n">
        <v>0.006</v>
      </c>
      <c r="G57" s="138" t="n">
        <v>5000</v>
      </c>
      <c r="H57" s="138">
        <f>ROUND(F57*G57,2)</f>
        <v/>
      </c>
    </row>
    <row r="58">
      <c r="A58" s="145" t="n">
        <v>43</v>
      </c>
      <c r="B58" s="122" t="n"/>
      <c r="C58" s="146" t="inlineStr">
        <is>
          <t>01.7.11.07-0032</t>
        </is>
      </c>
      <c r="D58" s="147" t="inlineStr">
        <is>
          <t>Электроды сварочные Э42, диаметр 4 мм</t>
        </is>
      </c>
      <c r="E58" s="221" t="inlineStr">
        <is>
          <t>т</t>
        </is>
      </c>
      <c r="F58" s="221" t="n">
        <v>0.0023005</v>
      </c>
      <c r="G58" s="138" t="n">
        <v>10315.01</v>
      </c>
      <c r="H58" s="138">
        <f>ROUND(F58*G58,2)</f>
        <v/>
      </c>
    </row>
    <row r="59">
      <c r="A59" s="145" t="n">
        <v>44</v>
      </c>
      <c r="B59" s="122" t="n"/>
      <c r="C59" s="146" t="inlineStr">
        <is>
          <t>01.7.11.07-0036</t>
        </is>
      </c>
      <c r="D59" s="147" t="inlineStr">
        <is>
          <t>Электроды сварочные Э46, диаметр 4 мм</t>
        </is>
      </c>
      <c r="E59" s="221" t="inlineStr">
        <is>
          <t>кг</t>
        </is>
      </c>
      <c r="F59" s="221" t="n">
        <v>1.8796</v>
      </c>
      <c r="G59" s="138" t="n">
        <v>10.75</v>
      </c>
      <c r="H59" s="138">
        <f>ROUND(F59*G59,2)</f>
        <v/>
      </c>
    </row>
    <row r="60" ht="25.5" customHeight="1" s="170">
      <c r="A60" s="145" t="n">
        <v>45</v>
      </c>
      <c r="B60" s="122" t="n"/>
      <c r="C60" s="146" t="inlineStr">
        <is>
          <t>01.3.01.06-0050</t>
        </is>
      </c>
      <c r="D60" s="147" t="inlineStr">
        <is>
          <t>Смазка универсальная тугоплавкая УТ (консталин жировой)</t>
        </is>
      </c>
      <c r="E60" s="221" t="inlineStr">
        <is>
          <t>т</t>
        </is>
      </c>
      <c r="F60" s="221" t="n">
        <v>0.001</v>
      </c>
      <c r="G60" s="138" t="n">
        <v>17500</v>
      </c>
      <c r="H60" s="138">
        <f>ROUND(F60*G60,2)</f>
        <v/>
      </c>
    </row>
    <row r="61">
      <c r="A61" s="145" t="n">
        <v>46</v>
      </c>
      <c r="B61" s="122" t="n"/>
      <c r="C61" s="146" t="inlineStr">
        <is>
          <t>01.7.20.08-0031</t>
        </is>
      </c>
      <c r="D61" s="147" t="inlineStr">
        <is>
          <t>Бязь суровая</t>
        </is>
      </c>
      <c r="E61" s="221" t="inlineStr">
        <is>
          <t>10 м2</t>
        </is>
      </c>
      <c r="F61" s="221" t="n">
        <v>0.22</v>
      </c>
      <c r="G61" s="138" t="n">
        <v>79.09999999999999</v>
      </c>
      <c r="H61" s="138">
        <f>ROUND(F61*G61,2)</f>
        <v/>
      </c>
    </row>
    <row r="62" ht="25.5" customHeight="1" s="170">
      <c r="A62" s="145" t="n">
        <v>47</v>
      </c>
      <c r="B62" s="122" t="n"/>
      <c r="C62" s="146" t="inlineStr">
        <is>
          <t>999-9950</t>
        </is>
      </c>
      <c r="D62" s="147" t="inlineStr">
        <is>
          <t>Вспомогательные ненормируемые ресурсы (2% от Оплаты труда рабочих)</t>
        </is>
      </c>
      <c r="E62" s="221" t="inlineStr">
        <is>
          <t>руб</t>
        </is>
      </c>
      <c r="F62" s="221" t="n">
        <v>17.04</v>
      </c>
      <c r="G62" s="138" t="n">
        <v>1</v>
      </c>
      <c r="H62" s="138">
        <f>ROUND(F62*G62,2)</f>
        <v/>
      </c>
    </row>
    <row r="63">
      <c r="A63" s="145" t="n">
        <v>48</v>
      </c>
      <c r="B63" s="122" t="n"/>
      <c r="C63" s="146" t="inlineStr">
        <is>
          <t>14.5.09.07-0030</t>
        </is>
      </c>
      <c r="D63" s="147" t="inlineStr">
        <is>
          <t>Растворитель Р-4</t>
        </is>
      </c>
      <c r="E63" s="221" t="inlineStr">
        <is>
          <t>кг</t>
        </is>
      </c>
      <c r="F63" s="221" t="n">
        <v>1.70469</v>
      </c>
      <c r="G63" s="138" t="n">
        <v>9.42</v>
      </c>
      <c r="H63" s="138">
        <f>ROUND(F63*G63,2)</f>
        <v/>
      </c>
    </row>
    <row r="64">
      <c r="A64" s="145" t="n">
        <v>49</v>
      </c>
      <c r="B64" s="122" t="n"/>
      <c r="C64" s="146" t="inlineStr">
        <is>
          <t>08.3.11.01-0091</t>
        </is>
      </c>
      <c r="D64" s="147" t="inlineStr">
        <is>
          <t>Швеллеры № 40, марка стали Ст0</t>
        </is>
      </c>
      <c r="E64" s="221" t="inlineStr">
        <is>
          <t>т</t>
        </is>
      </c>
      <c r="F64" s="221" t="n">
        <v>0.0009116</v>
      </c>
      <c r="G64" s="138" t="n">
        <v>4920</v>
      </c>
      <c r="H64" s="138">
        <f>ROUND(F64*G64,2)</f>
        <v/>
      </c>
    </row>
    <row r="65">
      <c r="A65" s="145" t="n">
        <v>50</v>
      </c>
      <c r="B65" s="122" t="n"/>
      <c r="C65" s="146" t="inlineStr">
        <is>
          <t>01.3.02.08-0001</t>
        </is>
      </c>
      <c r="D65" s="147" t="inlineStr">
        <is>
          <t>Кислород газообразный технический</t>
        </is>
      </c>
      <c r="E65" s="221" t="inlineStr">
        <is>
          <t>м3</t>
        </is>
      </c>
      <c r="F65" s="221" t="n">
        <v>0.643763</v>
      </c>
      <c r="G65" s="138" t="n">
        <v>6.22</v>
      </c>
      <c r="H65" s="138">
        <f>ROUND(F65*G65,2)</f>
        <v/>
      </c>
    </row>
    <row r="66">
      <c r="A66" s="145" t="n">
        <v>51</v>
      </c>
      <c r="B66" s="122" t="n"/>
      <c r="C66" s="146" t="inlineStr">
        <is>
          <t>01.3.01.03-0002</t>
        </is>
      </c>
      <c r="D66" s="147" t="inlineStr">
        <is>
          <t>Керосин для технических целей</t>
        </is>
      </c>
      <c r="E66" s="221" t="inlineStr">
        <is>
          <t>т</t>
        </is>
      </c>
      <c r="F66" s="221" t="n">
        <v>0.0014688</v>
      </c>
      <c r="G66" s="138" t="n">
        <v>2606.9</v>
      </c>
      <c r="H66" s="138">
        <f>ROUND(F66*G66,2)</f>
        <v/>
      </c>
    </row>
    <row r="67" ht="38.25" customHeight="1" s="170">
      <c r="A67" s="145" t="n">
        <v>52</v>
      </c>
      <c r="B67" s="122" t="n"/>
      <c r="C67" s="146" t="inlineStr">
        <is>
          <t>07.2.07.12-0020</t>
        </is>
      </c>
      <c r="D67" s="147" t="inlineStr">
        <is>
          <t>Элементы конструктивные зданий и сооружений с преобладанием горячекатаных профилей, средняя масса сборочной единицы от 0,1 до 0,5 т</t>
        </is>
      </c>
      <c r="E67" s="221" t="inlineStr">
        <is>
          <t>т</t>
        </is>
      </c>
      <c r="F67" s="221" t="n">
        <v>0.0004699</v>
      </c>
      <c r="G67" s="138" t="n">
        <v>7712</v>
      </c>
      <c r="H67" s="138">
        <f>ROUND(F67*G67,2)</f>
        <v/>
      </c>
    </row>
    <row r="68">
      <c r="A68" s="145" t="n">
        <v>53</v>
      </c>
      <c r="B68" s="122" t="n"/>
      <c r="C68" s="146" t="inlineStr">
        <is>
          <t>14.4.01.01-0003</t>
        </is>
      </c>
      <c r="D68" s="147" t="inlineStr">
        <is>
          <t>Грунтовка ГФ-021</t>
        </is>
      </c>
      <c r="E68" s="221" t="inlineStr">
        <is>
          <t>т</t>
        </is>
      </c>
      <c r="F68" s="221" t="n">
        <v>0.0001457</v>
      </c>
      <c r="G68" s="138" t="n">
        <v>15620</v>
      </c>
      <c r="H68" s="138">
        <f>ROUND(F68*G68,2)</f>
        <v/>
      </c>
    </row>
    <row r="69">
      <c r="A69" s="145" t="n">
        <v>54</v>
      </c>
      <c r="B69" s="122" t="n"/>
      <c r="C69" s="146" t="inlineStr">
        <is>
          <t>01.7.20.08-0071</t>
        </is>
      </c>
      <c r="D69" s="147" t="inlineStr">
        <is>
          <t>Канат пеньковый пропитанный</t>
        </is>
      </c>
      <c r="E69" s="221" t="inlineStr">
        <is>
          <t>т</t>
        </is>
      </c>
      <c r="F69" s="221" t="n">
        <v>4.7e-05</v>
      </c>
      <c r="G69" s="138" t="n">
        <v>37900</v>
      </c>
      <c r="H69" s="138">
        <f>ROUND(F69*G69,2)</f>
        <v/>
      </c>
    </row>
    <row r="70">
      <c r="A70" s="145" t="n">
        <v>55</v>
      </c>
      <c r="B70" s="122" t="n"/>
      <c r="C70" s="146" t="inlineStr">
        <is>
          <t>01.2.01.02-0054</t>
        </is>
      </c>
      <c r="D70" s="147" t="inlineStr">
        <is>
          <t>Битумы нефтяные строительные БН-90/10</t>
        </is>
      </c>
      <c r="E70" s="221" t="inlineStr">
        <is>
          <t>т</t>
        </is>
      </c>
      <c r="F70" s="221" t="n">
        <v>0.0009791999999999999</v>
      </c>
      <c r="G70" s="138" t="n">
        <v>1383.1</v>
      </c>
      <c r="H70" s="138">
        <f>ROUND(F70*G70,2)</f>
        <v/>
      </c>
    </row>
    <row r="71">
      <c r="A71" s="145" t="n">
        <v>56</v>
      </c>
      <c r="B71" s="122" t="n"/>
      <c r="C71" s="146" t="inlineStr">
        <is>
          <t>01.3.02.09-0022</t>
        </is>
      </c>
      <c r="D71" s="147" t="inlineStr">
        <is>
          <t>Пропан-бутан смесь техническая</t>
        </is>
      </c>
      <c r="E71" s="221" t="inlineStr">
        <is>
          <t>кг</t>
        </is>
      </c>
      <c r="F71" s="221" t="n">
        <v>0.192659</v>
      </c>
      <c r="G71" s="138" t="n">
        <v>6.09</v>
      </c>
      <c r="H71" s="138">
        <f>ROUND(F71*G71,2)</f>
        <v/>
      </c>
    </row>
    <row r="72">
      <c r="A72" s="145" t="n">
        <v>57</v>
      </c>
      <c r="B72" s="122" t="n"/>
      <c r="C72" s="146" t="inlineStr">
        <is>
          <t>01.7.11.07-0034</t>
        </is>
      </c>
      <c r="D72" s="147" t="inlineStr">
        <is>
          <t>Электроды сварочные Э42А, диаметр 4 мм</t>
        </is>
      </c>
      <c r="E72" s="221" t="inlineStr">
        <is>
          <t>кг</t>
        </is>
      </c>
      <c r="F72" s="221" t="n">
        <v>0.1</v>
      </c>
      <c r="G72" s="138" t="n">
        <v>10.57</v>
      </c>
      <c r="H72" s="138">
        <f>ROUND(F72*G72,2)</f>
        <v/>
      </c>
    </row>
    <row r="73">
      <c r="A73" s="145" t="n">
        <v>58</v>
      </c>
      <c r="B73" s="122" t="n"/>
      <c r="C73" s="146" t="inlineStr">
        <is>
          <t>11.2.13.04-0012</t>
        </is>
      </c>
      <c r="D73" s="147" t="inlineStr">
        <is>
          <t>Щиты из досок, толщина 40 мм</t>
        </is>
      </c>
      <c r="E73" s="221" t="inlineStr">
        <is>
          <t>м2</t>
        </is>
      </c>
      <c r="F73" s="221" t="n">
        <v>0.01584</v>
      </c>
      <c r="G73" s="138" t="n">
        <v>57.63</v>
      </c>
      <c r="H73" s="138">
        <f>ROUND(F73*G73,2)</f>
        <v/>
      </c>
    </row>
    <row r="74" ht="25.5" customHeight="1" s="170">
      <c r="A74" s="145" t="n">
        <v>59</v>
      </c>
      <c r="B74" s="122" t="n"/>
      <c r="C74" s="146" t="inlineStr">
        <is>
          <t>11.1.03.01-0077</t>
        </is>
      </c>
      <c r="D74" s="147" t="inlineStr">
        <is>
          <t>Бруски обрезные, хвойных пород, длина 4-6,5 м, ширина 75-150 мм, толщина 40-75 мм, сорт I</t>
        </is>
      </c>
      <c r="E74" s="221" t="inlineStr">
        <is>
          <t>м3</t>
        </is>
      </c>
      <c r="F74" s="221" t="n">
        <v>0.000484</v>
      </c>
      <c r="G74" s="138" t="n">
        <v>1700</v>
      </c>
      <c r="H74" s="138">
        <f>ROUND(F74*G74,2)</f>
        <v/>
      </c>
    </row>
    <row r="75">
      <c r="A75" s="145" t="n">
        <v>60</v>
      </c>
      <c r="B75" s="122" t="n"/>
      <c r="C75" s="146" t="inlineStr">
        <is>
          <t>01.7.07.12-0024</t>
        </is>
      </c>
      <c r="D75" s="147" t="inlineStr">
        <is>
          <t>Пленка полиэтиленовая, толщина 0,15 мм</t>
        </is>
      </c>
      <c r="E75" s="221" t="inlineStr">
        <is>
          <t>м2</t>
        </is>
      </c>
      <c r="F75" s="221" t="n">
        <v>0.132</v>
      </c>
      <c r="G75" s="138" t="n">
        <v>3.62</v>
      </c>
      <c r="H75" s="138">
        <f>ROUND(F75*G75,2)</f>
        <v/>
      </c>
    </row>
    <row r="76" ht="38.25" customHeight="1" s="170">
      <c r="A76" s="145" t="n">
        <v>61</v>
      </c>
      <c r="B76" s="122" t="n"/>
      <c r="C76" s="146" t="inlineStr">
        <is>
          <t>08.2.02.11-0007</t>
        </is>
      </c>
      <c r="D76" s="147" t="inlineStr">
        <is>
          <t>Канат двойной свивки ТК, конструкции 6х19(1+6+12)+1 о.с., оцинкованный, из проволок марки В, маркировочная группа 1770 н/мм2, диаметр 5,5 мм</t>
        </is>
      </c>
      <c r="E76" s="221" t="inlineStr">
        <is>
          <t>10 м</t>
        </is>
      </c>
      <c r="F76" s="221" t="n">
        <v>0.008787100000000001</v>
      </c>
      <c r="G76" s="138" t="n">
        <v>50.24</v>
      </c>
      <c r="H76" s="138">
        <f>ROUND(F76*G76,2)</f>
        <v/>
      </c>
    </row>
    <row r="77" ht="25.5" customHeight="1" s="170">
      <c r="A77" s="145" t="n">
        <v>62</v>
      </c>
      <c r="B77" s="122" t="n"/>
      <c r="C77" s="146" t="inlineStr">
        <is>
          <t>08.3.03.06-0002</t>
        </is>
      </c>
      <c r="D77" s="147" t="inlineStr">
        <is>
          <t>Проволока горячекатаная в мотках, диаметр 6,3-6,5 мм</t>
        </is>
      </c>
      <c r="E77" s="221" t="inlineStr">
        <is>
          <t>т</t>
        </is>
      </c>
      <c r="F77" s="221" t="n">
        <v>5.9e-05</v>
      </c>
      <c r="G77" s="138" t="n">
        <v>4455.2</v>
      </c>
      <c r="H77" s="138">
        <f>ROUND(F77*G77,2)</f>
        <v/>
      </c>
    </row>
    <row r="78" ht="25.5" customHeight="1" s="170">
      <c r="A78" s="145" t="n">
        <v>63</v>
      </c>
      <c r="B78" s="122" t="n"/>
      <c r="C78" s="146" t="inlineStr">
        <is>
          <t>11.1.03.06-0095</t>
        </is>
      </c>
      <c r="D78" s="147" t="inlineStr">
        <is>
          <t>Доска обрезная, хвойных пород, ширина 75-150 мм, толщина 44 мм и более, длина 4-6,5 м, сорт III</t>
        </is>
      </c>
      <c r="E78" s="221" t="inlineStr">
        <is>
          <t>м3</t>
        </is>
      </c>
      <c r="F78" s="221" t="n">
        <v>0.000176</v>
      </c>
      <c r="G78" s="138" t="n">
        <v>1056</v>
      </c>
      <c r="H78" s="138">
        <f>ROUND(F78*G78,2)</f>
        <v/>
      </c>
    </row>
    <row r="79">
      <c r="A79" s="145" t="n">
        <v>64</v>
      </c>
      <c r="B79" s="122" t="n"/>
      <c r="C79" s="146" t="inlineStr">
        <is>
          <t>01.7.15.06-0111</t>
        </is>
      </c>
      <c r="D79" s="147" t="inlineStr">
        <is>
          <t>Гвозди строительные</t>
        </is>
      </c>
      <c r="E79" s="221" t="inlineStr">
        <is>
          <t>т</t>
        </is>
      </c>
      <c r="F79" s="221" t="n">
        <v>1.35e-05</v>
      </c>
      <c r="G79" s="138" t="n">
        <v>11978</v>
      </c>
      <c r="H79" s="138">
        <f>ROUND(F79*G79,2)</f>
        <v/>
      </c>
    </row>
    <row r="80">
      <c r="A80" s="145" t="n">
        <v>65</v>
      </c>
      <c r="B80" s="122" t="n"/>
      <c r="C80" s="146" t="inlineStr">
        <is>
          <t>03.1.02.03-0011</t>
        </is>
      </c>
      <c r="D80" s="147" t="inlineStr">
        <is>
          <t>Известь строительная негашеная комовая, сорт I</t>
        </is>
      </c>
      <c r="E80" s="221" t="inlineStr">
        <is>
          <t>т</t>
        </is>
      </c>
      <c r="F80" s="221" t="n">
        <v>4.4e-05</v>
      </c>
      <c r="G80" s="138" t="n">
        <v>734.5</v>
      </c>
      <c r="H80" s="138">
        <f>ROUND(F80*G80,2)</f>
        <v/>
      </c>
    </row>
    <row r="81">
      <c r="A81" s="145" t="n">
        <v>66</v>
      </c>
      <c r="B81" s="122" t="n"/>
      <c r="C81" s="146" t="inlineStr">
        <is>
          <t>01.7.20.08-0051</t>
        </is>
      </c>
      <c r="D81" s="147" t="inlineStr">
        <is>
          <t>Ветошь</t>
        </is>
      </c>
      <c r="E81" s="221" t="inlineStr">
        <is>
          <t>кг</t>
        </is>
      </c>
      <c r="F81" s="221" t="n">
        <v>0.00612</v>
      </c>
      <c r="G81" s="138" t="n">
        <v>1.82</v>
      </c>
      <c r="H81" s="138">
        <f>ROUND(F81*G81,2)</f>
        <v/>
      </c>
    </row>
    <row r="82">
      <c r="A82" s="145" t="n">
        <v>67</v>
      </c>
      <c r="B82" s="122" t="n"/>
      <c r="C82" s="146" t="inlineStr">
        <is>
          <t>01.7.03.01-0001</t>
        </is>
      </c>
      <c r="D82" s="147" t="inlineStr">
        <is>
          <t>Вода</t>
        </is>
      </c>
      <c r="E82" s="221" t="inlineStr">
        <is>
          <t>м3</t>
        </is>
      </c>
      <c r="F82" s="221" t="n">
        <v>0.003212</v>
      </c>
      <c r="G82" s="138" t="n">
        <v>2.44</v>
      </c>
      <c r="H82" s="138">
        <f>ROUND(F82*G82,2)</f>
        <v/>
      </c>
    </row>
    <row r="83">
      <c r="J83" s="123" t="n"/>
    </row>
    <row r="85">
      <c r="B85" s="172" t="inlineStr">
        <is>
          <t>Составил ______________________  Е. М. Добровольская</t>
        </is>
      </c>
    </row>
    <row r="86">
      <c r="B86" s="84" t="inlineStr">
        <is>
          <t xml:space="preserve">                         (подпись, инициалы, фамилия)</t>
        </is>
      </c>
    </row>
    <row r="88">
      <c r="B88" s="172" t="inlineStr">
        <is>
          <t>Проверил ______________________        А.В. Костянецкая</t>
        </is>
      </c>
    </row>
    <row r="89">
      <c r="B89" s="84" t="inlineStr">
        <is>
          <t xml:space="preserve">                        (подпись, инициалы, фамилия)</t>
        </is>
      </c>
    </row>
  </sheetData>
  <mergeCells count="15">
    <mergeCell ref="A39:E39"/>
    <mergeCell ref="A3:H3"/>
    <mergeCell ref="A8:A9"/>
    <mergeCell ref="A20:E20"/>
    <mergeCell ref="C8:C9"/>
    <mergeCell ref="E8:E9"/>
    <mergeCell ref="F8:F9"/>
    <mergeCell ref="A2:H2"/>
    <mergeCell ref="A41:E41"/>
    <mergeCell ref="A11:E11"/>
    <mergeCell ref="D8:D9"/>
    <mergeCell ref="B8:B9"/>
    <mergeCell ref="A5:H5"/>
    <mergeCell ref="G8:H8"/>
    <mergeCell ref="A18:E18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4.xml><?xml version="1.0" encoding="utf-8"?>
<worksheet xmlns="http://schemas.openxmlformats.org/spreadsheetml/2006/main">
  <sheetPr codeName="Лист4">
    <outlinePr summaryBelow="1" summaryRight="1"/>
    <pageSetUpPr fitToPage="1"/>
  </sheetPr>
  <dimension ref="B1:L50"/>
  <sheetViews>
    <sheetView view="pageBreakPreview" topLeftCell="A31" workbookViewId="0">
      <selection activeCell="D46" sqref="D46"/>
    </sheetView>
  </sheetViews>
  <sheetFormatPr baseColWidth="8" defaultRowHeight="15"/>
  <cols>
    <col width="4.140625" customWidth="1" style="170" min="1" max="1"/>
    <col width="36.28515625" customWidth="1" style="170" min="2" max="2"/>
    <col width="18.85546875" customWidth="1" style="170" min="3" max="3"/>
    <col width="18.28515625" customWidth="1" style="170" min="4" max="4"/>
    <col width="18.85546875" customWidth="1" style="170" min="5" max="5"/>
    <col width="9.140625" customWidth="1" style="170" min="6" max="6"/>
    <col width="12.85546875" customWidth="1" style="170" min="7" max="7"/>
    <col width="9.140625" customWidth="1" style="170" min="8" max="11"/>
    <col width="13.5703125" customWidth="1" style="170" min="12" max="12"/>
    <col width="9.140625" customWidth="1" style="170" min="13" max="13"/>
  </cols>
  <sheetData>
    <row r="1">
      <c r="B1" s="161" t="n"/>
      <c r="C1" s="161" t="n"/>
      <c r="D1" s="161" t="n"/>
      <c r="E1" s="161" t="n"/>
    </row>
    <row r="2">
      <c r="B2" s="161" t="n"/>
      <c r="C2" s="161" t="n"/>
      <c r="D2" s="161" t="n"/>
      <c r="E2" s="220" t="inlineStr">
        <is>
          <t>Приложение № 4</t>
        </is>
      </c>
    </row>
    <row r="3">
      <c r="B3" s="161" t="n"/>
      <c r="C3" s="161" t="n"/>
      <c r="D3" s="161" t="n"/>
      <c r="E3" s="161" t="n"/>
    </row>
    <row r="4">
      <c r="B4" s="161" t="n"/>
      <c r="C4" s="161" t="n"/>
      <c r="D4" s="161" t="n"/>
      <c r="E4" s="161" t="n"/>
    </row>
    <row r="5">
      <c r="B5" s="197" t="inlineStr">
        <is>
          <t>Ресурсная модель</t>
        </is>
      </c>
    </row>
    <row r="6">
      <c r="B6" s="18" t="n"/>
      <c r="C6" s="161" t="n"/>
      <c r="D6" s="161" t="n"/>
      <c r="E6" s="161" t="n"/>
    </row>
    <row r="7" ht="39.75" customHeight="1" s="170">
      <c r="B7" s="198">
        <f>'Прил.1 Сравнит табл'!B7</f>
        <v/>
      </c>
    </row>
    <row r="8">
      <c r="B8" s="199">
        <f>'Прил.1 Сравнит табл'!B9</f>
        <v/>
      </c>
    </row>
    <row r="9">
      <c r="B9" s="18" t="n"/>
      <c r="C9" s="161" t="n"/>
      <c r="D9" s="161" t="n"/>
      <c r="E9" s="161" t="n"/>
    </row>
    <row r="10" ht="51" customHeight="1" s="170">
      <c r="B10" s="200" t="inlineStr">
        <is>
          <t>Наименование</t>
        </is>
      </c>
      <c r="C10" s="200" t="inlineStr">
        <is>
          <t>Сметная стоимость в ценах на 01.01.2023
 (руб.)</t>
        </is>
      </c>
      <c r="D10" s="200" t="inlineStr">
        <is>
          <t>Удельный вес, 
(в СМР)</t>
        </is>
      </c>
      <c r="E10" s="200" t="inlineStr">
        <is>
          <t>Удельный вес, % 
(от всего по РМ)</t>
        </is>
      </c>
    </row>
    <row r="11">
      <c r="B11" s="28" t="inlineStr">
        <is>
          <t>Оплата труда рабочих</t>
        </is>
      </c>
      <c r="C11" s="32">
        <f>'Прил.5 Расчет СМР и ОБ'!J14</f>
        <v/>
      </c>
      <c r="D11" s="30">
        <f>C11/$C$24</f>
        <v/>
      </c>
      <c r="E11" s="30">
        <f>C11/$C$40</f>
        <v/>
      </c>
    </row>
    <row r="12">
      <c r="B12" s="28" t="inlineStr">
        <is>
          <t>Эксплуатация машин основных</t>
        </is>
      </c>
      <c r="C12" s="32">
        <f>'Прил.5 Расчет СМР и ОБ'!J21</f>
        <v/>
      </c>
      <c r="D12" s="30">
        <f>C12/$C$24</f>
        <v/>
      </c>
      <c r="E12" s="30">
        <f>C12/$C$40</f>
        <v/>
      </c>
    </row>
    <row r="13">
      <c r="B13" s="28" t="inlineStr">
        <is>
          <t>Эксплуатация машин прочих</t>
        </is>
      </c>
      <c r="C13" s="32">
        <f>'Прил.5 Расчет СМР и ОБ'!J38</f>
        <v/>
      </c>
      <c r="D13" s="30">
        <f>C13/$C$24</f>
        <v/>
      </c>
      <c r="E13" s="30">
        <f>C13/$C$40</f>
        <v/>
      </c>
    </row>
    <row r="14">
      <c r="B14" s="28" t="inlineStr">
        <is>
          <t>ЭКСПЛУАТАЦИЯ МАШИН, ВСЕГО:</t>
        </is>
      </c>
      <c r="C14" s="32">
        <f>C13+C12</f>
        <v/>
      </c>
      <c r="D14" s="30">
        <f>C14/$C$24</f>
        <v/>
      </c>
      <c r="E14" s="30">
        <f>C14/$C$40</f>
        <v/>
      </c>
    </row>
    <row r="15">
      <c r="B15" s="28" t="inlineStr">
        <is>
          <t>в том числе зарплата машинистов</t>
        </is>
      </c>
      <c r="C15" s="32">
        <f>'Прил.5 Расчет СМР и ОБ'!J16</f>
        <v/>
      </c>
      <c r="D15" s="30">
        <f>C15/$C$24</f>
        <v/>
      </c>
      <c r="E15" s="30">
        <f>C15/$C$40</f>
        <v/>
      </c>
    </row>
    <row r="16">
      <c r="B16" s="28" t="inlineStr">
        <is>
          <t>Материалы основные</t>
        </is>
      </c>
      <c r="C16" s="32">
        <f>'Прил.5 Расчет СМР и ОБ'!J55</f>
        <v/>
      </c>
      <c r="D16" s="30">
        <f>C16/$C$24</f>
        <v/>
      </c>
      <c r="E16" s="30">
        <f>C16/$C$40</f>
        <v/>
      </c>
    </row>
    <row r="17">
      <c r="B17" s="28" t="inlineStr">
        <is>
          <t>Материалы прочие</t>
        </is>
      </c>
      <c r="C17" s="32">
        <f>'Прил.5 Расчет СМР и ОБ'!J91</f>
        <v/>
      </c>
      <c r="D17" s="30">
        <f>C17/$C$24</f>
        <v/>
      </c>
      <c r="E17" s="30">
        <f>C17/$C$40</f>
        <v/>
      </c>
      <c r="G17" s="247" t="n"/>
    </row>
    <row r="18">
      <c r="B18" s="28" t="inlineStr">
        <is>
          <t>МАТЕРИАЛЫ, ВСЕГО:</t>
        </is>
      </c>
      <c r="C18" s="32">
        <f>C17+C16</f>
        <v/>
      </c>
      <c r="D18" s="30">
        <f>C18/$C$24</f>
        <v/>
      </c>
      <c r="E18" s="30">
        <f>C18/$C$40</f>
        <v/>
      </c>
    </row>
    <row r="19">
      <c r="B19" s="28" t="inlineStr">
        <is>
          <t>ИТОГО</t>
        </is>
      </c>
      <c r="C19" s="32">
        <f>C18+C14+C11</f>
        <v/>
      </c>
      <c r="D19" s="30" t="n"/>
      <c r="E19" s="28" t="n"/>
    </row>
    <row r="20">
      <c r="B20" s="28" t="inlineStr">
        <is>
          <t>Сметная прибыль, руб.</t>
        </is>
      </c>
      <c r="C20" s="32">
        <f>ROUND(C21*(C11+C15),2)</f>
        <v/>
      </c>
      <c r="D20" s="30">
        <f>C20/$C$24</f>
        <v/>
      </c>
      <c r="E20" s="30">
        <f>C20/$C$40</f>
        <v/>
      </c>
    </row>
    <row r="21">
      <c r="B21" s="28" t="inlineStr">
        <is>
          <t>Сметная прибыль, %</t>
        </is>
      </c>
      <c r="C21" s="33">
        <f>'Прил.5 Расчет СМР и ОБ'!E95</f>
        <v/>
      </c>
      <c r="D21" s="30" t="n"/>
      <c r="E21" s="28" t="n"/>
    </row>
    <row r="22">
      <c r="B22" s="28" t="inlineStr">
        <is>
          <t>Накладные расходы, руб.</t>
        </is>
      </c>
      <c r="C22" s="32">
        <f>ROUND(C23*(C11+C15),2)</f>
        <v/>
      </c>
      <c r="D22" s="30">
        <f>C22/$C$24</f>
        <v/>
      </c>
      <c r="E22" s="30">
        <f>C22/$C$40</f>
        <v/>
      </c>
    </row>
    <row r="23">
      <c r="B23" s="28" t="inlineStr">
        <is>
          <t>Накладные расходы, %</t>
        </is>
      </c>
      <c r="C23" s="33">
        <f>'Прил.5 Расчет СМР и ОБ'!E94</f>
        <v/>
      </c>
      <c r="D23" s="30" t="n"/>
      <c r="E23" s="28" t="n"/>
    </row>
    <row r="24">
      <c r="B24" s="28" t="inlineStr">
        <is>
          <t>ВСЕГО СМР с НР и СП</t>
        </is>
      </c>
      <c r="C24" s="32">
        <f>C19+C20+C22</f>
        <v/>
      </c>
      <c r="D24" s="30">
        <f>C24/$C$24</f>
        <v/>
      </c>
      <c r="E24" s="30">
        <f>C24/$C$40</f>
        <v/>
      </c>
    </row>
    <row r="25" ht="25.5" customHeight="1" s="170">
      <c r="B25" s="28" t="inlineStr">
        <is>
          <t>ВСЕГО стоимость оборудования, в том числе</t>
        </is>
      </c>
      <c r="C25" s="32">
        <f>'Прил.5 Расчет СМР и ОБ'!J45</f>
        <v/>
      </c>
      <c r="D25" s="30" t="n"/>
      <c r="E25" s="30">
        <f>C25/$C$40</f>
        <v/>
      </c>
    </row>
    <row r="26" ht="25.5" customHeight="1" s="170">
      <c r="B26" s="28" t="inlineStr">
        <is>
          <t>стоимость оборудования технологического</t>
        </is>
      </c>
      <c r="C26" s="32">
        <f>'Прил.5 Расчет СМР и ОБ'!J46</f>
        <v/>
      </c>
      <c r="D26" s="30" t="n"/>
      <c r="E26" s="30">
        <f>C26/$C$40</f>
        <v/>
      </c>
    </row>
    <row r="27">
      <c r="B27" s="28" t="inlineStr">
        <is>
          <t>ИТОГО (СМР + ОБОРУДОВАНИЕ)</t>
        </is>
      </c>
      <c r="C27" s="29">
        <f>C24+C25</f>
        <v/>
      </c>
      <c r="D27" s="30" t="n"/>
      <c r="E27" s="30">
        <f>C27/$C$40</f>
        <v/>
      </c>
    </row>
    <row r="28" ht="33" customHeight="1" s="170">
      <c r="B28" s="28" t="inlineStr">
        <is>
          <t>ПРОЧ. ЗАТР., УЧТЕННЫЕ ПОКАЗАТЕЛЕМ,  в том числе</t>
        </is>
      </c>
      <c r="C28" s="28" t="n"/>
      <c r="D28" s="28" t="n"/>
      <c r="E28" s="28" t="n"/>
    </row>
    <row r="29" ht="25.5" customHeight="1" s="170">
      <c r="B29" s="28" t="inlineStr">
        <is>
          <t>Временные здания и сооружения - 2,5%</t>
        </is>
      </c>
      <c r="C29" s="29">
        <f>ROUND(C24*2.5%,2)</f>
        <v/>
      </c>
      <c r="D29" s="28" t="n"/>
      <c r="E29" s="30" t="n">
        <v>0.025</v>
      </c>
    </row>
    <row r="30" ht="38.25" customHeight="1" s="170">
      <c r="B30" s="28" t="inlineStr">
        <is>
          <t>Дополнительные затраты при производстве строительно-монтажных работ в зимнее время - 2,1%</t>
        </is>
      </c>
      <c r="C30" s="29">
        <f>ROUND((C24+C29)*2.1%,2)</f>
        <v/>
      </c>
      <c r="D30" s="28" t="n"/>
      <c r="E30" s="30" t="n">
        <v>0.021</v>
      </c>
    </row>
    <row r="31">
      <c r="B31" s="28" t="inlineStr">
        <is>
          <t xml:space="preserve">Пусконаладочные работы </t>
        </is>
      </c>
      <c r="C31" s="29" t="n">
        <v>328074.34</v>
      </c>
      <c r="D31" s="28" t="n"/>
      <c r="E31" s="30">
        <f>C31/$C$40</f>
        <v/>
      </c>
    </row>
    <row r="32" ht="25.5" customHeight="1" s="170">
      <c r="B32" s="28" t="inlineStr">
        <is>
          <t>Затраты по перевозке работников к месту работы и обратно</t>
        </is>
      </c>
      <c r="C32" s="29" t="n">
        <v>0</v>
      </c>
      <c r="D32" s="28" t="n"/>
      <c r="E32" s="30">
        <f>C32/$C$40</f>
        <v/>
      </c>
      <c r="G32" s="143" t="n"/>
    </row>
    <row r="33" ht="25.5" customHeight="1" s="170">
      <c r="B33" s="28" t="inlineStr">
        <is>
          <t>Затраты, связанные с осуществлением работ вахтовым методом</t>
        </is>
      </c>
      <c r="C33" s="29" t="n">
        <v>0</v>
      </c>
      <c r="D33" s="28" t="n"/>
      <c r="E33" s="30">
        <f>C33/$C$40</f>
        <v/>
      </c>
      <c r="G33" s="143" t="n"/>
    </row>
    <row r="34" ht="51" customHeight="1" s="170">
      <c r="B34" s="28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9" t="n">
        <v>0</v>
      </c>
      <c r="D34" s="28" t="n"/>
      <c r="E34" s="30">
        <f>C34/$C$40</f>
        <v/>
      </c>
      <c r="G34" s="143" t="n"/>
    </row>
    <row r="35" ht="76.5" customHeight="1" s="170">
      <c r="B35" s="28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9" t="n">
        <v>0</v>
      </c>
      <c r="D35" s="28" t="n"/>
      <c r="E35" s="30">
        <f>C35/$C$40</f>
        <v/>
      </c>
      <c r="G35" s="248" t="n"/>
    </row>
    <row r="36" ht="25.5" customHeight="1" s="170">
      <c r="B36" s="28" t="inlineStr">
        <is>
          <t>Строительный контроль и содержание службы заказчика - 2,14%</t>
        </is>
      </c>
      <c r="C36" s="29">
        <f>ROUND(SUM(C27:C35)*2.14%,2)</f>
        <v/>
      </c>
      <c r="D36" s="28" t="n"/>
      <c r="E36" s="30">
        <f>C36/$C$40</f>
        <v/>
      </c>
      <c r="G36" s="64" t="n"/>
      <c r="L36" s="20" t="n"/>
    </row>
    <row r="37">
      <c r="B37" s="28" t="inlineStr">
        <is>
          <t>Авторский надзор - 0,2%</t>
        </is>
      </c>
      <c r="C37" s="29">
        <f>ROUND(SUM(C27:C35)*0.2%,2)</f>
        <v/>
      </c>
      <c r="D37" s="28" t="n"/>
      <c r="E37" s="30">
        <f>C37/$C$40</f>
        <v/>
      </c>
      <c r="G37" s="64" t="n"/>
      <c r="L37" s="20" t="n"/>
    </row>
    <row r="38" ht="38.25" customHeight="1" s="170">
      <c r="B38" s="28" t="inlineStr">
        <is>
          <t>ИТОГО (СМР+ОБОРУДОВАНИЕ+ПРОЧ. ЗАТР., УЧТЕННЫЕ ПОКАЗАТЕЛЕМ)</t>
        </is>
      </c>
      <c r="C38" s="32">
        <f>SUM(C27:C37)</f>
        <v/>
      </c>
      <c r="D38" s="28" t="n"/>
      <c r="E38" s="30">
        <f>C38/$C$40</f>
        <v/>
      </c>
    </row>
    <row r="39" ht="13.5" customHeight="1" s="170">
      <c r="B39" s="28" t="inlineStr">
        <is>
          <t>Непредвиденные расходы</t>
        </is>
      </c>
      <c r="C39" s="32">
        <f>ROUND(C38*3%,2)</f>
        <v/>
      </c>
      <c r="D39" s="28" t="n"/>
      <c r="E39" s="30">
        <f>C39/$C$40</f>
        <v/>
      </c>
    </row>
    <row r="40">
      <c r="B40" s="28" t="inlineStr">
        <is>
          <t>ВСЕГО:</t>
        </is>
      </c>
      <c r="C40" s="32">
        <f>C39+C38</f>
        <v/>
      </c>
      <c r="D40" s="28" t="n"/>
      <c r="E40" s="30">
        <f>C40/$C$40</f>
        <v/>
      </c>
    </row>
    <row r="41">
      <c r="B41" s="28" t="inlineStr">
        <is>
          <t>ИТОГО ПОКАЗАТЕЛЬ НА ЕД. ИЗМ.</t>
        </is>
      </c>
      <c r="C41" s="32">
        <f>C40/'Прил.5 Расчет СМР и ОБ'!E98</f>
        <v/>
      </c>
      <c r="D41" s="28" t="n"/>
      <c r="E41" s="28" t="n"/>
    </row>
    <row r="42">
      <c r="B42" s="21" t="n"/>
      <c r="C42" s="161" t="n"/>
      <c r="D42" s="161" t="n"/>
      <c r="E42" s="161" t="n"/>
    </row>
    <row r="43">
      <c r="B43" s="161" t="inlineStr">
        <is>
          <t>Составил ______________________    Е. М. Добровольская</t>
        </is>
      </c>
      <c r="C43" s="162" t="n"/>
      <c r="D43" s="161" t="n"/>
      <c r="E43" s="161" t="n"/>
    </row>
    <row r="44">
      <c r="B44" s="164" t="inlineStr">
        <is>
          <t xml:space="preserve">                         (подпись, инициалы, фамилия)</t>
        </is>
      </c>
      <c r="C44" s="162" t="n"/>
      <c r="D44" s="161" t="n"/>
      <c r="E44" s="161" t="n"/>
    </row>
    <row r="45">
      <c r="B45" s="161" t="n"/>
      <c r="C45" s="162" t="n"/>
      <c r="D45" s="161" t="n"/>
      <c r="E45" s="161" t="n"/>
    </row>
    <row r="46">
      <c r="B46" s="161" t="inlineStr">
        <is>
          <t>Проверил ______________________        А.В. Костянецкая</t>
        </is>
      </c>
      <c r="C46" s="162" t="n"/>
      <c r="D46" s="161" t="n"/>
      <c r="E46" s="161" t="n"/>
    </row>
    <row r="47">
      <c r="B47" s="164" t="inlineStr">
        <is>
          <t xml:space="preserve">                        (подпись, инициалы, фамилия)</t>
        </is>
      </c>
      <c r="C47" s="162" t="n"/>
      <c r="D47" s="161" t="n"/>
      <c r="E47" s="161" t="n"/>
    </row>
    <row r="49">
      <c r="B49" s="161" t="n"/>
      <c r="C49" s="161" t="n"/>
      <c r="D49" s="161" t="n"/>
      <c r="E49" s="161" t="n"/>
    </row>
    <row r="50">
      <c r="B50" s="161" t="n"/>
      <c r="C50" s="161" t="n"/>
      <c r="D50" s="161" t="n"/>
      <c r="E50" s="161" t="n"/>
    </row>
  </sheetData>
  <mergeCells count="3">
    <mergeCell ref="B7:E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 codeName="Лист5">
    <outlinePr summaryBelow="1" summaryRight="1"/>
    <pageSetUpPr fitToPage="1"/>
  </sheetPr>
  <dimension ref="A2:N105"/>
  <sheetViews>
    <sheetView view="pageBreakPreview" zoomScale="85" workbookViewId="0">
      <selection activeCell="C105" sqref="C105"/>
    </sheetView>
  </sheetViews>
  <sheetFormatPr baseColWidth="8" defaultColWidth="9.140625" defaultRowHeight="15" outlineLevelRow="1"/>
  <cols>
    <col width="5.7109375" customWidth="1" style="162" min="1" max="1"/>
    <col width="22.5703125" customWidth="1" style="162" min="2" max="2"/>
    <col width="39.140625" customWidth="1" style="162" min="3" max="3"/>
    <col width="10.7109375" customWidth="1" style="162" min="4" max="4"/>
    <col width="12.7109375" customWidth="1" style="162" min="5" max="5"/>
    <col width="14.5703125" customWidth="1" style="162" min="6" max="6"/>
    <col width="13.42578125" customWidth="1" style="162" min="7" max="7"/>
    <col width="12.7109375" customWidth="1" style="162" min="8" max="8"/>
    <col width="14.5703125" customWidth="1" style="162" min="9" max="9"/>
    <col width="15.140625" customWidth="1" style="162" min="10" max="10"/>
    <col width="2.85546875" customWidth="1" style="162" min="11" max="11"/>
    <col width="18.7109375" customWidth="1" style="162" min="12" max="12"/>
    <col width="10.85546875" customWidth="1" style="162" min="13" max="13"/>
    <col width="9.140625" customWidth="1" style="162" min="14" max="14"/>
    <col width="9.140625" customWidth="1" style="170" min="15" max="15"/>
  </cols>
  <sheetData>
    <row r="2" ht="15.75" customHeight="1" s="170">
      <c r="I2" s="172" t="n"/>
      <c r="J2" s="65" t="inlineStr">
        <is>
          <t>Приложение №5</t>
        </is>
      </c>
    </row>
    <row r="4" ht="12.75" customFormat="1" customHeight="1" s="161">
      <c r="A4" s="197" t="inlineStr">
        <is>
          <t>Расчет стоимости СМР и оборудования</t>
        </is>
      </c>
      <c r="I4" s="197" t="n"/>
      <c r="J4" s="197" t="n"/>
    </row>
    <row r="5" ht="12.75" customFormat="1" customHeight="1" s="161">
      <c r="A5" s="197" t="n"/>
      <c r="B5" s="197" t="n"/>
      <c r="C5" s="197" t="n"/>
      <c r="D5" s="197" t="n"/>
      <c r="E5" s="197" t="n"/>
      <c r="F5" s="197" t="n"/>
      <c r="G5" s="197" t="n"/>
      <c r="H5" s="197" t="n"/>
      <c r="I5" s="197" t="n"/>
      <c r="J5" s="197" t="n"/>
    </row>
    <row r="6" ht="41.25" customFormat="1" customHeight="1" s="161">
      <c r="A6" s="107" t="inlineStr">
        <is>
          <t>Наименование разрабатываемого показателя УНЦ</t>
        </is>
      </c>
      <c r="B6" s="108" t="n"/>
      <c r="C6" s="108" t="n"/>
      <c r="D6" s="213" t="inlineStr">
        <is>
          <t>Выключатель 35 кВ с устройством фундамента, номинальный ток 2000 А, номинальный ток отключения 31,5 кА</t>
        </is>
      </c>
    </row>
    <row r="7" ht="12.75" customFormat="1" customHeight="1" s="161">
      <c r="A7" s="213">
        <f>'Прил.1 Сравнит табл'!B9</f>
        <v/>
      </c>
      <c r="I7" s="198" t="n"/>
      <c r="J7" s="198" t="n"/>
    </row>
    <row r="8" ht="12.75" customFormat="1" customHeight="1" s="161"/>
    <row r="9" ht="27" customHeight="1" s="170">
      <c r="A9" s="200" t="inlineStr">
        <is>
          <t>№ пп.</t>
        </is>
      </c>
      <c r="B9" s="200" t="inlineStr">
        <is>
          <t>Код ресурса</t>
        </is>
      </c>
      <c r="C9" s="200" t="inlineStr">
        <is>
          <t>Наименование</t>
        </is>
      </c>
      <c r="D9" s="200" t="inlineStr">
        <is>
          <t>Ед. изм.</t>
        </is>
      </c>
      <c r="E9" s="200" t="inlineStr">
        <is>
          <t>Кол-во единиц по проектным данным</t>
        </is>
      </c>
      <c r="F9" s="200" t="inlineStr">
        <is>
          <t>Сметная стоимость в ценах на 01.01.2000 (руб.)</t>
        </is>
      </c>
      <c r="G9" s="235" t="n"/>
      <c r="H9" s="200" t="inlineStr">
        <is>
          <t>Удельный вес, %</t>
        </is>
      </c>
      <c r="I9" s="200" t="inlineStr">
        <is>
          <t>Сметная стоимость в ценах на 01.01.2023 (руб.)</t>
        </is>
      </c>
      <c r="J9" s="235" t="n"/>
    </row>
    <row r="10" ht="28.5" customHeight="1" s="170">
      <c r="A10" s="237" t="n"/>
      <c r="B10" s="237" t="n"/>
      <c r="C10" s="237" t="n"/>
      <c r="D10" s="237" t="n"/>
      <c r="E10" s="237" t="n"/>
      <c r="F10" s="200" t="inlineStr">
        <is>
          <t>на ед. изм.</t>
        </is>
      </c>
      <c r="G10" s="200" t="inlineStr">
        <is>
          <t>общая</t>
        </is>
      </c>
      <c r="H10" s="237" t="n"/>
      <c r="I10" s="200" t="inlineStr">
        <is>
          <t>на ед. изм.</t>
        </is>
      </c>
      <c r="J10" s="200" t="inlineStr">
        <is>
          <t>общая</t>
        </is>
      </c>
    </row>
    <row r="11">
      <c r="A11" s="200" t="n">
        <v>1</v>
      </c>
      <c r="B11" s="200" t="n">
        <v>2</v>
      </c>
      <c r="C11" s="200" t="n">
        <v>3</v>
      </c>
      <c r="D11" s="200" t="n">
        <v>4</v>
      </c>
      <c r="E11" s="200" t="n">
        <v>5</v>
      </c>
      <c r="F11" s="200" t="n">
        <v>6</v>
      </c>
      <c r="G11" s="200" t="n">
        <v>7</v>
      </c>
      <c r="H11" s="200" t="n">
        <v>8</v>
      </c>
      <c r="I11" s="200" t="n">
        <v>9</v>
      </c>
      <c r="J11" s="200" t="n">
        <v>10</v>
      </c>
    </row>
    <row r="12">
      <c r="A12" s="200" t="n"/>
      <c r="B12" s="214" t="inlineStr">
        <is>
          <t>Затраты труда рабочих-строителей</t>
        </is>
      </c>
      <c r="C12" s="234" t="n"/>
      <c r="D12" s="234" t="n"/>
      <c r="E12" s="234" t="n"/>
      <c r="F12" s="234" t="n"/>
      <c r="G12" s="234" t="n"/>
      <c r="H12" s="235" t="n"/>
      <c r="I12" s="39" t="n"/>
      <c r="J12" s="39" t="n"/>
      <c r="L12" s="249" t="n"/>
    </row>
    <row r="13" ht="25.5" customHeight="1" s="170">
      <c r="A13" s="200" t="n">
        <v>1</v>
      </c>
      <c r="B13" s="151" t="inlineStr">
        <is>
          <t>1-3-9</t>
        </is>
      </c>
      <c r="C13" s="205" t="inlineStr">
        <is>
          <t>Затраты труда рабочих-строителей среднего разряда (3.9)</t>
        </is>
      </c>
      <c r="D13" s="200" t="inlineStr">
        <is>
          <t>чел.-ч.</t>
        </is>
      </c>
      <c r="E13" s="250">
        <f>G13/F13</f>
        <v/>
      </c>
      <c r="F13" s="152" t="n">
        <v>9.51</v>
      </c>
      <c r="G13" s="152" t="n">
        <v>1231.13</v>
      </c>
      <c r="H13" s="215">
        <f>G13/G14</f>
        <v/>
      </c>
      <c r="I13" s="152">
        <f>'ФОТр.тек.'!E13</f>
        <v/>
      </c>
      <c r="J13" s="152">
        <f>ROUND(I13*E13,2)</f>
        <v/>
      </c>
    </row>
    <row r="14" ht="25.5" customFormat="1" customHeight="1" s="162">
      <c r="A14" s="200" t="n"/>
      <c r="B14" s="200" t="n"/>
      <c r="C14" s="214" t="inlineStr">
        <is>
          <t>Итого по разделу "Затраты труда рабочих-строителей"</t>
        </is>
      </c>
      <c r="D14" s="200" t="inlineStr">
        <is>
          <t>чел.-ч.</t>
        </is>
      </c>
      <c r="E14" s="250">
        <f>SUM(E13:E13)</f>
        <v/>
      </c>
      <c r="F14" s="152" t="n"/>
      <c r="G14" s="152">
        <f>SUM(G13:G13)</f>
        <v/>
      </c>
      <c r="H14" s="215" t="n">
        <v>1</v>
      </c>
      <c r="I14" s="152" t="n"/>
      <c r="J14" s="152">
        <f>SUM(J13:J13)</f>
        <v/>
      </c>
      <c r="L14" s="73" t="n"/>
    </row>
    <row r="15" ht="14.25" customFormat="1" customHeight="1" s="162">
      <c r="A15" s="200" t="n"/>
      <c r="B15" s="205" t="inlineStr">
        <is>
          <t>Затраты труда машинистов</t>
        </is>
      </c>
      <c r="C15" s="234" t="n"/>
      <c r="D15" s="234" t="n"/>
      <c r="E15" s="234" t="n"/>
      <c r="F15" s="234" t="n"/>
      <c r="G15" s="234" t="n"/>
      <c r="H15" s="235" t="n"/>
      <c r="I15" s="39" t="n"/>
      <c r="J15" s="39" t="n"/>
      <c r="L15" s="249" t="n"/>
    </row>
    <row r="16" ht="14.25" customFormat="1" customHeight="1" s="162">
      <c r="A16" s="200" t="n">
        <v>2</v>
      </c>
      <c r="B16" s="151" t="n">
        <v>2</v>
      </c>
      <c r="C16" s="205" t="inlineStr">
        <is>
          <t>Затраты труда машинистов</t>
        </is>
      </c>
      <c r="D16" s="200" t="inlineStr">
        <is>
          <t>чел.-ч.</t>
        </is>
      </c>
      <c r="E16" s="250" t="n">
        <v>14.707944</v>
      </c>
      <c r="F16" s="152">
        <f>G16/E16</f>
        <v/>
      </c>
      <c r="G16" s="152" t="n">
        <v>194.57</v>
      </c>
      <c r="H16" s="215" t="n">
        <v>1</v>
      </c>
      <c r="I16" s="152">
        <f>ROUND(F16*'Прил. 10'!D10,2)</f>
        <v/>
      </c>
      <c r="J16" s="152">
        <f>ROUND(I16*E16,2)</f>
        <v/>
      </c>
      <c r="L16" s="61" t="n"/>
    </row>
    <row r="17" ht="14.25" customFormat="1" customHeight="1" s="162">
      <c r="A17" s="200" t="n"/>
      <c r="B17" s="214" t="inlineStr">
        <is>
          <t>Машины и механизмы</t>
        </is>
      </c>
      <c r="C17" s="234" t="n"/>
      <c r="D17" s="234" t="n"/>
      <c r="E17" s="234" t="n"/>
      <c r="F17" s="234" t="n"/>
      <c r="G17" s="234" t="n"/>
      <c r="H17" s="235" t="n"/>
      <c r="I17" s="215" t="n"/>
      <c r="J17" s="215" t="n"/>
    </row>
    <row r="18" ht="14.25" customFormat="1" customHeight="1" s="162">
      <c r="A18" s="200" t="n"/>
      <c r="B18" s="205" t="inlineStr">
        <is>
          <t>Основные машины и механизмы</t>
        </is>
      </c>
      <c r="C18" s="234" t="n"/>
      <c r="D18" s="234" t="n"/>
      <c r="E18" s="234" t="n"/>
      <c r="F18" s="234" t="n"/>
      <c r="G18" s="234" t="n"/>
      <c r="H18" s="235" t="n"/>
      <c r="I18" s="39" t="n"/>
      <c r="J18" s="39" t="n"/>
    </row>
    <row r="19" ht="25.5" customFormat="1" customHeight="1" s="162">
      <c r="A19" s="200" t="n">
        <v>3</v>
      </c>
      <c r="B19" s="151" t="inlineStr">
        <is>
          <t>91.05.05-015</t>
        </is>
      </c>
      <c r="C19" s="205" t="inlineStr">
        <is>
          <t>Краны на автомобильном ходу, грузоподъемность 16 т</t>
        </is>
      </c>
      <c r="D19" s="200" t="inlineStr">
        <is>
          <t>маш.час</t>
        </is>
      </c>
      <c r="E19" s="250" t="n">
        <v>11.205846</v>
      </c>
      <c r="F19" s="152" t="n">
        <v>115.4</v>
      </c>
      <c r="G19" s="152">
        <f>ROUND(E19*F19,2)</f>
        <v/>
      </c>
      <c r="H19" s="215">
        <f>G19/$G$39</f>
        <v/>
      </c>
      <c r="I19" s="152">
        <f>ROUND(F19*'Прил. 10'!$D$11,2)</f>
        <v/>
      </c>
      <c r="J19" s="152">
        <f>ROUND(I19*E19,2)</f>
        <v/>
      </c>
    </row>
    <row r="20" ht="38.25" customFormat="1" customHeight="1" s="162">
      <c r="A20" s="200" t="n">
        <v>4</v>
      </c>
      <c r="B20" s="151" t="inlineStr">
        <is>
          <t>91.02.04-036</t>
        </is>
      </c>
      <c r="C20" s="205" t="inlineStr">
        <is>
          <t>Установки буровые для бурения скважин под сваи шнекового бурения, глубиной до 30 м, диаметром до 600 мм</t>
        </is>
      </c>
      <c r="D20" s="200" t="inlineStr">
        <is>
          <t>маш.час</t>
        </is>
      </c>
      <c r="E20" s="250" t="n">
        <v>1.134984</v>
      </c>
      <c r="F20" s="152" t="n">
        <v>218.17</v>
      </c>
      <c r="G20" s="152">
        <f>ROUND(E20*F20,2)</f>
        <v/>
      </c>
      <c r="H20" s="215">
        <f>G20/$G$39</f>
        <v/>
      </c>
      <c r="I20" s="152">
        <f>ROUND(F20*'Прил. 10'!$D$11,2)</f>
        <v/>
      </c>
      <c r="J20" s="152">
        <f>ROUND(I20*E20,2)</f>
        <v/>
      </c>
    </row>
    <row r="21" ht="14.25" customFormat="1" customHeight="1" s="162">
      <c r="A21" s="200" t="n">
        <v>5</v>
      </c>
      <c r="B21" s="151" t="n"/>
      <c r="C21" s="205" t="inlineStr">
        <is>
          <t>Итого основные машины и механизмы</t>
        </is>
      </c>
      <c r="D21" s="200" t="n"/>
      <c r="E21" s="250" t="n"/>
      <c r="F21" s="152" t="n"/>
      <c r="G21" s="152">
        <f>SUM(G20:G20)+G19</f>
        <v/>
      </c>
      <c r="H21" s="215">
        <f>G21/G39</f>
        <v/>
      </c>
      <c r="I21" s="152" t="n"/>
      <c r="J21" s="152">
        <f>SUM(J19:J20)</f>
        <v/>
      </c>
      <c r="L21" s="251" t="n"/>
    </row>
    <row r="22" hidden="1" outlineLevel="1" ht="25.5" customFormat="1" customHeight="1" s="162">
      <c r="A22" s="200" t="n">
        <v>6</v>
      </c>
      <c r="B22" s="151" t="inlineStr">
        <is>
          <t>91.14.02-001</t>
        </is>
      </c>
      <c r="C22" s="205" t="inlineStr">
        <is>
          <t>Автомобили бортовые, грузоподъемность до 5 т</t>
        </is>
      </c>
      <c r="D22" s="200" t="inlineStr">
        <is>
          <t>маш.час</t>
        </is>
      </c>
      <c r="E22" s="250" t="n">
        <v>2.102454</v>
      </c>
      <c r="F22" s="152" t="n">
        <v>65.70999999999999</v>
      </c>
      <c r="G22" s="152">
        <f>ROUND(E22*F22,2)</f>
        <v/>
      </c>
      <c r="H22" s="215">
        <f>G22/$G$39</f>
        <v/>
      </c>
      <c r="I22" s="152">
        <f>ROUND(F22*'Прил. 10'!$D$11,2)</f>
        <v/>
      </c>
      <c r="J22" s="152">
        <f>ROUND(I22*E22,2)</f>
        <v/>
      </c>
      <c r="L22" s="251" t="n"/>
    </row>
    <row r="23" hidden="1" outlineLevel="1" ht="25.5" customFormat="1" customHeight="1" s="162">
      <c r="A23" s="200" t="n">
        <v>7</v>
      </c>
      <c r="B23" s="151" t="inlineStr">
        <is>
          <t>91.17.04-171</t>
        </is>
      </c>
      <c r="C23" s="205" t="inlineStr">
        <is>
          <t>Преобразователи сварочные номинальным сварочным током 315-500 А</t>
        </is>
      </c>
      <c r="D23" s="200" t="inlineStr">
        <is>
          <t>маш.час</t>
        </is>
      </c>
      <c r="E23" s="250" t="n">
        <v>2.894584</v>
      </c>
      <c r="F23" s="152" t="n">
        <v>12.31</v>
      </c>
      <c r="G23" s="152">
        <f>ROUND(E23*F23,2)</f>
        <v/>
      </c>
      <c r="H23" s="215">
        <f>G23/$G$39</f>
        <v/>
      </c>
      <c r="I23" s="152">
        <f>ROUND(F23*'Прил. 10'!$D$11,2)</f>
        <v/>
      </c>
      <c r="J23" s="152">
        <f>ROUND(I23*E23,2)</f>
        <v/>
      </c>
      <c r="L23" s="251" t="n"/>
    </row>
    <row r="24" hidden="1" outlineLevel="1" ht="38.25" customFormat="1" customHeight="1" s="162">
      <c r="A24" s="200" t="n">
        <v>8</v>
      </c>
      <c r="B24" s="151" t="inlineStr">
        <is>
          <t>91.21.01-012</t>
        </is>
      </c>
      <c r="C24" s="205" t="inlineStr">
        <is>
          <t>Агрегаты окрасочные высокого давления для окраски поверхностей конструкций, мощность 1 кВт</t>
        </is>
      </c>
      <c r="D24" s="200" t="inlineStr">
        <is>
          <t>маш.час</t>
        </is>
      </c>
      <c r="E24" s="250" t="n">
        <v>2.39835</v>
      </c>
      <c r="F24" s="152" t="n">
        <v>6.82</v>
      </c>
      <c r="G24" s="152">
        <f>ROUND(E24*F24,2)</f>
        <v/>
      </c>
      <c r="H24" s="215">
        <f>G24/$G$39</f>
        <v/>
      </c>
      <c r="I24" s="152">
        <f>ROUND(F24*'Прил. 10'!$D$11,2)</f>
        <v/>
      </c>
      <c r="J24" s="152">
        <f>ROUND(I24*E24,2)</f>
        <v/>
      </c>
      <c r="L24" s="251" t="n"/>
    </row>
    <row r="25" hidden="1" outlineLevel="1" ht="38.25" customFormat="1" customHeight="1" s="162">
      <c r="A25" s="200" t="n">
        <v>9</v>
      </c>
      <c r="B25" s="151" t="inlineStr">
        <is>
          <t>91.17.04-036</t>
        </is>
      </c>
      <c r="C25" s="205" t="inlineStr">
        <is>
          <t>Агрегаты сварочные передвижные с дизельным двигателем, номинальный сварочный ток 250-400 А</t>
        </is>
      </c>
      <c r="D25" s="200" t="inlineStr">
        <is>
          <t>маш.час</t>
        </is>
      </c>
      <c r="E25" s="250" t="n">
        <v>0.993426</v>
      </c>
      <c r="F25" s="152" t="n">
        <v>14</v>
      </c>
      <c r="G25" s="152">
        <f>ROUND(E25*F25,2)</f>
        <v/>
      </c>
      <c r="H25" s="215">
        <f>G25/$G$39</f>
        <v/>
      </c>
      <c r="I25" s="152">
        <f>ROUND(F25*'Прил. 10'!$D$11,2)</f>
        <v/>
      </c>
      <c r="J25" s="152">
        <f>ROUND(I25*E25,2)</f>
        <v/>
      </c>
      <c r="L25" s="251" t="n"/>
    </row>
    <row r="26" hidden="1" outlineLevel="1" ht="14.25" customFormat="1" customHeight="1" s="162">
      <c r="A26" s="200" t="n">
        <v>10</v>
      </c>
      <c r="B26" s="151" t="inlineStr">
        <is>
          <t>91.05.01-017</t>
        </is>
      </c>
      <c r="C26" s="205" t="inlineStr">
        <is>
          <t>Краны башенные, грузоподъемность 8 т</t>
        </is>
      </c>
      <c r="D26" s="200" t="inlineStr">
        <is>
          <t>маш.час</t>
        </is>
      </c>
      <c r="E26" s="250" t="n">
        <v>0.114664</v>
      </c>
      <c r="F26" s="152" t="n">
        <v>86.40000000000001</v>
      </c>
      <c r="G26" s="152">
        <f>ROUND(E26*F26,2)</f>
        <v/>
      </c>
      <c r="H26" s="215">
        <f>G26/$G$39</f>
        <v/>
      </c>
      <c r="I26" s="152">
        <f>ROUND(F26*'Прил. 10'!$D$11,2)</f>
        <v/>
      </c>
      <c r="J26" s="152">
        <f>ROUND(I26*E26,2)</f>
        <v/>
      </c>
      <c r="L26" s="251" t="n"/>
    </row>
    <row r="27" hidden="1" outlineLevel="1" ht="14.25" customFormat="1" customHeight="1" s="162">
      <c r="A27" s="200" t="n">
        <v>11</v>
      </c>
      <c r="B27" s="151" t="inlineStr">
        <is>
          <t>91.01.01-035</t>
        </is>
      </c>
      <c r="C27" s="205" t="inlineStr">
        <is>
          <t>Бульдозеры, мощность 79 кВт (108 л.с.)</t>
        </is>
      </c>
      <c r="D27" s="200" t="inlineStr">
        <is>
          <t>маш.час</t>
        </is>
      </c>
      <c r="E27" s="250" t="n">
        <v>0.076532</v>
      </c>
      <c r="F27" s="152" t="n">
        <v>79.06999999999999</v>
      </c>
      <c r="G27" s="152">
        <f>ROUND(E27*F27,2)</f>
        <v/>
      </c>
      <c r="H27" s="215">
        <f>G27/$G$39</f>
        <v/>
      </c>
      <c r="I27" s="152">
        <f>ROUND(F27*'Прил. 10'!$D$11,2)</f>
        <v/>
      </c>
      <c r="J27" s="152">
        <f>ROUND(I27*E27,2)</f>
        <v/>
      </c>
      <c r="L27" s="251" t="n"/>
    </row>
    <row r="28" hidden="1" outlineLevel="1" ht="14.25" customFormat="1" customHeight="1" s="162">
      <c r="A28" s="200" t="n">
        <v>12</v>
      </c>
      <c r="B28" s="151" t="inlineStr">
        <is>
          <t>91.05.02-005</t>
        </is>
      </c>
      <c r="C28" s="205" t="inlineStr">
        <is>
          <t>Краны козловые, грузоподъемность 32 т</t>
        </is>
      </c>
      <c r="D28" s="200" t="inlineStr">
        <is>
          <t>маш.час</t>
        </is>
      </c>
      <c r="E28" s="250" t="n">
        <v>0.04699</v>
      </c>
      <c r="F28" s="152" t="n">
        <v>120.24</v>
      </c>
      <c r="G28" s="152">
        <f>ROUND(E28*F28,2)</f>
        <v/>
      </c>
      <c r="H28" s="215">
        <f>G28/$G$39</f>
        <v/>
      </c>
      <c r="I28" s="152">
        <f>ROUND(F28*'Прил. 10'!$D$11,2)</f>
        <v/>
      </c>
      <c r="J28" s="152">
        <f>ROUND(I28*E28,2)</f>
        <v/>
      </c>
      <c r="L28" s="251" t="n"/>
    </row>
    <row r="29" hidden="1" outlineLevel="1" ht="14.25" customFormat="1" customHeight="1" s="162">
      <c r="A29" s="200" t="n">
        <v>13</v>
      </c>
      <c r="B29" s="151" t="inlineStr">
        <is>
          <t>91.08.04-021</t>
        </is>
      </c>
      <c r="C29" s="205" t="inlineStr">
        <is>
          <t>Котлы битумные передвижные 400 л</t>
        </is>
      </c>
      <c r="D29" s="200" t="inlineStr">
        <is>
          <t>маш.час</t>
        </is>
      </c>
      <c r="E29" s="250" t="n">
        <v>0.11934</v>
      </c>
      <c r="F29" s="152" t="n">
        <v>30</v>
      </c>
      <c r="G29" s="152">
        <f>ROUND(E29*F29,2)</f>
        <v/>
      </c>
      <c r="H29" s="215">
        <f>G29/$G$39</f>
        <v/>
      </c>
      <c r="I29" s="152">
        <f>ROUND(F29*'Прил. 10'!$D$11,2)</f>
        <v/>
      </c>
      <c r="J29" s="152">
        <f>ROUND(I29*E29,2)</f>
        <v/>
      </c>
      <c r="L29" s="251" t="n"/>
    </row>
    <row r="30" hidden="1" outlineLevel="1" ht="25.5" customFormat="1" customHeight="1" s="162">
      <c r="A30" s="200" t="n">
        <v>14</v>
      </c>
      <c r="B30" s="151" t="inlineStr">
        <is>
          <t>91.17.04-233</t>
        </is>
      </c>
      <c r="C30" s="205" t="inlineStr">
        <is>
          <t>Установки для сварки ручной дуговой (постоянного тока)</t>
        </is>
      </c>
      <c r="D30" s="200" t="inlineStr">
        <is>
          <t>маш.час</t>
        </is>
      </c>
      <c r="E30" s="250" t="n">
        <v>0.25892</v>
      </c>
      <c r="F30" s="152" t="n">
        <v>8.1</v>
      </c>
      <c r="G30" s="152">
        <f>ROUND(E30*F30,2)</f>
        <v/>
      </c>
      <c r="H30" s="215">
        <f>G30/$G$39</f>
        <v/>
      </c>
      <c r="I30" s="152">
        <f>ROUND(F30*'Прил. 10'!$D$11,2)</f>
        <v/>
      </c>
      <c r="J30" s="152">
        <f>ROUND(I30*E30,2)</f>
        <v/>
      </c>
      <c r="L30" s="251" t="n"/>
    </row>
    <row r="31" hidden="1" outlineLevel="1" ht="14.25" customFormat="1" customHeight="1" s="162">
      <c r="A31" s="200" t="n">
        <v>15</v>
      </c>
      <c r="B31" s="151" t="inlineStr">
        <is>
          <t>91.06.05-011</t>
        </is>
      </c>
      <c r="C31" s="205" t="inlineStr">
        <is>
          <t>Погрузчики, грузоподъемность 5 т</t>
        </is>
      </c>
      <c r="D31" s="200" t="inlineStr">
        <is>
          <t>маш.час</t>
        </is>
      </c>
      <c r="E31" s="250" t="n">
        <v>0.01736</v>
      </c>
      <c r="F31" s="152" t="n">
        <v>89.98999999999999</v>
      </c>
      <c r="G31" s="152">
        <f>ROUND(E31*F31,2)</f>
        <v/>
      </c>
      <c r="H31" s="215">
        <f>G31/$G$39</f>
        <v/>
      </c>
      <c r="I31" s="152">
        <f>ROUND(F31*'Прил. 10'!$D$11,2)</f>
        <v/>
      </c>
      <c r="J31" s="152">
        <f>ROUND(I31*E31,2)</f>
        <v/>
      </c>
      <c r="L31" s="251" t="n"/>
    </row>
    <row r="32" hidden="1" outlineLevel="1" ht="25.5" customFormat="1" customHeight="1" s="162">
      <c r="A32" s="200" t="n">
        <v>16</v>
      </c>
      <c r="B32" s="151" t="inlineStr">
        <is>
          <t>91.06.01-003</t>
        </is>
      </c>
      <c r="C32" s="205" t="inlineStr">
        <is>
          <t>Домкраты гидравлические, грузоподъемность 63-100 т</t>
        </is>
      </c>
      <c r="D32" s="200" t="inlineStr">
        <is>
          <t>маш.час</t>
        </is>
      </c>
      <c r="E32" s="250" t="n">
        <v>1.489583</v>
      </c>
      <c r="F32" s="152" t="n">
        <v>0.9</v>
      </c>
      <c r="G32" s="152">
        <f>ROUND(E32*F32,2)</f>
        <v/>
      </c>
      <c r="H32" s="215">
        <f>G32/$G$39</f>
        <v/>
      </c>
      <c r="I32" s="152">
        <f>ROUND(F32*'Прил. 10'!$D$11,2)</f>
        <v/>
      </c>
      <c r="J32" s="152">
        <f>ROUND(I32*E32,2)</f>
        <v/>
      </c>
      <c r="L32" s="251" t="n"/>
    </row>
    <row r="33" hidden="1" outlineLevel="1" ht="25.5" customFormat="1" customHeight="1" s="162">
      <c r="A33" s="200" t="n">
        <v>17</v>
      </c>
      <c r="B33" s="151" t="inlineStr">
        <is>
          <t>91.19.02-002</t>
        </is>
      </c>
      <c r="C33" s="205" t="inlineStr">
        <is>
          <t>Маслонасосы шестеренные, производительность 2,3 м3/час</t>
        </is>
      </c>
      <c r="D33" s="200" t="inlineStr">
        <is>
          <t>маш.час</t>
        </is>
      </c>
      <c r="E33" s="250" t="n">
        <v>1.06</v>
      </c>
      <c r="F33" s="152" t="n">
        <v>0.9</v>
      </c>
      <c r="G33" s="152">
        <f>ROUND(E33*F33,2)</f>
        <v/>
      </c>
      <c r="H33" s="215">
        <f>G33/$G$39</f>
        <v/>
      </c>
      <c r="I33" s="152">
        <f>ROUND(F33*'Прил. 10'!$D$11,2)</f>
        <v/>
      </c>
      <c r="J33" s="152">
        <f>ROUND(I33*E33,2)</f>
        <v/>
      </c>
      <c r="L33" s="251" t="n"/>
    </row>
    <row r="34" hidden="1" outlineLevel="1" ht="14.25" customFormat="1" customHeight="1" s="162">
      <c r="A34" s="200" t="n">
        <v>18</v>
      </c>
      <c r="B34" s="151" t="inlineStr">
        <is>
          <t>91.17.04-042</t>
        </is>
      </c>
      <c r="C34" s="205" t="inlineStr">
        <is>
          <t>Аппараты для газовой сварки и резки</t>
        </is>
      </c>
      <c r="D34" s="200" t="inlineStr">
        <is>
          <t>маш.час</t>
        </is>
      </c>
      <c r="E34" s="250" t="n">
        <v>0.765937</v>
      </c>
      <c r="F34" s="152" t="n">
        <v>1.2</v>
      </c>
      <c r="G34" s="152">
        <f>ROUND(E34*F34,2)</f>
        <v/>
      </c>
      <c r="H34" s="215">
        <f>G34/$G$39</f>
        <v/>
      </c>
      <c r="I34" s="152">
        <f>ROUND(F34*'Прил. 10'!$D$11,2)</f>
        <v/>
      </c>
      <c r="J34" s="152">
        <f>ROUND(I34*E34,2)</f>
        <v/>
      </c>
      <c r="L34" s="251" t="n"/>
    </row>
    <row r="35" hidden="1" outlineLevel="1" ht="25.5" customFormat="1" customHeight="1" s="162">
      <c r="A35" s="200" t="n">
        <v>19</v>
      </c>
      <c r="B35" s="151" t="inlineStr">
        <is>
          <t>91.14.02-002</t>
        </is>
      </c>
      <c r="C35" s="205" t="inlineStr">
        <is>
          <t>Автомобили бортовые, грузоподъемность до 8 т</t>
        </is>
      </c>
      <c r="D35" s="200" t="inlineStr">
        <is>
          <t>маш.час</t>
        </is>
      </c>
      <c r="E35" s="250" t="n">
        <v>0.009114000000000001</v>
      </c>
      <c r="F35" s="152" t="n">
        <v>85.84</v>
      </c>
      <c r="G35" s="152">
        <f>ROUND(E35*F35,2)</f>
        <v/>
      </c>
      <c r="H35" s="215">
        <f>G35/$G$39</f>
        <v/>
      </c>
      <c r="I35" s="152">
        <f>ROUND(F35*'Прил. 10'!$D$11,2)</f>
        <v/>
      </c>
      <c r="J35" s="152">
        <f>ROUND(I35*E35,2)</f>
        <v/>
      </c>
      <c r="L35" s="251" t="n"/>
    </row>
    <row r="36" hidden="1" outlineLevel="1" ht="14.25" customFormat="1" customHeight="1" s="162">
      <c r="A36" s="200" t="n">
        <v>20</v>
      </c>
      <c r="B36" s="151" t="inlineStr">
        <is>
          <t>91.07.04-001</t>
        </is>
      </c>
      <c r="C36" s="205" t="inlineStr">
        <is>
          <t>Вибраторы глубинные</t>
        </is>
      </c>
      <c r="D36" s="200" t="inlineStr">
        <is>
          <t>маш.час</t>
        </is>
      </c>
      <c r="E36" s="250" t="n">
        <v>0.0396</v>
      </c>
      <c r="F36" s="152" t="n">
        <v>1.9</v>
      </c>
      <c r="G36" s="152">
        <f>ROUND(E36*F36,2)</f>
        <v/>
      </c>
      <c r="H36" s="215">
        <f>G36/$G$39</f>
        <v/>
      </c>
      <c r="I36" s="152">
        <f>ROUND(F36*'Прил. 10'!$D$11,2)</f>
        <v/>
      </c>
      <c r="J36" s="152">
        <f>ROUND(I36*E36,2)</f>
        <v/>
      </c>
      <c r="L36" s="251" t="n"/>
    </row>
    <row r="37" hidden="1" outlineLevel="1" ht="25.5" customFormat="1" customHeight="1" s="162">
      <c r="A37" s="200" t="n">
        <v>21</v>
      </c>
      <c r="B37" s="151" t="inlineStr">
        <is>
          <t>91.06.03-060</t>
        </is>
      </c>
      <c r="C37" s="205" t="inlineStr">
        <is>
          <t>Лебедки электрические тяговым усилием до 5,79 кН (0,59 т)</t>
        </is>
      </c>
      <c r="D37" s="200" t="inlineStr">
        <is>
          <t>маш.час</t>
        </is>
      </c>
      <c r="E37" s="250" t="n">
        <v>0.02439</v>
      </c>
      <c r="F37" s="152" t="n">
        <v>1.7</v>
      </c>
      <c r="G37" s="152">
        <f>ROUND(E37*F37,2)</f>
        <v/>
      </c>
      <c r="H37" s="215">
        <f>G37/$G$39</f>
        <v/>
      </c>
      <c r="I37" s="152">
        <f>ROUND(F37*'Прил. 10'!$D$11,2)</f>
        <v/>
      </c>
      <c r="J37" s="152">
        <f>ROUND(I37*E37,2)</f>
        <v/>
      </c>
      <c r="L37" s="251" t="n"/>
    </row>
    <row r="38" collapsed="1" ht="14.25" customFormat="1" customHeight="1" s="162">
      <c r="A38" s="200" t="n"/>
      <c r="B38" s="200" t="n"/>
      <c r="C38" s="205" t="inlineStr">
        <is>
          <t>Итого прочие машины и механизмы</t>
        </is>
      </c>
      <c r="D38" s="200" t="n"/>
      <c r="E38" s="206" t="n"/>
      <c r="F38" s="152" t="n"/>
      <c r="G38" s="152">
        <f>SUM(G22:G37)</f>
        <v/>
      </c>
      <c r="H38" s="215">
        <f>G38/G39</f>
        <v/>
      </c>
      <c r="I38" s="152" t="n"/>
      <c r="J38" s="152">
        <f>SUM(J22:J37)</f>
        <v/>
      </c>
      <c r="K38" s="251" t="n"/>
      <c r="L38" s="249" t="n"/>
    </row>
    <row r="39" ht="25.5" customFormat="1" customHeight="1" s="162">
      <c r="A39" s="200" t="n"/>
      <c r="B39" s="201" t="n"/>
      <c r="C39" s="209" t="inlineStr">
        <is>
          <t>Итого по разделу «Машины и механизмы»</t>
        </is>
      </c>
      <c r="D39" s="201" t="n"/>
      <c r="E39" s="53" t="n"/>
      <c r="F39" s="54" t="n"/>
      <c r="G39" s="54">
        <f>G21+G38</f>
        <v/>
      </c>
      <c r="H39" s="55" t="n">
        <v>1</v>
      </c>
      <c r="I39" s="54" t="n"/>
      <c r="J39" s="54">
        <f>J21+J38</f>
        <v/>
      </c>
    </row>
    <row r="40" s="170">
      <c r="A40" s="76" t="n"/>
      <c r="B40" s="209" t="inlineStr">
        <is>
          <t xml:space="preserve">Оборудование </t>
        </is>
      </c>
      <c r="C40" s="252" t="n"/>
      <c r="D40" s="252" t="n"/>
      <c r="E40" s="252" t="n"/>
      <c r="F40" s="252" t="n"/>
      <c r="G40" s="252" t="n"/>
      <c r="H40" s="252" t="n"/>
      <c r="I40" s="252" t="n"/>
      <c r="J40" s="253" t="n"/>
      <c r="K40" s="162" t="n"/>
      <c r="L40" s="162" t="n"/>
      <c r="M40" s="162" t="n"/>
      <c r="N40" s="162" t="n"/>
    </row>
    <row r="41" ht="15" customHeight="1" s="170">
      <c r="A41" s="200" t="n"/>
      <c r="B41" s="205" t="inlineStr">
        <is>
          <t>Основное оборудование</t>
        </is>
      </c>
      <c r="C41" s="234" t="n"/>
      <c r="D41" s="234" t="n"/>
      <c r="E41" s="234" t="n"/>
      <c r="F41" s="234" t="n"/>
      <c r="G41" s="234" t="n"/>
      <c r="H41" s="234" t="n"/>
      <c r="I41" s="234" t="n"/>
      <c r="J41" s="235" t="n"/>
      <c r="K41" s="162" t="n"/>
      <c r="L41" s="162" t="n"/>
      <c r="M41" s="162" t="n"/>
      <c r="N41" s="162" t="n"/>
    </row>
    <row r="42" ht="45.75" customHeight="1" s="170">
      <c r="A42" s="200" t="n">
        <v>35</v>
      </c>
      <c r="B42" s="151" t="inlineStr">
        <is>
          <t>БЦ.1.37</t>
        </is>
      </c>
      <c r="C42" s="205" t="inlineStr">
        <is>
          <t>Выключатель колонковый 35 кВ 2000/31,5 кА</t>
        </is>
      </c>
      <c r="D42" s="200" t="inlineStr">
        <is>
          <t>шт</t>
        </is>
      </c>
      <c r="E42" s="250" t="n">
        <v>2</v>
      </c>
      <c r="F42" s="152">
        <f>ROUND(I42/'Прил. 10'!D13,2)</f>
        <v/>
      </c>
      <c r="G42" s="152">
        <f>ROUND(E42*F42,2)</f>
        <v/>
      </c>
      <c r="H42" s="215">
        <f>G42/$G$45</f>
        <v/>
      </c>
      <c r="I42" s="152" t="n">
        <v>4045283.02</v>
      </c>
      <c r="J42" s="152">
        <f>ROUND(I42*E42,2)</f>
        <v/>
      </c>
      <c r="K42" s="162" t="n"/>
      <c r="L42" s="162" t="n"/>
      <c r="M42" s="162" t="n"/>
      <c r="N42" s="162" t="n"/>
    </row>
    <row r="43" s="170">
      <c r="A43" s="80" t="n"/>
      <c r="B43" s="200" t="n"/>
      <c r="C43" s="205" t="inlineStr">
        <is>
          <t>Итого основное оборудование</t>
        </is>
      </c>
      <c r="D43" s="200" t="n"/>
      <c r="E43" s="250" t="n"/>
      <c r="F43" s="207" t="n"/>
      <c r="G43" s="152">
        <f>G42</f>
        <v/>
      </c>
      <c r="H43" s="215" t="n"/>
      <c r="I43" s="152" t="n"/>
      <c r="J43" s="152">
        <f>J42</f>
        <v/>
      </c>
      <c r="K43" s="251" t="n"/>
      <c r="L43" s="162" t="n"/>
      <c r="M43" s="162" t="n"/>
      <c r="N43" s="162" t="n"/>
    </row>
    <row r="44" s="170">
      <c r="A44" s="80" t="n"/>
      <c r="B44" s="200" t="n"/>
      <c r="C44" s="205" t="inlineStr">
        <is>
          <t>Итого прочее оборудование</t>
        </is>
      </c>
      <c r="D44" s="200" t="n"/>
      <c r="E44" s="206" t="n"/>
      <c r="F44" s="207" t="n"/>
      <c r="G44" s="152" t="n">
        <v>0</v>
      </c>
      <c r="H44" s="215" t="n"/>
      <c r="I44" s="152" t="n"/>
      <c r="J44" s="152" t="n">
        <v>0</v>
      </c>
      <c r="K44" s="251" t="n"/>
      <c r="L44" s="254" t="n"/>
      <c r="M44" s="162" t="n"/>
      <c r="N44" s="162" t="n"/>
    </row>
    <row r="45" s="170">
      <c r="A45" s="200" t="n"/>
      <c r="B45" s="200" t="n"/>
      <c r="C45" s="214" t="inlineStr">
        <is>
          <t>Итого по разделу «Оборудование»</t>
        </is>
      </c>
      <c r="D45" s="200" t="n"/>
      <c r="E45" s="206" t="n"/>
      <c r="F45" s="207" t="n"/>
      <c r="G45" s="152">
        <f>G43+G44</f>
        <v/>
      </c>
      <c r="H45" s="215" t="n"/>
      <c r="I45" s="152" t="n"/>
      <c r="J45" s="152">
        <f>J44+J43</f>
        <v/>
      </c>
      <c r="K45" s="251" t="n"/>
      <c r="L45" s="162" t="n"/>
      <c r="M45" s="162" t="n"/>
      <c r="N45" s="162" t="n"/>
    </row>
    <row r="46" ht="25.5" customHeight="1" s="170">
      <c r="A46" s="200" t="n"/>
      <c r="B46" s="200" t="n"/>
      <c r="C46" s="205" t="inlineStr">
        <is>
          <t>в том числе технологическое оборудование</t>
        </is>
      </c>
      <c r="D46" s="200" t="n"/>
      <c r="E46" s="206" t="n"/>
      <c r="F46" s="207" t="n"/>
      <c r="G46" s="152">
        <f>'Прил.6 Расчет ОБ'!G15</f>
        <v/>
      </c>
      <c r="H46" s="215" t="n"/>
      <c r="I46" s="152" t="n"/>
      <c r="J46" s="152">
        <f>ROUND(G46*'Прил. 10'!$D$13,2)</f>
        <v/>
      </c>
      <c r="K46" s="251" t="n"/>
      <c r="L46" s="162" t="n"/>
      <c r="M46" s="162" t="n"/>
      <c r="N46" s="162" t="n"/>
    </row>
    <row r="47" ht="14.25" customFormat="1" customHeight="1" s="162">
      <c r="A47" s="202" t="n"/>
      <c r="B47" s="255" t="inlineStr">
        <is>
          <t>Материалы</t>
        </is>
      </c>
      <c r="J47" s="256" t="n"/>
      <c r="K47" s="251" t="n"/>
    </row>
    <row r="48" ht="14.25" customFormat="1" customHeight="1" s="162">
      <c r="A48" s="200" t="n"/>
      <c r="B48" s="205" t="inlineStr">
        <is>
          <t>Основные материалы</t>
        </is>
      </c>
      <c r="C48" s="234" t="n"/>
      <c r="D48" s="234" t="n"/>
      <c r="E48" s="234" t="n"/>
      <c r="F48" s="234" t="n"/>
      <c r="G48" s="234" t="n"/>
      <c r="H48" s="235" t="n"/>
      <c r="I48" s="215" t="n"/>
      <c r="J48" s="215" t="n"/>
    </row>
    <row r="49" ht="38.25" customFormat="1" customHeight="1" s="162">
      <c r="A49" s="200" t="n">
        <v>25</v>
      </c>
      <c r="B49" s="151" t="inlineStr">
        <is>
          <t>08.1.02.16-0043</t>
        </is>
      </c>
      <c r="C49" s="205" t="inlineStr">
        <is>
          <t>Винтовая свая  СВС 219(8)-500(8)-5000 с антикоррозийным покрытием (с доставкой до объекта)</t>
        </is>
      </c>
      <c r="D49" s="200" t="inlineStr">
        <is>
          <t>шт</t>
        </is>
      </c>
      <c r="E49" s="250" t="n">
        <v>4</v>
      </c>
      <c r="F49" s="152" t="n">
        <v>8585.299999999999</v>
      </c>
      <c r="G49" s="152">
        <f>ROUND(E49*F49,2)</f>
        <v/>
      </c>
      <c r="H49" s="215">
        <f>G49/$G$92</f>
        <v/>
      </c>
      <c r="I49" s="152">
        <f>ROUND(F49*'Прил. 10'!D12,2)</f>
        <v/>
      </c>
      <c r="J49" s="152">
        <f>ROUND(I49*E49,2)</f>
        <v/>
      </c>
    </row>
    <row r="50" ht="38.25" customFormat="1" customHeight="1" s="130">
      <c r="A50" s="200" t="n">
        <v>26</v>
      </c>
      <c r="B50" s="151" t="inlineStr">
        <is>
          <t>07.2.07.04-0014</t>
        </is>
      </c>
      <c r="C50" s="205" t="inlineStr">
        <is>
          <t>Конструкции сварные индивидуальные прочие, масса сборочной единицы от 0,1 до 0,5 т</t>
        </is>
      </c>
      <c r="D50" s="200" t="inlineStr">
        <is>
          <t>т</t>
        </is>
      </c>
      <c r="E50" s="250" t="n">
        <v>0.4694</v>
      </c>
      <c r="F50" s="152" t="n">
        <v>10046</v>
      </c>
      <c r="G50" s="152">
        <f>ROUND(E50*F50,2)</f>
        <v/>
      </c>
      <c r="H50" s="215">
        <f>G50/$G$92</f>
        <v/>
      </c>
      <c r="I50" s="152">
        <f>ROUND(F50*'Прил. 10'!$D$12,2)</f>
        <v/>
      </c>
      <c r="J50" s="152">
        <f>ROUND(I50*E50,2)</f>
        <v/>
      </c>
      <c r="L50" s="162" t="n"/>
    </row>
    <row r="51" ht="51" customFormat="1" customHeight="1" s="130">
      <c r="A51" s="200" t="n">
        <v>26</v>
      </c>
      <c r="B51" s="151" t="inlineStr">
        <is>
          <t>14.4.01.20-0001</t>
        </is>
      </c>
      <c r="C51" s="205" t="inlineStr">
        <is>
          <t>Грунт-краска антикоррозионная цинконаполненная на основе цинка и модифицированного химически стойкого каучука</t>
        </is>
      </c>
      <c r="D51" s="200" t="inlineStr">
        <is>
          <t>т</t>
        </is>
      </c>
      <c r="E51" s="250" t="n">
        <v>0.01626</v>
      </c>
      <c r="F51" s="152" t="n">
        <v>107351.35</v>
      </c>
      <c r="G51" s="152">
        <f>ROUND(E51*F51,2)</f>
        <v/>
      </c>
      <c r="H51" s="215">
        <f>G51/$G$92</f>
        <v/>
      </c>
      <c r="I51" s="152">
        <f>ROUND(F51*'Прил. 10'!$D$12,2)</f>
        <v/>
      </c>
      <c r="J51" s="152">
        <f>ROUND(I51*E51,2)</f>
        <v/>
      </c>
      <c r="L51" s="162" t="n"/>
    </row>
    <row r="52" ht="29.25" customFormat="1" customHeight="1" s="130">
      <c r="A52" s="200" t="n">
        <v>26</v>
      </c>
      <c r="B52" s="151" t="inlineStr">
        <is>
          <t>08.3.11.01-0054</t>
        </is>
      </c>
      <c r="C52" s="205" t="inlineStr">
        <is>
          <t>Швеллеры № 16-18, марка стали Ст3сп</t>
        </is>
      </c>
      <c r="D52" s="200" t="inlineStr">
        <is>
          <t>т</t>
        </is>
      </c>
      <c r="E52" s="250" t="n">
        <v>0.2715</v>
      </c>
      <c r="F52" s="152" t="n">
        <v>5200</v>
      </c>
      <c r="G52" s="152">
        <f>ROUND(E52*F52,2)</f>
        <v/>
      </c>
      <c r="H52" s="215">
        <f>G52/$G$92</f>
        <v/>
      </c>
      <c r="I52" s="152">
        <f>ROUND(F52*'Прил. 10'!$D$12,2)</f>
        <v/>
      </c>
      <c r="J52" s="152">
        <f>ROUND(I52*E52,2)</f>
        <v/>
      </c>
      <c r="L52" s="162" t="n"/>
    </row>
    <row r="53" ht="38.25" customFormat="1" customHeight="1" s="130">
      <c r="A53" s="200" t="n">
        <v>26</v>
      </c>
      <c r="B53" s="151" t="inlineStr">
        <is>
          <t>14.4.01.20-0012</t>
        </is>
      </c>
      <c r="C53" s="205" t="inlineStr">
        <is>
          <t>Грунтовка антикоррозионная цинкнаполненная быстросохнущая, преобразователь ржавчины и окалины</t>
        </is>
      </c>
      <c r="D53" s="200" t="inlineStr">
        <is>
          <t>т</t>
        </is>
      </c>
      <c r="E53" s="250" t="n">
        <v>0.012195</v>
      </c>
      <c r="F53" s="152" t="n">
        <v>86794.72</v>
      </c>
      <c r="G53" s="152">
        <f>ROUND(E53*F53,2)</f>
        <v/>
      </c>
      <c r="H53" s="215">
        <f>G53/$G$92</f>
        <v/>
      </c>
      <c r="I53" s="152">
        <f>ROUND(F53*'Прил. 10'!$D$12,2)</f>
        <v/>
      </c>
      <c r="J53" s="152">
        <f>ROUND(I53*E53,2)</f>
        <v/>
      </c>
      <c r="L53" s="162" t="n"/>
    </row>
    <row r="54" ht="38.25" customFormat="1" customHeight="1" s="162">
      <c r="A54" s="200" t="n">
        <v>27</v>
      </c>
      <c r="B54" s="151" t="inlineStr">
        <is>
          <t>08.3.12.04-0017</t>
        </is>
      </c>
      <c r="C54" s="205" t="inlineStr">
        <is>
          <t>Просечно-вытяжной прокат горячекатаный в листах мерных размеров из стали С235, шириной: 1000 мм, толщиной 5 мм</t>
        </is>
      </c>
      <c r="D54" s="200" t="inlineStr">
        <is>
          <t>т</t>
        </is>
      </c>
      <c r="E54" s="250" t="n">
        <v>0.1304</v>
      </c>
      <c r="F54" s="152" t="n">
        <v>8007</v>
      </c>
      <c r="G54" s="152">
        <f>ROUND(E54*F54,2)</f>
        <v/>
      </c>
      <c r="H54" s="215">
        <f>G54/$G$92</f>
        <v/>
      </c>
      <c r="I54" s="152">
        <f>ROUND(F54*'Прил. 10'!$D$12,2)</f>
        <v/>
      </c>
      <c r="J54" s="152">
        <f>ROUND(I54*E54,2)</f>
        <v/>
      </c>
    </row>
    <row r="55" ht="14.25" customFormat="1" customHeight="1" s="162">
      <c r="B55" s="151" t="n"/>
      <c r="C55" s="205" t="inlineStr">
        <is>
          <t>Итого основные материалы</t>
        </is>
      </c>
      <c r="D55" s="200" t="n"/>
      <c r="E55" s="250" t="n"/>
      <c r="F55" s="152" t="n"/>
      <c r="G55" s="152">
        <f>SUM(G49:G54)</f>
        <v/>
      </c>
      <c r="H55" s="215">
        <f>G55/$G$92</f>
        <v/>
      </c>
      <c r="I55" s="152" t="n"/>
      <c r="J55" s="152">
        <f>SUM(J49:J54)</f>
        <v/>
      </c>
      <c r="K55" s="251" t="n"/>
    </row>
    <row r="56" hidden="1" outlineLevel="1" ht="76.5" customFormat="1" customHeight="1" s="162">
      <c r="A56" s="200" t="n">
        <v>36</v>
      </c>
      <c r="B56" s="151" t="inlineStr">
        <is>
          <t>08.4.01.02-0013</t>
        </is>
      </c>
      <c r="C56" s="205" t="inlineStr">
        <is>
          <t>Детали закладные и накладные, изготовленные с применением сварки, гнутья, сверления (пробивки) отверстий (при наличии одной из этих операций или всего перечня в любых сочетаниях), поставляемые отдельно</t>
        </is>
      </c>
      <c r="D56" s="200" t="inlineStr">
        <is>
          <t>т</t>
        </is>
      </c>
      <c r="E56" s="250" t="n">
        <v>0.0607</v>
      </c>
      <c r="F56" s="152" t="n">
        <v>6800</v>
      </c>
      <c r="G56" s="152">
        <f>ROUND(F56*E56,2)</f>
        <v/>
      </c>
      <c r="H56" s="215">
        <f>G56/$G$92</f>
        <v/>
      </c>
      <c r="I56" s="152">
        <f>ROUND(F56*'Прил. 10'!$D$12,2)</f>
        <v/>
      </c>
      <c r="J56" s="152">
        <f>ROUND(I56*E56,2)</f>
        <v/>
      </c>
    </row>
    <row r="57" hidden="1" outlineLevel="1" ht="25.5" customFormat="1" customHeight="1" s="162">
      <c r="A57" s="200" t="n">
        <v>37</v>
      </c>
      <c r="B57" s="151" t="inlineStr">
        <is>
          <t>08.3.08.02-0031</t>
        </is>
      </c>
      <c r="C57" s="205" t="inlineStr">
        <is>
          <t>Сталь угловая равнополочная размером 50х50х5 мм</t>
        </is>
      </c>
      <c r="D57" s="200" t="inlineStr">
        <is>
          <t>кг</t>
        </is>
      </c>
      <c r="E57" s="250" t="n">
        <v>68</v>
      </c>
      <c r="F57" s="152" t="n">
        <v>5.43</v>
      </c>
      <c r="G57" s="152">
        <f>ROUND(F57*E57,2)</f>
        <v/>
      </c>
      <c r="H57" s="215">
        <f>G57/$G$92</f>
        <v/>
      </c>
      <c r="I57" s="152">
        <f>ROUND(F57*'Прил. 10'!$D$12,2)</f>
        <v/>
      </c>
      <c r="J57" s="152">
        <f>ROUND(I57*E57,2)</f>
        <v/>
      </c>
    </row>
    <row r="58" hidden="1" outlineLevel="1" ht="14.25" customFormat="1" customHeight="1" s="162">
      <c r="A58" s="200" t="n">
        <v>38</v>
      </c>
      <c r="B58" s="151" t="inlineStr">
        <is>
          <t>01.7.03.04-0001</t>
        </is>
      </c>
      <c r="C58" s="205" t="inlineStr">
        <is>
          <t>Электроэнергия</t>
        </is>
      </c>
      <c r="D58" s="200" t="inlineStr">
        <is>
          <t>кВт-ч</t>
        </is>
      </c>
      <c r="E58" s="250" t="n">
        <v>723.84</v>
      </c>
      <c r="F58" s="152" t="n">
        <v>0.4</v>
      </c>
      <c r="G58" s="152">
        <f>ROUND(F58*E58,2)</f>
        <v/>
      </c>
      <c r="H58" s="215">
        <f>G58/$G$92</f>
        <v/>
      </c>
      <c r="I58" s="152">
        <f>ROUND(F58*'Прил. 10'!$D$12,2)</f>
        <v/>
      </c>
      <c r="J58" s="152">
        <f>ROUND(I58*E58,2)</f>
        <v/>
      </c>
    </row>
    <row r="59" hidden="1" outlineLevel="1" ht="25.5" customFormat="1" customHeight="1" s="162">
      <c r="A59" s="200" t="n">
        <v>39</v>
      </c>
      <c r="B59" s="151" t="inlineStr">
        <is>
          <t>04.1.02.05-0006</t>
        </is>
      </c>
      <c r="C59" s="205" t="inlineStr">
        <is>
          <t>Смеси бетонные тяжелого бетона (БСТ), класс B15 (М200)</t>
        </is>
      </c>
      <c r="D59" s="200" t="inlineStr">
        <is>
          <t>м3</t>
        </is>
      </c>
      <c r="E59" s="250" t="n">
        <v>0.4466</v>
      </c>
      <c r="F59" s="152" t="n">
        <v>592.76</v>
      </c>
      <c r="G59" s="152">
        <f>ROUND(F59*E59,2)</f>
        <v/>
      </c>
      <c r="H59" s="215">
        <f>G59/$G$92</f>
        <v/>
      </c>
      <c r="I59" s="152">
        <f>ROUND(F59*'Прил. 10'!$D$12,2)</f>
        <v/>
      </c>
      <c r="J59" s="152">
        <f>ROUND(I59*E59,2)</f>
        <v/>
      </c>
    </row>
    <row r="60" hidden="1" outlineLevel="1" ht="14.25" customFormat="1" customHeight="1" s="162">
      <c r="A60" s="200" t="n">
        <v>40</v>
      </c>
      <c r="B60" s="151" t="inlineStr">
        <is>
          <t>08.4.02.04-0001</t>
        </is>
      </c>
      <c r="C60" s="205" t="inlineStr">
        <is>
          <t>Каркасы металлические</t>
        </is>
      </c>
      <c r="D60" s="200" t="inlineStr">
        <is>
          <t>т</t>
        </is>
      </c>
      <c r="E60" s="250" t="n">
        <v>0.0288</v>
      </c>
      <c r="F60" s="152" t="n">
        <v>8200</v>
      </c>
      <c r="G60" s="152">
        <f>ROUND(F60*E60,2)</f>
        <v/>
      </c>
      <c r="H60" s="215">
        <f>G60/$G$92</f>
        <v/>
      </c>
      <c r="I60" s="152">
        <f>ROUND(F60*'Прил. 10'!$D$12,2)</f>
        <v/>
      </c>
      <c r="J60" s="152">
        <f>ROUND(I60*E60,2)</f>
        <v/>
      </c>
    </row>
    <row r="61" hidden="1" outlineLevel="1" ht="14.25" customFormat="1" customHeight="1" s="162">
      <c r="A61" s="200" t="n">
        <v>41</v>
      </c>
      <c r="B61" s="151" t="inlineStr">
        <is>
          <t>14.4.02.09-0001</t>
        </is>
      </c>
      <c r="C61" s="205" t="inlineStr">
        <is>
          <t>Краска</t>
        </is>
      </c>
      <c r="D61" s="200" t="inlineStr">
        <is>
          <t>кг</t>
        </is>
      </c>
      <c r="E61" s="250" t="n">
        <v>7.6</v>
      </c>
      <c r="F61" s="152" t="n">
        <v>28.6</v>
      </c>
      <c r="G61" s="152">
        <f>ROUND(F61*E61,2)</f>
        <v/>
      </c>
      <c r="H61" s="215">
        <f>G61/$G$92</f>
        <v/>
      </c>
      <c r="I61" s="152">
        <f>ROUND(F61*'Прил. 10'!$D$12,2)</f>
        <v/>
      </c>
      <c r="J61" s="152">
        <f>ROUND(I61*E61,2)</f>
        <v/>
      </c>
    </row>
    <row r="62" hidden="1" outlineLevel="1" ht="25.5" customFormat="1" customHeight="1" s="162">
      <c r="A62" s="200" t="n">
        <v>42</v>
      </c>
      <c r="B62" s="151" t="inlineStr">
        <is>
          <t>02.3.01.02-0033</t>
        </is>
      </c>
      <c r="C62" s="205" t="inlineStr">
        <is>
          <t>Песок природный обогащенный для строительных работ средний</t>
        </is>
      </c>
      <c r="D62" s="200" t="inlineStr">
        <is>
          <t>м3</t>
        </is>
      </c>
      <c r="E62" s="250" t="n">
        <v>0.7675999999999999</v>
      </c>
      <c r="F62" s="152" t="n">
        <v>70.59999999999999</v>
      </c>
      <c r="G62" s="152">
        <f>ROUND(F62*E62,2)</f>
        <v/>
      </c>
      <c r="H62" s="215">
        <f>G62/$G$92</f>
        <v/>
      </c>
      <c r="I62" s="152">
        <f>ROUND(F62*'Прил. 10'!$D$12,2)</f>
        <v/>
      </c>
      <c r="J62" s="152">
        <f>ROUND(I62*E62,2)</f>
        <v/>
      </c>
    </row>
    <row r="63" hidden="1" outlineLevel="1" ht="14.25" customFormat="1" customHeight="1" s="162">
      <c r="A63" s="200" t="n">
        <v>43</v>
      </c>
      <c r="B63" s="151" t="inlineStr">
        <is>
          <t>01.2.03.03-0013</t>
        </is>
      </c>
      <c r="C63" s="205" t="inlineStr">
        <is>
          <t>Мастика битумная кровельная горячая</t>
        </is>
      </c>
      <c r="D63" s="200" t="inlineStr">
        <is>
          <t>т</t>
        </is>
      </c>
      <c r="E63" s="250" t="n">
        <v>0.014688</v>
      </c>
      <c r="F63" s="152" t="n">
        <v>3390</v>
      </c>
      <c r="G63" s="152">
        <f>ROUND(F63*E63,2)</f>
        <v/>
      </c>
      <c r="H63" s="215">
        <f>G63/$G$92</f>
        <v/>
      </c>
      <c r="I63" s="152">
        <f>ROUND(F63*'Прил. 10'!$D$12,2)</f>
        <v/>
      </c>
      <c r="J63" s="152">
        <f>ROUND(I63*E63,2)</f>
        <v/>
      </c>
    </row>
    <row r="64" hidden="1" outlineLevel="1" ht="25.5" customFormat="1" customHeight="1" s="162">
      <c r="A64" s="200" t="n">
        <v>44</v>
      </c>
      <c r="B64" s="151" t="inlineStr">
        <is>
          <t>01.7.07.12-0022</t>
        </is>
      </c>
      <c r="C64" s="205" t="inlineStr">
        <is>
          <t>Пленка полиэтиленовая, толщина 0,2-0,5 мм</t>
        </is>
      </c>
      <c r="D64" s="200" t="inlineStr">
        <is>
          <t>м2</t>
        </is>
      </c>
      <c r="E64" s="250" t="n">
        <v>3.4272</v>
      </c>
      <c r="F64" s="152" t="n">
        <v>12.19</v>
      </c>
      <c r="G64" s="152">
        <f>ROUND(F64*E64,2)</f>
        <v/>
      </c>
      <c r="H64" s="215">
        <f>G64/$G$92</f>
        <v/>
      </c>
      <c r="I64" s="152">
        <f>ROUND(F64*'Прил. 10'!$D$12,2)</f>
        <v/>
      </c>
      <c r="J64" s="152">
        <f>ROUND(I64*E64,2)</f>
        <v/>
      </c>
    </row>
    <row r="65" hidden="1" outlineLevel="1" ht="38.25" customFormat="1" customHeight="1" s="162">
      <c r="A65" s="200" t="n">
        <v>45</v>
      </c>
      <c r="B65" s="151" t="inlineStr">
        <is>
          <t>08.3.07.01-0076</t>
        </is>
      </c>
      <c r="C65" s="205" t="inlineStr">
        <is>
          <t>Прокат полосовой, горячекатаный, марка стали Ст3сп, ширина 50-200 мм, толщина 4-5 мм</t>
        </is>
      </c>
      <c r="D65" s="200" t="inlineStr">
        <is>
          <t>т</t>
        </is>
      </c>
      <c r="E65" s="250" t="n">
        <v>0.006</v>
      </c>
      <c r="F65" s="152" t="n">
        <v>5000</v>
      </c>
      <c r="G65" s="152">
        <f>ROUND(F65*E65,2)</f>
        <v/>
      </c>
      <c r="H65" s="215">
        <f>G65/$G$92</f>
        <v/>
      </c>
      <c r="I65" s="152">
        <f>ROUND(F65*'Прил. 10'!$D$12,2)</f>
        <v/>
      </c>
      <c r="J65" s="152">
        <f>ROUND(I65*E65,2)</f>
        <v/>
      </c>
    </row>
    <row r="66" hidden="1" outlineLevel="1" ht="14.25" customFormat="1" customHeight="1" s="162">
      <c r="A66" s="200" t="n">
        <v>46</v>
      </c>
      <c r="B66" s="151" t="inlineStr">
        <is>
          <t>01.7.11.07-0032</t>
        </is>
      </c>
      <c r="C66" s="205" t="inlineStr">
        <is>
          <t>Электроды сварочные Э42, диаметр 4 мм</t>
        </is>
      </c>
      <c r="D66" s="200" t="inlineStr">
        <is>
          <t>т</t>
        </is>
      </c>
      <c r="E66" s="250" t="n">
        <v>0.0023005</v>
      </c>
      <c r="F66" s="152" t="n">
        <v>10315.01</v>
      </c>
      <c r="G66" s="152">
        <f>ROUND(F66*E66,2)</f>
        <v/>
      </c>
      <c r="H66" s="215">
        <f>G66/$G$92</f>
        <v/>
      </c>
      <c r="I66" s="152">
        <f>ROUND(F66*'Прил. 10'!$D$12,2)</f>
        <v/>
      </c>
      <c r="J66" s="152">
        <f>ROUND(I66*E66,2)</f>
        <v/>
      </c>
    </row>
    <row r="67" hidden="1" outlineLevel="1" ht="14.25" customFormat="1" customHeight="1" s="162">
      <c r="A67" s="200" t="n">
        <v>47</v>
      </c>
      <c r="B67" s="151" t="inlineStr">
        <is>
          <t>01.7.11.07-0036</t>
        </is>
      </c>
      <c r="C67" s="205" t="inlineStr">
        <is>
          <t>Электроды сварочные Э46, диаметр 4 мм</t>
        </is>
      </c>
      <c r="D67" s="200" t="inlineStr">
        <is>
          <t>кг</t>
        </is>
      </c>
      <c r="E67" s="250" t="n">
        <v>1.8796</v>
      </c>
      <c r="F67" s="152" t="n">
        <v>10.75</v>
      </c>
      <c r="G67" s="152">
        <f>ROUND(F67*E67,2)</f>
        <v/>
      </c>
      <c r="H67" s="215">
        <f>G67/$G$92</f>
        <v/>
      </c>
      <c r="I67" s="152">
        <f>ROUND(F67*'Прил. 10'!$D$12,2)</f>
        <v/>
      </c>
      <c r="J67" s="152">
        <f>ROUND(I67*E67,2)</f>
        <v/>
      </c>
    </row>
    <row r="68" hidden="1" outlineLevel="1" ht="25.5" customFormat="1" customHeight="1" s="162">
      <c r="A68" s="200" t="n">
        <v>48</v>
      </c>
      <c r="B68" s="151" t="inlineStr">
        <is>
          <t>01.3.01.06-0050</t>
        </is>
      </c>
      <c r="C68" s="205" t="inlineStr">
        <is>
          <t>Смазка универсальная тугоплавкая УТ (консталин жировой)</t>
        </is>
      </c>
      <c r="D68" s="200" t="inlineStr">
        <is>
          <t>т</t>
        </is>
      </c>
      <c r="E68" s="250" t="n">
        <v>0.001</v>
      </c>
      <c r="F68" s="152" t="n">
        <v>17500</v>
      </c>
      <c r="G68" s="152">
        <f>ROUND(F68*E68,2)</f>
        <v/>
      </c>
      <c r="H68" s="215">
        <f>G68/$G$92</f>
        <v/>
      </c>
      <c r="I68" s="152">
        <f>ROUND(F68*'Прил. 10'!$D$12,2)</f>
        <v/>
      </c>
      <c r="J68" s="152">
        <f>ROUND(I68*E68,2)</f>
        <v/>
      </c>
    </row>
    <row r="69" hidden="1" outlineLevel="1" ht="14.25" customFormat="1" customHeight="1" s="162">
      <c r="A69" s="200" t="n">
        <v>49</v>
      </c>
      <c r="B69" s="151" t="inlineStr">
        <is>
          <t>01.7.20.08-0031</t>
        </is>
      </c>
      <c r="C69" s="205" t="inlineStr">
        <is>
          <t>Бязь суровая</t>
        </is>
      </c>
      <c r="D69" s="200" t="inlineStr">
        <is>
          <t>10 м2</t>
        </is>
      </c>
      <c r="E69" s="250" t="n">
        <v>0.22</v>
      </c>
      <c r="F69" s="152" t="n">
        <v>79.09999999999999</v>
      </c>
      <c r="G69" s="152">
        <f>ROUND(F69*E69,2)</f>
        <v/>
      </c>
      <c r="H69" s="215">
        <f>G69/$G$92</f>
        <v/>
      </c>
      <c r="I69" s="152">
        <f>ROUND(F69*'Прил. 10'!$D$12,2)</f>
        <v/>
      </c>
      <c r="J69" s="152">
        <f>ROUND(I69*E69,2)</f>
        <v/>
      </c>
    </row>
    <row r="70" hidden="1" outlineLevel="1" ht="25.5" customFormat="1" customHeight="1" s="162">
      <c r="A70" s="200" t="n">
        <v>50</v>
      </c>
      <c r="B70" s="151" t="inlineStr">
        <is>
          <t>999-9950</t>
        </is>
      </c>
      <c r="C70" s="205" t="inlineStr">
        <is>
          <t>Вспомогательные ненормируемые ресурсы (2% от Оплаты труда рабочих)</t>
        </is>
      </c>
      <c r="D70" s="200" t="inlineStr">
        <is>
          <t>руб</t>
        </is>
      </c>
      <c r="E70" s="250" t="n">
        <v>17.04</v>
      </c>
      <c r="F70" s="152" t="n">
        <v>1</v>
      </c>
      <c r="G70" s="152">
        <f>ROUND(F70*E70,2)</f>
        <v/>
      </c>
      <c r="H70" s="215">
        <f>G70/$G$92</f>
        <v/>
      </c>
      <c r="I70" s="152">
        <f>ROUND(F70*'Прил. 10'!$D$12,2)</f>
        <v/>
      </c>
      <c r="J70" s="152">
        <f>ROUND(I70*E70,2)</f>
        <v/>
      </c>
    </row>
    <row r="71" hidden="1" outlineLevel="1" ht="14.25" customFormat="1" customHeight="1" s="162">
      <c r="A71" s="200" t="n">
        <v>51</v>
      </c>
      <c r="B71" s="151" t="inlineStr">
        <is>
          <t>14.5.09.07-0030</t>
        </is>
      </c>
      <c r="C71" s="205" t="inlineStr">
        <is>
          <t>Растворитель Р-4</t>
        </is>
      </c>
      <c r="D71" s="200" t="inlineStr">
        <is>
          <t>кг</t>
        </is>
      </c>
      <c r="E71" s="250" t="n">
        <v>1.70469</v>
      </c>
      <c r="F71" s="152" t="n">
        <v>9.42</v>
      </c>
      <c r="G71" s="152">
        <f>ROUND(F71*E71,2)</f>
        <v/>
      </c>
      <c r="H71" s="215">
        <f>G71/$G$92</f>
        <v/>
      </c>
      <c r="I71" s="152">
        <f>ROUND(F71*'Прил. 10'!$D$12,2)</f>
        <v/>
      </c>
      <c r="J71" s="152">
        <f>ROUND(I71*E71,2)</f>
        <v/>
      </c>
    </row>
    <row r="72" hidden="1" outlineLevel="1" ht="14.25" customFormat="1" customHeight="1" s="162">
      <c r="A72" s="200" t="n">
        <v>52</v>
      </c>
      <c r="B72" s="151" t="inlineStr">
        <is>
          <t>08.3.11.01-0091</t>
        </is>
      </c>
      <c r="C72" s="205" t="inlineStr">
        <is>
          <t>Швеллеры № 40, марка стали Ст0</t>
        </is>
      </c>
      <c r="D72" s="200" t="inlineStr">
        <is>
          <t>т</t>
        </is>
      </c>
      <c r="E72" s="250" t="n">
        <v>0.0009116</v>
      </c>
      <c r="F72" s="152" t="n">
        <v>4920</v>
      </c>
      <c r="G72" s="152">
        <f>ROUND(F72*E72,2)</f>
        <v/>
      </c>
      <c r="H72" s="215">
        <f>G72/$G$92</f>
        <v/>
      </c>
      <c r="I72" s="152">
        <f>ROUND(F72*'Прил. 10'!$D$12,2)</f>
        <v/>
      </c>
      <c r="J72" s="152">
        <f>ROUND(I72*E72,2)</f>
        <v/>
      </c>
    </row>
    <row r="73" hidden="1" outlineLevel="1" ht="14.25" customFormat="1" customHeight="1" s="162">
      <c r="A73" s="200" t="n">
        <v>53</v>
      </c>
      <c r="B73" s="151" t="inlineStr">
        <is>
          <t>01.3.02.08-0001</t>
        </is>
      </c>
      <c r="C73" s="205" t="inlineStr">
        <is>
          <t>Кислород газообразный технический</t>
        </is>
      </c>
      <c r="D73" s="200" t="inlineStr">
        <is>
          <t>м3</t>
        </is>
      </c>
      <c r="E73" s="250" t="n">
        <v>0.643763</v>
      </c>
      <c r="F73" s="152" t="n">
        <v>6.22</v>
      </c>
      <c r="G73" s="152">
        <f>ROUND(F73*E73,2)</f>
        <v/>
      </c>
      <c r="H73" s="215">
        <f>G73/$G$92</f>
        <v/>
      </c>
      <c r="I73" s="152">
        <f>ROUND(F73*'Прил. 10'!$D$12,2)</f>
        <v/>
      </c>
      <c r="J73" s="152">
        <f>ROUND(I73*E73,2)</f>
        <v/>
      </c>
    </row>
    <row r="74" hidden="1" outlineLevel="1" ht="14.25" customFormat="1" customHeight="1" s="162">
      <c r="A74" s="200" t="n">
        <v>54</v>
      </c>
      <c r="B74" s="151" t="inlineStr">
        <is>
          <t>01.3.01.03-0002</t>
        </is>
      </c>
      <c r="C74" s="205" t="inlineStr">
        <is>
          <t>Керосин для технических целей</t>
        </is>
      </c>
      <c r="D74" s="200" t="inlineStr">
        <is>
          <t>т</t>
        </is>
      </c>
      <c r="E74" s="250" t="n">
        <v>0.0014688</v>
      </c>
      <c r="F74" s="152" t="n">
        <v>2606.9</v>
      </c>
      <c r="G74" s="152">
        <f>ROUND(F74*E74,2)</f>
        <v/>
      </c>
      <c r="H74" s="215">
        <f>G74/$G$92</f>
        <v/>
      </c>
      <c r="I74" s="152">
        <f>ROUND(F74*'Прил. 10'!$D$12,2)</f>
        <v/>
      </c>
      <c r="J74" s="152">
        <f>ROUND(I74*E74,2)</f>
        <v/>
      </c>
    </row>
    <row r="75" hidden="1" outlineLevel="1" ht="51" customFormat="1" customHeight="1" s="162">
      <c r="A75" s="200" t="n">
        <v>39</v>
      </c>
      <c r="B75" s="151" t="inlineStr">
        <is>
          <t>07.2.07.12-0020</t>
        </is>
      </c>
      <c r="C75" s="205" t="inlineStr">
        <is>
          <t>Элементы конструктивные зданий и сооружений с преобладанием горячекатаных профилей, средняя масса сборочной единицы от 0,1 до 0,5 т</t>
        </is>
      </c>
      <c r="D75" s="200" t="inlineStr">
        <is>
          <t>т</t>
        </is>
      </c>
      <c r="E75" s="250" t="n">
        <v>0.0004699</v>
      </c>
      <c r="F75" s="152" t="n">
        <v>7712</v>
      </c>
      <c r="G75" s="152">
        <f>ROUND(F75*E75,2)</f>
        <v/>
      </c>
      <c r="H75" s="215">
        <f>G75/$G$92</f>
        <v/>
      </c>
      <c r="I75" s="152">
        <f>ROUND(F75*'Прил. 10'!$D$12,2)</f>
        <v/>
      </c>
      <c r="J75" s="152">
        <f>ROUND(I75*E75,2)</f>
        <v/>
      </c>
    </row>
    <row r="76" hidden="1" outlineLevel="1" ht="14.25" customFormat="1" customHeight="1" s="162">
      <c r="A76" s="200" t="n">
        <v>40</v>
      </c>
      <c r="B76" s="151" t="inlineStr">
        <is>
          <t>14.4.01.01-0003</t>
        </is>
      </c>
      <c r="C76" s="205" t="inlineStr">
        <is>
          <t>Грунтовка ГФ-021</t>
        </is>
      </c>
      <c r="D76" s="200" t="inlineStr">
        <is>
          <t>т</t>
        </is>
      </c>
      <c r="E76" s="250" t="n">
        <v>0.0001457</v>
      </c>
      <c r="F76" s="152" t="n">
        <v>15620</v>
      </c>
      <c r="G76" s="152">
        <f>ROUND(F76*E76,2)</f>
        <v/>
      </c>
      <c r="H76" s="215">
        <f>G76/$G$92</f>
        <v/>
      </c>
      <c r="I76" s="152">
        <f>ROUND(F76*'Прил. 10'!$D$12,2)</f>
        <v/>
      </c>
      <c r="J76" s="152">
        <f>ROUND(I76*E76,2)</f>
        <v/>
      </c>
    </row>
    <row r="77" hidden="1" outlineLevel="1" ht="14.25" customFormat="1" customHeight="1" s="162">
      <c r="A77" s="200" t="n">
        <v>41</v>
      </c>
      <c r="B77" s="151" t="inlineStr">
        <is>
          <t>01.7.20.08-0071</t>
        </is>
      </c>
      <c r="C77" s="205" t="inlineStr">
        <is>
          <t>Канат пеньковый пропитанный</t>
        </is>
      </c>
      <c r="D77" s="200" t="inlineStr">
        <is>
          <t>т</t>
        </is>
      </c>
      <c r="E77" s="250" t="n">
        <v>4.7e-05</v>
      </c>
      <c r="F77" s="152" t="n">
        <v>37900</v>
      </c>
      <c r="G77" s="152">
        <f>ROUND(F77*E77,2)</f>
        <v/>
      </c>
      <c r="H77" s="215">
        <f>G77/$G$92</f>
        <v/>
      </c>
      <c r="I77" s="152">
        <f>ROUND(F77*'Прил. 10'!$D$12,2)</f>
        <v/>
      </c>
      <c r="J77" s="152">
        <f>ROUND(I77*E77,2)</f>
        <v/>
      </c>
    </row>
    <row r="78" hidden="1" outlineLevel="1" ht="14.25" customFormat="1" customHeight="1" s="162">
      <c r="A78" s="200" t="n">
        <v>42</v>
      </c>
      <c r="B78" s="151" t="inlineStr">
        <is>
          <t>01.2.01.02-0054</t>
        </is>
      </c>
      <c r="C78" s="205" t="inlineStr">
        <is>
          <t>Битумы нефтяные строительные БН-90/10</t>
        </is>
      </c>
      <c r="D78" s="200" t="inlineStr">
        <is>
          <t>т</t>
        </is>
      </c>
      <c r="E78" s="250" t="n">
        <v>0.0009791999999999999</v>
      </c>
      <c r="F78" s="152" t="n">
        <v>1383.1</v>
      </c>
      <c r="G78" s="152">
        <f>ROUND(F78*E78,2)</f>
        <v/>
      </c>
      <c r="H78" s="215">
        <f>G78/$G$92</f>
        <v/>
      </c>
      <c r="I78" s="152">
        <f>ROUND(F78*'Прил. 10'!$D$12,2)</f>
        <v/>
      </c>
      <c r="J78" s="152">
        <f>ROUND(I78*E78,2)</f>
        <v/>
      </c>
    </row>
    <row r="79" hidden="1" outlineLevel="1" ht="14.25" customFormat="1" customHeight="1" s="162">
      <c r="A79" s="200" t="n">
        <v>43</v>
      </c>
      <c r="B79" s="151" t="inlineStr">
        <is>
          <t>01.3.02.09-0022</t>
        </is>
      </c>
      <c r="C79" s="205" t="inlineStr">
        <is>
          <t>Пропан-бутан смесь техническая</t>
        </is>
      </c>
      <c r="D79" s="200" t="inlineStr">
        <is>
          <t>кг</t>
        </is>
      </c>
      <c r="E79" s="250" t="n">
        <v>0.192659</v>
      </c>
      <c r="F79" s="152" t="n">
        <v>6.09</v>
      </c>
      <c r="G79" s="152">
        <f>ROUND(F79*E79,2)</f>
        <v/>
      </c>
      <c r="H79" s="215">
        <f>G79/$G$92</f>
        <v/>
      </c>
      <c r="I79" s="152">
        <f>ROUND(F79*'Прил. 10'!$D$12,2)</f>
        <v/>
      </c>
      <c r="J79" s="152">
        <f>ROUND(I79*E79,2)</f>
        <v/>
      </c>
    </row>
    <row r="80" hidden="1" outlineLevel="1" ht="25.5" customFormat="1" customHeight="1" s="162">
      <c r="A80" s="200" t="n">
        <v>44</v>
      </c>
      <c r="B80" s="151" t="inlineStr">
        <is>
          <t>01.7.11.07-0034</t>
        </is>
      </c>
      <c r="C80" s="205" t="inlineStr">
        <is>
          <t>Электроды сварочные Э42А, диаметр 4 мм</t>
        </is>
      </c>
      <c r="D80" s="200" t="inlineStr">
        <is>
          <t>кг</t>
        </is>
      </c>
      <c r="E80" s="250" t="n">
        <v>0.1</v>
      </c>
      <c r="F80" s="152" t="n">
        <v>10.57</v>
      </c>
      <c r="G80" s="152">
        <f>ROUND(F80*E80,2)</f>
        <v/>
      </c>
      <c r="H80" s="215">
        <f>G80/$G$92</f>
        <v/>
      </c>
      <c r="I80" s="152">
        <f>ROUND(F80*'Прил. 10'!$D$12,2)</f>
        <v/>
      </c>
      <c r="J80" s="152">
        <f>ROUND(I80*E80,2)</f>
        <v/>
      </c>
    </row>
    <row r="81" hidden="1" outlineLevel="1" ht="14.25" customFormat="1" customHeight="1" s="162">
      <c r="A81" s="200" t="n">
        <v>45</v>
      </c>
      <c r="B81" s="151" t="inlineStr">
        <is>
          <t>11.2.13.04-0012</t>
        </is>
      </c>
      <c r="C81" s="205" t="inlineStr">
        <is>
          <t>Щиты из досок, толщина 40 мм</t>
        </is>
      </c>
      <c r="D81" s="200" t="inlineStr">
        <is>
          <t>м2</t>
        </is>
      </c>
      <c r="E81" s="250" t="n">
        <v>0.01584</v>
      </c>
      <c r="F81" s="152" t="n">
        <v>57.63</v>
      </c>
      <c r="G81" s="152">
        <f>ROUND(F81*E81,2)</f>
        <v/>
      </c>
      <c r="H81" s="215">
        <f>G81/$G$92</f>
        <v/>
      </c>
      <c r="I81" s="152">
        <f>ROUND(F81*'Прил. 10'!$D$12,2)</f>
        <v/>
      </c>
      <c r="J81" s="152">
        <f>ROUND(I81*E81,2)</f>
        <v/>
      </c>
    </row>
    <row r="82" hidden="1" outlineLevel="1" ht="38.25" customFormat="1" customHeight="1" s="162">
      <c r="A82" s="200" t="n">
        <v>46</v>
      </c>
      <c r="B82" s="151" t="inlineStr">
        <is>
          <t>11.1.03.01-0077</t>
        </is>
      </c>
      <c r="C82" s="205" t="inlineStr">
        <is>
          <t>Бруски обрезные, хвойных пород, длина 4-6,5 м, ширина 75-150 мм, толщина 40-75 мм, сорт I</t>
        </is>
      </c>
      <c r="D82" s="200" t="inlineStr">
        <is>
          <t>м3</t>
        </is>
      </c>
      <c r="E82" s="250" t="n">
        <v>0.000484</v>
      </c>
      <c r="F82" s="152" t="n">
        <v>1700</v>
      </c>
      <c r="G82" s="152">
        <f>ROUND(F82*E82,2)</f>
        <v/>
      </c>
      <c r="H82" s="215">
        <f>G82/$G$92</f>
        <v/>
      </c>
      <c r="I82" s="152">
        <f>ROUND(F82*'Прил. 10'!$D$12,2)</f>
        <v/>
      </c>
      <c r="J82" s="152">
        <f>ROUND(I82*E82,2)</f>
        <v/>
      </c>
    </row>
    <row r="83" hidden="1" outlineLevel="1" ht="14.25" customFormat="1" customHeight="1" s="162">
      <c r="A83" s="200" t="n">
        <v>47</v>
      </c>
      <c r="B83" s="151" t="inlineStr">
        <is>
          <t>01.7.07.12-0024</t>
        </is>
      </c>
      <c r="C83" s="205" t="inlineStr">
        <is>
          <t>Пленка полиэтиленовая, толщина 0,15 мм</t>
        </is>
      </c>
      <c r="D83" s="200" t="inlineStr">
        <is>
          <t>м2</t>
        </is>
      </c>
      <c r="E83" s="250" t="n">
        <v>0.132</v>
      </c>
      <c r="F83" s="152" t="n">
        <v>3.62</v>
      </c>
      <c r="G83" s="152">
        <f>ROUND(F83*E83,2)</f>
        <v/>
      </c>
      <c r="H83" s="215">
        <f>G83/$G$92</f>
        <v/>
      </c>
      <c r="I83" s="152">
        <f>ROUND(F83*'Прил. 10'!$D$12,2)</f>
        <v/>
      </c>
      <c r="J83" s="152">
        <f>ROUND(I83*E83,2)</f>
        <v/>
      </c>
    </row>
    <row r="84" hidden="1" outlineLevel="1" ht="51" customFormat="1" customHeight="1" s="162">
      <c r="A84" s="200" t="n">
        <v>48</v>
      </c>
      <c r="B84" s="151" t="inlineStr">
        <is>
          <t>08.2.02.11-0007</t>
        </is>
      </c>
      <c r="C84" s="205" t="inlineStr">
        <is>
          <t>Канат двойной свивки ТК, конструкции 6х19(1+6+12)+1 о.с., оцинкованный, из проволок марки В, маркировочная группа 1770 н/мм2, диаметр 5,5 мм</t>
        </is>
      </c>
      <c r="D84" s="200" t="inlineStr">
        <is>
          <t>10 м</t>
        </is>
      </c>
      <c r="E84" s="250" t="n">
        <v>0.008787100000000001</v>
      </c>
      <c r="F84" s="152" t="n">
        <v>50.24</v>
      </c>
      <c r="G84" s="152">
        <f>ROUND(F84*E84,2)</f>
        <v/>
      </c>
      <c r="H84" s="215">
        <f>G84/$G$92</f>
        <v/>
      </c>
      <c r="I84" s="152">
        <f>ROUND(F84*'Прил. 10'!$D$12,2)</f>
        <v/>
      </c>
      <c r="J84" s="152">
        <f>ROUND(I84*E84,2)</f>
        <v/>
      </c>
    </row>
    <row r="85" hidden="1" outlineLevel="1" ht="25.5" customFormat="1" customHeight="1" s="162">
      <c r="A85" s="200" t="n">
        <v>49</v>
      </c>
      <c r="B85" s="151" t="inlineStr">
        <is>
          <t>08.3.03.06-0002</t>
        </is>
      </c>
      <c r="C85" s="205" t="inlineStr">
        <is>
          <t>Проволока горячекатаная в мотках, диаметр 6,3-6,5 мм</t>
        </is>
      </c>
      <c r="D85" s="200" t="inlineStr">
        <is>
          <t>т</t>
        </is>
      </c>
      <c r="E85" s="250" t="n">
        <v>5.9e-05</v>
      </c>
      <c r="F85" s="152" t="n">
        <v>4455.2</v>
      </c>
      <c r="G85" s="152">
        <f>ROUND(F85*E85,2)</f>
        <v/>
      </c>
      <c r="H85" s="215">
        <f>G85/$G$92</f>
        <v/>
      </c>
      <c r="I85" s="152">
        <f>ROUND(F85*'Прил. 10'!$D$12,2)</f>
        <v/>
      </c>
      <c r="J85" s="152">
        <f>ROUND(I85*E85,2)</f>
        <v/>
      </c>
    </row>
    <row r="86" hidden="1" outlineLevel="1" ht="38.25" customFormat="1" customHeight="1" s="162">
      <c r="A86" s="200" t="n">
        <v>50</v>
      </c>
      <c r="B86" s="151" t="inlineStr">
        <is>
          <t>11.1.03.06-0095</t>
        </is>
      </c>
      <c r="C86" s="205" t="inlineStr">
        <is>
          <t>Доска обрезная, хвойных пород, ширина 75-150 мм, толщина 44 мм и более, длина 4-6,5 м, сорт III</t>
        </is>
      </c>
      <c r="D86" s="200" t="inlineStr">
        <is>
          <t>м3</t>
        </is>
      </c>
      <c r="E86" s="250" t="n">
        <v>0.000176</v>
      </c>
      <c r="F86" s="152" t="n">
        <v>1056</v>
      </c>
      <c r="G86" s="152">
        <f>ROUND(F86*E86,2)</f>
        <v/>
      </c>
      <c r="H86" s="215">
        <f>G86/$G$92</f>
        <v/>
      </c>
      <c r="I86" s="152">
        <f>ROUND(F86*'Прил. 10'!$D$12,2)</f>
        <v/>
      </c>
      <c r="J86" s="152">
        <f>ROUND(I86*E86,2)</f>
        <v/>
      </c>
    </row>
    <row r="87" hidden="1" outlineLevel="1" ht="14.25" customFormat="1" customHeight="1" s="162">
      <c r="A87" s="200" t="n">
        <v>51</v>
      </c>
      <c r="B87" s="151" t="inlineStr">
        <is>
          <t>01.7.15.06-0111</t>
        </is>
      </c>
      <c r="C87" s="205" t="inlineStr">
        <is>
          <t>Гвозди строительные</t>
        </is>
      </c>
      <c r="D87" s="200" t="inlineStr">
        <is>
          <t>т</t>
        </is>
      </c>
      <c r="E87" s="250" t="n">
        <v>1.35e-05</v>
      </c>
      <c r="F87" s="152" t="n">
        <v>11978</v>
      </c>
      <c r="G87" s="152">
        <f>ROUND(F87*E87,2)</f>
        <v/>
      </c>
      <c r="H87" s="215">
        <f>G87/$G$92</f>
        <v/>
      </c>
      <c r="I87" s="152">
        <f>ROUND(F87*'Прил. 10'!$D$12,2)</f>
        <v/>
      </c>
      <c r="J87" s="152">
        <f>ROUND(I87*E87,2)</f>
        <v/>
      </c>
    </row>
    <row r="88" hidden="1" outlineLevel="1" ht="25.5" customFormat="1" customHeight="1" s="162">
      <c r="A88" s="200" t="n">
        <v>52</v>
      </c>
      <c r="B88" s="151" t="inlineStr">
        <is>
          <t>03.1.02.03-0011</t>
        </is>
      </c>
      <c r="C88" s="205" t="inlineStr">
        <is>
          <t>Известь строительная негашеная комовая, сорт I</t>
        </is>
      </c>
      <c r="D88" s="200" t="inlineStr">
        <is>
          <t>т</t>
        </is>
      </c>
      <c r="E88" s="250" t="n">
        <v>4.4e-05</v>
      </c>
      <c r="F88" s="152" t="n">
        <v>734.5</v>
      </c>
      <c r="G88" s="152">
        <f>ROUND(F88*E88,2)</f>
        <v/>
      </c>
      <c r="H88" s="215">
        <f>G88/$G$92</f>
        <v/>
      </c>
      <c r="I88" s="152">
        <f>ROUND(F88*'Прил. 10'!$D$12,2)</f>
        <v/>
      </c>
      <c r="J88" s="152">
        <f>ROUND(I88*E88,2)</f>
        <v/>
      </c>
    </row>
    <row r="89" hidden="1" outlineLevel="1" ht="14.25" customFormat="1" customHeight="1" s="162">
      <c r="A89" s="200" t="n">
        <v>53</v>
      </c>
      <c r="B89" s="151" t="inlineStr">
        <is>
          <t>01.7.20.08-0051</t>
        </is>
      </c>
      <c r="C89" s="205" t="inlineStr">
        <is>
          <t>Ветошь</t>
        </is>
      </c>
      <c r="D89" s="200" t="inlineStr">
        <is>
          <t>кг</t>
        </is>
      </c>
      <c r="E89" s="250" t="n">
        <v>0.00612</v>
      </c>
      <c r="F89" s="152" t="n">
        <v>1.82</v>
      </c>
      <c r="G89" s="152">
        <f>ROUND(F89*E89,2)</f>
        <v/>
      </c>
      <c r="H89" s="215">
        <f>G89/$G$92</f>
        <v/>
      </c>
      <c r="I89" s="152">
        <f>ROUND(F89*'Прил. 10'!$D$12,2)</f>
        <v/>
      </c>
      <c r="J89" s="152">
        <f>ROUND(I89*E89,2)</f>
        <v/>
      </c>
    </row>
    <row r="90" hidden="1" outlineLevel="1" ht="14.25" customFormat="1" customHeight="1" s="162">
      <c r="A90" s="200" t="n">
        <v>54</v>
      </c>
      <c r="B90" s="151" t="inlineStr">
        <is>
          <t>01.7.03.01-0001</t>
        </is>
      </c>
      <c r="C90" s="205" t="inlineStr">
        <is>
          <t>Вода</t>
        </is>
      </c>
      <c r="D90" s="200" t="inlineStr">
        <is>
          <t>м3</t>
        </is>
      </c>
      <c r="E90" s="250" t="n">
        <v>0.003212</v>
      </c>
      <c r="F90" s="152" t="n">
        <v>2.44</v>
      </c>
      <c r="G90" s="152">
        <f>ROUND(F90*E90,2)</f>
        <v/>
      </c>
      <c r="H90" s="215">
        <f>G90/$G$92</f>
        <v/>
      </c>
      <c r="I90" s="152">
        <f>ROUND(F90*'Прил. 10'!$D$12,2)</f>
        <v/>
      </c>
      <c r="J90" s="152">
        <f>ROUND(I90*E90,2)</f>
        <v/>
      </c>
    </row>
    <row r="91" collapsed="1" customFormat="1" s="162">
      <c r="A91" s="200" t="n"/>
      <c r="B91" s="200" t="n"/>
      <c r="C91" s="205" t="inlineStr">
        <is>
          <t>Итого прочие материалы</t>
        </is>
      </c>
      <c r="D91" s="200" t="n"/>
      <c r="E91" s="206" t="n"/>
      <c r="F91" s="207" t="n"/>
      <c r="G91" s="152">
        <f>SUM(G56:G90)</f>
        <v/>
      </c>
      <c r="H91" s="215">
        <f>G91/G92</f>
        <v/>
      </c>
      <c r="I91" s="152" t="n"/>
      <c r="J91" s="152">
        <f>SUM(J56:J90)</f>
        <v/>
      </c>
      <c r="L91" s="254" t="n"/>
    </row>
    <row r="92" ht="14.25" customFormat="1" customHeight="1" s="162">
      <c r="A92" s="200" t="n"/>
      <c r="B92" s="200" t="n"/>
      <c r="C92" s="214" t="inlineStr">
        <is>
          <t>Итого по разделу «Материалы»</t>
        </is>
      </c>
      <c r="D92" s="200" t="n"/>
      <c r="E92" s="206" t="n"/>
      <c r="F92" s="207" t="n"/>
      <c r="G92" s="152">
        <f>G55+G91</f>
        <v/>
      </c>
      <c r="H92" s="215" t="n">
        <v>1</v>
      </c>
      <c r="I92" s="207" t="n"/>
      <c r="J92" s="152">
        <f>J55+J91</f>
        <v/>
      </c>
      <c r="K92" s="251" t="n"/>
      <c r="L92" s="61" t="n"/>
    </row>
    <row r="93" ht="14.25" customFormat="1" customHeight="1" s="162">
      <c r="A93" s="200" t="n"/>
      <c r="B93" s="200" t="n"/>
      <c r="C93" s="205" t="inlineStr">
        <is>
          <t>ИТОГО ПО РМ</t>
        </is>
      </c>
      <c r="D93" s="200" t="n"/>
      <c r="E93" s="206" t="n"/>
      <c r="F93" s="207" t="n"/>
      <c r="G93" s="152">
        <f>G14+G39+G92</f>
        <v/>
      </c>
      <c r="H93" s="215" t="n"/>
      <c r="I93" s="207" t="n"/>
      <c r="J93" s="152">
        <f>J14+J39+J92</f>
        <v/>
      </c>
    </row>
    <row r="94" ht="14.25" customFormat="1" customHeight="1" s="162">
      <c r="A94" s="200" t="n"/>
      <c r="B94" s="200" t="n"/>
      <c r="C94" s="205" t="inlineStr">
        <is>
          <t>Накладные расходы</t>
        </is>
      </c>
      <c r="D94" s="200" t="inlineStr">
        <is>
          <t>%</t>
        </is>
      </c>
      <c r="E94" s="59">
        <f>ROUND(G94/(G14+G16),2)</f>
        <v/>
      </c>
      <c r="F94" s="207" t="n"/>
      <c r="G94" s="152" t="n">
        <v>1390.03</v>
      </c>
      <c r="H94" s="215" t="n"/>
      <c r="I94" s="207" t="n"/>
      <c r="J94" s="152">
        <f>ROUND(E94*(J14+J16),2)</f>
        <v/>
      </c>
      <c r="K94" s="60" t="n"/>
    </row>
    <row r="95" ht="14.25" customFormat="1" customHeight="1" s="162">
      <c r="A95" s="200" t="n"/>
      <c r="B95" s="200" t="n"/>
      <c r="C95" s="205" t="inlineStr">
        <is>
          <t>Сметная прибыль</t>
        </is>
      </c>
      <c r="D95" s="200" t="inlineStr">
        <is>
          <t>%</t>
        </is>
      </c>
      <c r="E95" s="59">
        <f>ROUND(G95/(G14+G16),2)</f>
        <v/>
      </c>
      <c r="F95" s="207" t="n"/>
      <c r="G95" s="152" t="n">
        <v>750.17</v>
      </c>
      <c r="H95" s="215" t="n"/>
      <c r="I95" s="207" t="n"/>
      <c r="J95" s="152">
        <f>ROUND(E95*(J14+J16),2)</f>
        <v/>
      </c>
      <c r="K95" s="60" t="n"/>
    </row>
    <row r="96" ht="14.25" customFormat="1" customHeight="1" s="162">
      <c r="A96" s="200" t="n"/>
      <c r="B96" s="200" t="n"/>
      <c r="C96" s="205" t="inlineStr">
        <is>
          <t>Итого СМР (с НР и СП)</t>
        </is>
      </c>
      <c r="D96" s="200" t="n"/>
      <c r="E96" s="206" t="n"/>
      <c r="F96" s="207" t="n"/>
      <c r="G96" s="152">
        <f>G14+G39+G92+G94+G95</f>
        <v/>
      </c>
      <c r="H96" s="215" t="n"/>
      <c r="I96" s="207" t="n"/>
      <c r="J96" s="152">
        <f>J14+J39+J92+J94+J95</f>
        <v/>
      </c>
      <c r="L96" s="61" t="n"/>
    </row>
    <row r="97" ht="14.25" customFormat="1" customHeight="1" s="162">
      <c r="A97" s="200" t="n"/>
      <c r="B97" s="200" t="n"/>
      <c r="C97" s="205" t="inlineStr">
        <is>
          <t>ВСЕГО СМР + ОБОРУДОВАНИЕ</t>
        </is>
      </c>
      <c r="D97" s="200" t="n"/>
      <c r="E97" s="206" t="n"/>
      <c r="F97" s="207" t="n"/>
      <c r="G97" s="152">
        <f>G96+G45</f>
        <v/>
      </c>
      <c r="H97" s="215" t="n"/>
      <c r="I97" s="207" t="n"/>
      <c r="J97" s="152">
        <f>J96+J45</f>
        <v/>
      </c>
      <c r="L97" s="60" t="n"/>
    </row>
    <row r="98" ht="14.25" customFormat="1" customHeight="1" s="162">
      <c r="A98" s="200" t="n"/>
      <c r="B98" s="200" t="n"/>
      <c r="C98" s="205" t="inlineStr">
        <is>
          <t>ИТОГО ПОКАЗАТЕЛЬ НА ЕД. ИЗМ.</t>
        </is>
      </c>
      <c r="D98" s="200" t="inlineStr">
        <is>
          <t>ед.</t>
        </is>
      </c>
      <c r="E98" s="116">
        <f>'Прил.1 Сравнит табл'!D15</f>
        <v/>
      </c>
      <c r="F98" s="207" t="n"/>
      <c r="G98" s="152">
        <f>G97/E98</f>
        <v/>
      </c>
      <c r="H98" s="215" t="n"/>
      <c r="I98" s="207" t="n"/>
      <c r="J98" s="152">
        <f>J97/E98</f>
        <v/>
      </c>
      <c r="L98" s="249" t="n"/>
    </row>
    <row r="100" ht="14.25" customFormat="1" customHeight="1" s="162">
      <c r="A100" s="163" t="n"/>
    </row>
    <row r="101" ht="14.25" customFormat="1" customHeight="1" s="162">
      <c r="A101" s="161" t="inlineStr">
        <is>
          <t>Составил ______________________   Е. М. Добровольская</t>
        </is>
      </c>
      <c r="B101" s="162" t="n"/>
    </row>
    <row r="102" ht="14.25" customFormat="1" customHeight="1" s="162">
      <c r="A102" s="164" t="inlineStr">
        <is>
          <t xml:space="preserve">                         (подпись, инициалы, фамилия)</t>
        </is>
      </c>
      <c r="B102" s="162" t="n"/>
    </row>
    <row r="103" ht="14.25" customFormat="1" customHeight="1" s="162">
      <c r="A103" s="161" t="n"/>
      <c r="B103" s="162" t="n"/>
    </row>
    <row r="104" ht="14.25" customFormat="1" customHeight="1" s="162">
      <c r="A104" s="161" t="inlineStr">
        <is>
          <t>Проверил ______________________        А.В. Костянецкая</t>
        </is>
      </c>
      <c r="B104" s="162" t="n"/>
    </row>
    <row r="105" ht="14.25" customFormat="1" customHeight="1" s="162">
      <c r="A105" s="164" t="inlineStr">
        <is>
          <t xml:space="preserve">                        (подпись, инициалы, фамилия)</t>
        </is>
      </c>
      <c r="B105" s="162" t="n"/>
    </row>
  </sheetData>
  <mergeCells count="19">
    <mergeCell ref="H9:H10"/>
    <mergeCell ref="B15:H15"/>
    <mergeCell ref="C9:C10"/>
    <mergeCell ref="E9:E10"/>
    <mergeCell ref="A7:H7"/>
    <mergeCell ref="B40:J40"/>
    <mergeCell ref="B9:B10"/>
    <mergeCell ref="D9:D10"/>
    <mergeCell ref="B18:H18"/>
    <mergeCell ref="B12:H12"/>
    <mergeCell ref="D6:J6"/>
    <mergeCell ref="B41:J41"/>
    <mergeCell ref="B48:H48"/>
    <mergeCell ref="B47:J47"/>
    <mergeCell ref="F9:G9"/>
    <mergeCell ref="A4:H4"/>
    <mergeCell ref="B17:H17"/>
    <mergeCell ref="A9:A10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6.xml><?xml version="1.0" encoding="utf-8"?>
<worksheet xmlns="http://schemas.openxmlformats.org/spreadsheetml/2006/main">
  <sheetPr codeName="Лист6">
    <outlinePr summaryBelow="1" summaryRight="1"/>
    <pageSetUpPr fitToPage="1"/>
  </sheetPr>
  <dimension ref="A1:G22"/>
  <sheetViews>
    <sheetView view="pageBreakPreview" topLeftCell="A7" workbookViewId="0">
      <selection activeCell="D20" sqref="D20"/>
    </sheetView>
  </sheetViews>
  <sheetFormatPr baseColWidth="8" defaultRowHeight="15"/>
  <cols>
    <col width="5.7109375" customWidth="1" style="170" min="1" max="1"/>
    <col width="14.85546875" customWidth="1" style="170" min="2" max="2"/>
    <col width="39.140625" customWidth="1" style="170" min="3" max="3"/>
    <col width="8.28515625" customWidth="1" style="170" min="4" max="4"/>
    <col width="13.5703125" customWidth="1" style="170" min="5" max="5"/>
    <col width="12.42578125" customWidth="1" style="170" min="6" max="6"/>
    <col width="14.140625" customWidth="1" style="170" min="7" max="7"/>
  </cols>
  <sheetData>
    <row r="1">
      <c r="A1" s="220" t="inlineStr">
        <is>
          <t>Приложение №6</t>
        </is>
      </c>
    </row>
    <row r="2">
      <c r="A2" s="220" t="n"/>
      <c r="B2" s="220" t="n"/>
      <c r="C2" s="220" t="n"/>
      <c r="D2" s="220" t="n"/>
      <c r="E2" s="220" t="n"/>
      <c r="F2" s="220" t="n"/>
      <c r="G2" s="220" t="n"/>
    </row>
    <row r="3">
      <c r="A3" s="220" t="n"/>
      <c r="B3" s="220" t="n"/>
      <c r="C3" s="220" t="n"/>
      <c r="D3" s="220" t="n"/>
      <c r="E3" s="220" t="n"/>
      <c r="F3" s="220" t="n"/>
      <c r="G3" s="220" t="n"/>
    </row>
    <row r="4">
      <c r="A4" s="220" t="n"/>
      <c r="B4" s="220" t="n"/>
      <c r="C4" s="220" t="n"/>
      <c r="D4" s="220" t="n"/>
      <c r="E4" s="220" t="n"/>
      <c r="F4" s="220" t="n"/>
      <c r="G4" s="220" t="n"/>
    </row>
    <row r="5">
      <c r="A5" s="197" t="inlineStr">
        <is>
          <t>Расчет стоимости оборудования</t>
        </is>
      </c>
    </row>
    <row r="6" ht="64.5" customHeight="1" s="170">
      <c r="A6" s="222">
        <f>'Прил.1 Сравнит табл'!B7</f>
        <v/>
      </c>
    </row>
    <row r="7">
      <c r="A7" s="161" t="n"/>
      <c r="B7" s="161" t="n"/>
      <c r="C7" s="161" t="n"/>
      <c r="D7" s="161" t="n"/>
      <c r="E7" s="161" t="n"/>
      <c r="F7" s="161" t="n"/>
      <c r="G7" s="161" t="n"/>
    </row>
    <row r="8" ht="30" customHeight="1" s="170">
      <c r="A8" s="221" t="inlineStr">
        <is>
          <t>№ пп.</t>
        </is>
      </c>
      <c r="B8" s="221" t="inlineStr">
        <is>
          <t>Код ресурса</t>
        </is>
      </c>
      <c r="C8" s="221" t="inlineStr">
        <is>
          <t>Наименование</t>
        </is>
      </c>
      <c r="D8" s="221" t="inlineStr">
        <is>
          <t>Ед. изм.</t>
        </is>
      </c>
      <c r="E8" s="200" t="inlineStr">
        <is>
          <t>Кол-во единиц по проектным данным</t>
        </is>
      </c>
      <c r="F8" s="221" t="inlineStr">
        <is>
          <t>Сметная стоимость в ценах на 01.01.2000 (руб.)</t>
        </is>
      </c>
      <c r="G8" s="235" t="n"/>
    </row>
    <row r="9">
      <c r="A9" s="237" t="n"/>
      <c r="B9" s="237" t="n"/>
      <c r="C9" s="237" t="n"/>
      <c r="D9" s="237" t="n"/>
      <c r="E9" s="237" t="n"/>
      <c r="F9" s="200" t="inlineStr">
        <is>
          <t>на ед. изм.</t>
        </is>
      </c>
      <c r="G9" s="200" t="inlineStr">
        <is>
          <t>общая</t>
        </is>
      </c>
    </row>
    <row r="10">
      <c r="A10" s="200" t="n">
        <v>1</v>
      </c>
      <c r="B10" s="200" t="n">
        <v>2</v>
      </c>
      <c r="C10" s="200" t="n">
        <v>3</v>
      </c>
      <c r="D10" s="200" t="n">
        <v>4</v>
      </c>
      <c r="E10" s="200" t="n">
        <v>5</v>
      </c>
      <c r="F10" s="200" t="n">
        <v>6</v>
      </c>
      <c r="G10" s="200" t="n">
        <v>7</v>
      </c>
    </row>
    <row r="11" ht="15" customHeight="1" s="170">
      <c r="A11" s="28" t="n"/>
      <c r="B11" s="205" t="inlineStr">
        <is>
          <t>ИНЖЕНЕРНОЕ ОБОРУДОВАНИЕ</t>
        </is>
      </c>
      <c r="C11" s="234" t="n"/>
      <c r="D11" s="234" t="n"/>
      <c r="E11" s="234" t="n"/>
      <c r="F11" s="234" t="n"/>
      <c r="G11" s="235" t="n"/>
    </row>
    <row r="12" ht="27" customHeight="1" s="170">
      <c r="A12" s="200" t="n"/>
      <c r="B12" s="214" t="n"/>
      <c r="C12" s="205" t="inlineStr">
        <is>
          <t>ИТОГО ИНЖЕНЕРНОЕ ОБОРУДОВАНИЕ</t>
        </is>
      </c>
      <c r="D12" s="214" t="n"/>
      <c r="E12" s="9" t="n"/>
      <c r="F12" s="207" t="n"/>
      <c r="G12" s="207" t="n">
        <v>0</v>
      </c>
    </row>
    <row r="13">
      <c r="A13" s="200" t="n"/>
      <c r="B13" s="205" t="inlineStr">
        <is>
          <t>ТЕХНОЛОГИЧЕСКОЕ ОБОРУДОВАНИЕ</t>
        </is>
      </c>
      <c r="C13" s="234" t="n"/>
      <c r="D13" s="234" t="n"/>
      <c r="E13" s="234" t="n"/>
      <c r="F13" s="234" t="n"/>
      <c r="G13" s="235" t="n"/>
    </row>
    <row r="14" ht="25.5" customHeight="1" s="170">
      <c r="A14" s="200" t="n">
        <v>1</v>
      </c>
      <c r="B14" s="116">
        <f>'Прил.5 Расчет СМР и ОБ'!B42</f>
        <v/>
      </c>
      <c r="C14" s="117">
        <f>'Прил.5 Расчет СМР и ОБ'!C42</f>
        <v/>
      </c>
      <c r="D14" s="116">
        <f>'Прил.5 Расчет СМР и ОБ'!D42</f>
        <v/>
      </c>
      <c r="E14" s="116">
        <f>'Прил.5 Расчет СМР и ОБ'!E42</f>
        <v/>
      </c>
      <c r="F14" s="116">
        <f>'Прил.5 Расчет СМР и ОБ'!F42</f>
        <v/>
      </c>
      <c r="G14" s="152">
        <f>'Прил.5 Расчет СМР и ОБ'!G42</f>
        <v/>
      </c>
    </row>
    <row r="15" ht="25.5" customHeight="1" s="170">
      <c r="A15" s="200" t="n"/>
      <c r="B15" s="13" t="n"/>
      <c r="C15" s="13" t="inlineStr">
        <is>
          <t>ИТОГО ТЕХНОЛОГИЧЕСКОЕ ОБОРУДОВАНИЕ</t>
        </is>
      </c>
      <c r="D15" s="13" t="n"/>
      <c r="E15" s="14" t="n"/>
      <c r="F15" s="207" t="n"/>
      <c r="G15" s="152">
        <f>SUM(G14:G14)</f>
        <v/>
      </c>
    </row>
    <row r="16" ht="19.5" customHeight="1" s="170">
      <c r="A16" s="200" t="n"/>
      <c r="B16" s="205" t="n"/>
      <c r="C16" s="205" t="inlineStr">
        <is>
          <t>Всего по разделу «Оборудование»</t>
        </is>
      </c>
      <c r="D16" s="205" t="n"/>
      <c r="E16" s="219" t="n"/>
      <c r="F16" s="207" t="n"/>
      <c r="G16" s="152">
        <f>G12+G15</f>
        <v/>
      </c>
    </row>
    <row r="17">
      <c r="A17" s="163" t="n"/>
      <c r="B17" s="12" t="n"/>
      <c r="C17" s="163" t="n"/>
      <c r="D17" s="163" t="n"/>
      <c r="E17" s="163" t="n"/>
      <c r="F17" s="163" t="n"/>
      <c r="G17" s="163" t="n"/>
    </row>
    <row r="18" s="170">
      <c r="A18" s="161" t="inlineStr">
        <is>
          <t>Составил ______________________   Е. М. Добровольская</t>
        </is>
      </c>
      <c r="B18" s="162" t="n"/>
      <c r="C18" s="162" t="n"/>
      <c r="D18" s="163" t="n"/>
      <c r="E18" s="163" t="n"/>
      <c r="F18" s="163" t="n"/>
      <c r="G18" s="163" t="n"/>
    </row>
    <row r="19" s="170">
      <c r="A19" s="164" t="inlineStr">
        <is>
          <t xml:space="preserve">                         (подпись, инициалы, фамилия)</t>
        </is>
      </c>
      <c r="B19" s="162" t="n"/>
      <c r="C19" s="162" t="n"/>
      <c r="D19" s="163" t="n"/>
      <c r="E19" s="163" t="n"/>
      <c r="F19" s="163" t="n"/>
      <c r="G19" s="163" t="n"/>
    </row>
    <row r="20" s="170">
      <c r="A20" s="161" t="n"/>
      <c r="B20" s="162" t="n"/>
      <c r="C20" s="162" t="n"/>
      <c r="D20" s="163" t="n"/>
      <c r="E20" s="163" t="n"/>
      <c r="F20" s="163" t="n"/>
      <c r="G20" s="163" t="n"/>
    </row>
    <row r="21" s="170">
      <c r="A21" s="161" t="inlineStr">
        <is>
          <t>Проверил ______________________        А.В. Костянецкая</t>
        </is>
      </c>
      <c r="B21" s="162" t="n"/>
      <c r="C21" s="162" t="n"/>
      <c r="D21" s="163" t="n"/>
      <c r="E21" s="163" t="n"/>
      <c r="F21" s="163" t="n"/>
      <c r="G21" s="163" t="n"/>
    </row>
    <row r="22" s="170">
      <c r="A22" s="164" t="inlineStr">
        <is>
          <t xml:space="preserve">                        (подпись, инициалы, фамилия)</t>
        </is>
      </c>
      <c r="B22" s="162" t="n"/>
      <c r="C22" s="162" t="n"/>
      <c r="D22" s="163" t="n"/>
      <c r="E22" s="163" t="n"/>
      <c r="F22" s="163" t="n"/>
      <c r="G22" s="163" t="n"/>
    </row>
  </sheetData>
  <mergeCells count="11">
    <mergeCell ref="A8:A9"/>
    <mergeCell ref="A1:G1"/>
    <mergeCell ref="E8:E9"/>
    <mergeCell ref="C8:C9"/>
    <mergeCell ref="B11:G11"/>
    <mergeCell ref="A6:G6"/>
    <mergeCell ref="D8:D9"/>
    <mergeCell ref="B8:B9"/>
    <mergeCell ref="B13:G13"/>
    <mergeCell ref="A5:G5"/>
    <mergeCell ref="F8:G8"/>
  </mergeCells>
  <pageMargins left="0.7" right="0.7" top="0.75" bottom="0.75" header="0.3" footer="0.3"/>
  <pageSetup orientation="portrait" paperSize="9" scale="81" cellComments="atEnd"/>
</worksheet>
</file>

<file path=xl/worksheets/sheet7.xml><?xml version="1.0" encoding="utf-8"?>
<worksheet xmlns="http://schemas.openxmlformats.org/spreadsheetml/2006/main">
  <sheetPr codeName="Лист7">
    <outlinePr summaryBelow="1" summaryRight="1"/>
    <pageSetUpPr fitToPage="1"/>
  </sheetPr>
  <dimension ref="A1:D17"/>
  <sheetViews>
    <sheetView view="pageBreakPreview" workbookViewId="0">
      <selection activeCell="C14" sqref="C14"/>
    </sheetView>
  </sheetViews>
  <sheetFormatPr baseColWidth="8" defaultRowHeight="15"/>
  <cols>
    <col width="12.7109375" customWidth="1" style="170" min="1" max="1"/>
    <col width="22.42578125" customWidth="1" style="170" min="2" max="2"/>
    <col width="37.140625" customWidth="1" style="170" min="3" max="3"/>
    <col width="49" customWidth="1" style="170" min="4" max="4"/>
    <col width="9.140625" customWidth="1" style="170" min="5" max="5"/>
  </cols>
  <sheetData>
    <row r="1" ht="15.75" customHeight="1" s="170">
      <c r="A1" s="172" t="n"/>
      <c r="B1" s="172" t="n"/>
      <c r="C1" s="172" t="n"/>
      <c r="D1" s="172" t="inlineStr">
        <is>
          <t>Приложение №7</t>
        </is>
      </c>
    </row>
    <row r="2" ht="15.75" customHeight="1" s="170">
      <c r="A2" s="172" t="n"/>
      <c r="B2" s="172" t="n"/>
      <c r="C2" s="172" t="n"/>
      <c r="D2" s="172" t="n"/>
    </row>
    <row r="3" ht="15.75" customHeight="1" s="170">
      <c r="A3" s="172" t="n"/>
      <c r="B3" s="155" t="inlineStr">
        <is>
          <t>Расчет показателя УНЦ</t>
        </is>
      </c>
      <c r="C3" s="172" t="n"/>
      <c r="D3" s="172" t="n"/>
    </row>
    <row r="4" ht="15.75" customHeight="1" s="170">
      <c r="A4" s="172" t="n"/>
      <c r="B4" s="172" t="n"/>
      <c r="C4" s="172" t="n"/>
      <c r="D4" s="172" t="n"/>
    </row>
    <row r="5" ht="47.25" customHeight="1" s="170">
      <c r="A5" s="223" t="inlineStr">
        <is>
          <t xml:space="preserve">Наименование разрабатываемого показателя УНЦ - </t>
        </is>
      </c>
      <c r="D5" s="223">
        <f>'Прил.5 Расчет СМР и ОБ'!D6:J6</f>
        <v/>
      </c>
    </row>
    <row r="6" ht="15.75" customHeight="1" s="170">
      <c r="A6" s="172" t="inlineStr">
        <is>
          <t>Единица измерения  — 1 ед</t>
        </is>
      </c>
      <c r="B6" s="172" t="n"/>
      <c r="C6" s="172" t="n"/>
      <c r="D6" s="172" t="n"/>
    </row>
    <row r="7" ht="15.75" customHeight="1" s="170">
      <c r="A7" s="172" t="n"/>
      <c r="B7" s="172" t="n"/>
      <c r="C7" s="172" t="n"/>
      <c r="D7" s="172" t="n"/>
    </row>
    <row r="8">
      <c r="A8" s="192" t="inlineStr">
        <is>
          <t>Код показателя</t>
        </is>
      </c>
      <c r="B8" s="192" t="inlineStr">
        <is>
          <t>Наименование показателя</t>
        </is>
      </c>
      <c r="C8" s="192" t="inlineStr">
        <is>
          <t>Наименование РМ, входящих в состав показателя</t>
        </is>
      </c>
      <c r="D8" s="192" t="inlineStr">
        <is>
          <t>Норматив цены на 01.01.2023, тыс.руб.</t>
        </is>
      </c>
    </row>
    <row r="9">
      <c r="A9" s="237" t="n"/>
      <c r="B9" s="237" t="n"/>
      <c r="C9" s="237" t="n"/>
      <c r="D9" s="237" t="n"/>
    </row>
    <row r="10" ht="15.75" customHeight="1" s="170">
      <c r="A10" s="192" t="n">
        <v>1</v>
      </c>
      <c r="B10" s="192" t="n">
        <v>2</v>
      </c>
      <c r="C10" s="192" t="n">
        <v>3</v>
      </c>
      <c r="D10" s="192" t="n">
        <v>4</v>
      </c>
    </row>
    <row r="11" ht="63" customHeight="1" s="170">
      <c r="A11" s="192" t="inlineStr">
        <is>
          <t>И2-01-2</t>
        </is>
      </c>
      <c r="B11" s="192" t="inlineStr">
        <is>
          <t>УНЦ выключателя 35 кВ с устройством фундаментов</t>
        </is>
      </c>
      <c r="C11" s="159">
        <f>D5</f>
        <v/>
      </c>
      <c r="D11" s="178">
        <f>'Прил.4 РМ'!C41/1000</f>
        <v/>
      </c>
    </row>
    <row r="13">
      <c r="A13" s="161" t="inlineStr">
        <is>
          <t>Составил ______________________        Е. М. Добровольская</t>
        </is>
      </c>
      <c r="B13" s="162" t="n"/>
      <c r="C13" s="162" t="n"/>
      <c r="D13" s="163" t="n"/>
    </row>
    <row r="14">
      <c r="A14" s="164" t="inlineStr">
        <is>
          <t xml:space="preserve">                         (подпись, инициалы, фамилия)</t>
        </is>
      </c>
      <c r="B14" s="162" t="n"/>
      <c r="C14" s="162" t="n"/>
      <c r="D14" s="163" t="n"/>
    </row>
    <row r="15">
      <c r="A15" s="161" t="n"/>
      <c r="B15" s="162" t="n"/>
      <c r="C15" s="162" t="n"/>
      <c r="D15" s="163" t="n"/>
    </row>
    <row r="16">
      <c r="A16" s="161" t="inlineStr">
        <is>
          <t>Проверил ______________________        А.В. Костянецкая</t>
        </is>
      </c>
      <c r="B16" s="162" t="n"/>
      <c r="C16" s="162" t="n"/>
      <c r="D16" s="163" t="n"/>
    </row>
    <row r="17" ht="20.25" customHeight="1" s="170">
      <c r="A17" s="164" t="inlineStr">
        <is>
          <t xml:space="preserve">                        (подпись, инициалы, фамилия)</t>
        </is>
      </c>
      <c r="B17" s="162" t="n"/>
      <c r="C17" s="162" t="n"/>
      <c r="D17" s="163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 codeName="Лист8">
    <outlinePr summaryBelow="1" summaryRight="1"/>
    <pageSetUpPr fitToPage="1"/>
  </sheetPr>
  <dimension ref="B4:E29"/>
  <sheetViews>
    <sheetView view="pageBreakPreview" topLeftCell="A13" zoomScale="60" zoomScaleNormal="100" workbookViewId="0">
      <selection activeCell="C24" sqref="C24"/>
    </sheetView>
  </sheetViews>
  <sheetFormatPr baseColWidth="8" defaultRowHeight="15"/>
  <cols>
    <col width="40.7109375" customWidth="1" style="170" min="2" max="2"/>
    <col width="37" customWidth="1" style="170" min="3" max="3"/>
    <col width="32" customWidth="1" style="170" min="4" max="4"/>
  </cols>
  <sheetData>
    <row r="4" ht="15.75" customHeight="1" s="170">
      <c r="B4" s="188" t="inlineStr">
        <is>
          <t>Приложение № 10</t>
        </is>
      </c>
    </row>
    <row r="5" ht="18.75" customHeight="1" s="170">
      <c r="B5" s="22" t="n"/>
    </row>
    <row r="6" ht="15.75" customHeight="1" s="170">
      <c r="B6" s="189" t="inlineStr">
        <is>
          <t>Используемые индексы изменений сметной стоимости и нормы сопутствующих затрат</t>
        </is>
      </c>
    </row>
    <row r="7">
      <c r="B7" s="224" t="n"/>
    </row>
    <row r="8" ht="47.25" customHeight="1" s="170">
      <c r="B8" s="192" t="inlineStr">
        <is>
          <t>Наименование индекса / норм сопутствующих затрат</t>
        </is>
      </c>
      <c r="C8" s="192" t="inlineStr">
        <is>
          <t>Дата применения и обоснование индекса / норм сопутствующих затрат</t>
        </is>
      </c>
      <c r="D8" s="192" t="inlineStr">
        <is>
          <t>Размер индекса / норма сопутствующих затрат</t>
        </is>
      </c>
    </row>
    <row r="9" ht="15.75" customHeight="1" s="170">
      <c r="B9" s="192" t="n">
        <v>1</v>
      </c>
      <c r="C9" s="192" t="n">
        <v>2</v>
      </c>
      <c r="D9" s="192" t="n">
        <v>3</v>
      </c>
    </row>
    <row r="10" ht="31.5" customHeight="1" s="170">
      <c r="B10" s="192" t="inlineStr">
        <is>
          <t xml:space="preserve">Индекс изменения сметной стоимости на 1 квартал 2023 года. ОЗП </t>
        </is>
      </c>
      <c r="C10" s="192" t="inlineStr">
        <is>
          <t>Письмо Минстроя России от 30.03.2023г. №17106-ИФ/09  прил.1</t>
        </is>
      </c>
      <c r="D10" s="192" t="n">
        <v>44.29</v>
      </c>
    </row>
    <row r="11" ht="31.5" customHeight="1" s="170">
      <c r="B11" s="192" t="inlineStr">
        <is>
          <t>Индекс изменения сметной стоимости на 1 квартал 2023 года. ЭМ</t>
        </is>
      </c>
      <c r="C11" s="192" t="inlineStr">
        <is>
          <t>Письмо Минстроя России от 30.03.2023г. №17106-ИФ/09  прил.1</t>
        </is>
      </c>
      <c r="D11" s="192" t="n">
        <v>13.47</v>
      </c>
    </row>
    <row r="12" ht="31.5" customHeight="1" s="170">
      <c r="B12" s="192" t="inlineStr">
        <is>
          <t>Индекс изменения сметной стоимости на 1 квартал 2023 года. МАТ</t>
        </is>
      </c>
      <c r="C12" s="192" t="inlineStr">
        <is>
          <t>Письмо Минстроя России от 30.03.2023г. №17106-ИФ/09  прил.1</t>
        </is>
      </c>
      <c r="D12" s="192" t="n">
        <v>8.039999999999999</v>
      </c>
    </row>
    <row r="13" ht="31.5" customHeight="1" s="170">
      <c r="B13" s="192" t="inlineStr">
        <is>
          <t>Индекс изменения сметной стоимости на 1 квартал 2023 года. ОБ</t>
        </is>
      </c>
      <c r="C13" s="166" t="inlineStr">
        <is>
          <t>Письмо Минстроя России от 23.02.2023г. №9791-ИФ/09 прил.6</t>
        </is>
      </c>
      <c r="D13" s="192" t="n">
        <v>6.26</v>
      </c>
    </row>
    <row r="14" ht="78.75" customHeight="1" s="170">
      <c r="B14" s="192" t="inlineStr">
        <is>
          <t>Временные здания и сооружения</t>
        </is>
      </c>
      <c r="C14" s="192" t="inlineStr">
        <is>
          <t xml:space="preserve">Приложение №1  Методики определения затрат на строительство временных зданий и сооружений   по приказу Минстроя РФ №332/пр от 19.06.2020  </t>
        </is>
      </c>
      <c r="D14" s="167" t="n">
        <v>0.039</v>
      </c>
    </row>
    <row r="15" ht="78.75" customHeight="1" s="170">
      <c r="B15" s="192" t="inlineStr">
        <is>
          <t>Дополнительные затраты при производстве строительно-монтажных работ в зимнее время</t>
        </is>
      </c>
      <c r="C15" s="192" t="inlineStr">
        <is>
      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5" s="167" t="n">
        <v>0.021</v>
      </c>
    </row>
    <row r="16" ht="31.5" customHeight="1" s="170">
      <c r="B16" s="192" t="inlineStr">
        <is>
          <t>Пусконаладочные работы</t>
        </is>
      </c>
      <c r="C16" s="192" t="n"/>
      <c r="D16" s="192" t="inlineStr">
        <is>
          <t>расчет</t>
        </is>
      </c>
    </row>
    <row r="17" ht="31.5" customHeight="1" s="170">
      <c r="B17" s="192" t="inlineStr">
        <is>
          <t>Строительный контроль</t>
        </is>
      </c>
      <c r="C17" s="192" t="inlineStr">
        <is>
          <t>Постановление Правительства РФ от 21.06.10 г. № 468</t>
        </is>
      </c>
      <c r="D17" s="167" t="n">
        <v>0.0214</v>
      </c>
    </row>
    <row r="18" ht="24" customHeight="1" s="170">
      <c r="B18" s="192" t="inlineStr">
        <is>
          <t>Авторский надзор</t>
        </is>
      </c>
      <c r="C18" s="192" t="inlineStr">
        <is>
          <t>Приказ от 4.08.2020 № 421/пр п.173</t>
        </is>
      </c>
      <c r="D18" s="167" t="n">
        <v>0.002</v>
      </c>
    </row>
    <row r="19" ht="18.75" customHeight="1" s="170">
      <c r="B19" s="192" t="inlineStr">
        <is>
          <t>Непредвиденные расходы</t>
        </is>
      </c>
      <c r="C19" s="192" t="inlineStr">
        <is>
          <t>Приказ от 4.08.2020 № 421/пр п.179</t>
        </is>
      </c>
      <c r="D19" s="167" t="n">
        <v>0.03</v>
      </c>
    </row>
    <row r="20" ht="18.75" customHeight="1" s="170">
      <c r="B20" s="23" t="n"/>
    </row>
    <row r="21" ht="18.75" customHeight="1" s="170">
      <c r="B21" s="23" t="n"/>
    </row>
    <row r="22" ht="18.75" customHeight="1" s="170">
      <c r="B22" s="23" t="n"/>
    </row>
    <row r="25">
      <c r="B25" s="161" t="inlineStr">
        <is>
          <t>Составил ______________________        Е. М. Добровольская</t>
        </is>
      </c>
      <c r="C25" s="162" t="n"/>
    </row>
    <row r="26">
      <c r="B26" s="164" t="inlineStr">
        <is>
          <t xml:space="preserve">                         (подпись, инициалы, фамилия)</t>
        </is>
      </c>
      <c r="C26" s="162" t="n"/>
    </row>
    <row r="27">
      <c r="B27" s="161" t="n"/>
      <c r="C27" s="162" t="n"/>
    </row>
    <row r="28">
      <c r="B28" s="161" t="inlineStr">
        <is>
          <t>Проверил ______________________        А.В. Костянецкая</t>
        </is>
      </c>
      <c r="C28" s="162" t="n"/>
    </row>
    <row r="29">
      <c r="B29" s="164" t="inlineStr">
        <is>
          <t xml:space="preserve">                        (подпись, инициалы, фамилия)</t>
        </is>
      </c>
      <c r="C29" s="162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9">
    <outlinePr summaryBelow="1" summaryRight="1"/>
    <pageSetUpPr fitToPage="1"/>
  </sheetPr>
  <dimension ref="A2:G13"/>
  <sheetViews>
    <sheetView view="pageBreakPreview" zoomScale="60" zoomScaleNormal="100" workbookViewId="0">
      <selection activeCell="F13" sqref="A13:F13"/>
    </sheetView>
  </sheetViews>
  <sheetFormatPr baseColWidth="8" defaultColWidth="9.140625" defaultRowHeight="15"/>
  <cols>
    <col width="44.85546875" customWidth="1" style="170" min="2" max="2"/>
    <col width="13" customWidth="1" style="170" min="3" max="3"/>
    <col width="22.85546875" customWidth="1" style="170" min="4" max="4"/>
    <col width="21.5703125" customWidth="1" style="170" min="5" max="5"/>
    <col width="53.7109375" bestFit="1" customWidth="1" style="170" min="6" max="6"/>
  </cols>
  <sheetData>
    <row r="1" s="170"/>
    <row r="2" ht="17.25" customHeight="1" s="170">
      <c r="A2" s="189" t="inlineStr">
        <is>
          <t>Расчет размера средств на оплату труда рабочих-строителей в текущем уровне цен (ФОТр.тек.)</t>
        </is>
      </c>
    </row>
    <row r="3" s="170"/>
    <row r="4" ht="18" customHeight="1" s="170">
      <c r="A4" s="171" t="inlineStr">
        <is>
          <t>Составлен в уровне цен на 01.01.2023 г.</t>
        </is>
      </c>
      <c r="B4" s="172" t="n"/>
      <c r="C4" s="172" t="n"/>
      <c r="D4" s="172" t="n"/>
      <c r="E4" s="172" t="n"/>
      <c r="F4" s="172" t="n"/>
      <c r="G4" s="172" t="n"/>
    </row>
    <row r="5" ht="15.75" customHeight="1" s="170">
      <c r="A5" s="173" t="inlineStr">
        <is>
          <t>№ пп.</t>
        </is>
      </c>
      <c r="B5" s="173" t="inlineStr">
        <is>
          <t>Наименование элемента</t>
        </is>
      </c>
      <c r="C5" s="173" t="inlineStr">
        <is>
          <t>Обозначение</t>
        </is>
      </c>
      <c r="D5" s="173" t="inlineStr">
        <is>
          <t>Формула</t>
        </is>
      </c>
      <c r="E5" s="173" t="inlineStr">
        <is>
          <t>Величина элемента</t>
        </is>
      </c>
      <c r="F5" s="173" t="inlineStr">
        <is>
          <t>Наименования обосновывающих документов</t>
        </is>
      </c>
      <c r="G5" s="172" t="n"/>
    </row>
    <row r="6" ht="15.75" customHeight="1" s="170">
      <c r="A6" s="173" t="n">
        <v>1</v>
      </c>
      <c r="B6" s="173" t="n">
        <v>2</v>
      </c>
      <c r="C6" s="173" t="n">
        <v>3</v>
      </c>
      <c r="D6" s="173" t="n">
        <v>4</v>
      </c>
      <c r="E6" s="173" t="n">
        <v>5</v>
      </c>
      <c r="F6" s="173" t="n">
        <v>6</v>
      </c>
      <c r="G6" s="172" t="n"/>
    </row>
    <row r="7" ht="110.25" customHeight="1" s="170">
      <c r="A7" s="174" t="inlineStr">
        <is>
          <t>1.1</t>
        </is>
      </c>
      <c r="B7" s="179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192" t="inlineStr">
        <is>
          <t>С1ср</t>
        </is>
      </c>
      <c r="D7" s="192" t="inlineStr">
        <is>
          <t>-</t>
        </is>
      </c>
      <c r="E7" s="177" t="n">
        <v>47872.94</v>
      </c>
      <c r="F7" s="179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72" t="n"/>
    </row>
    <row r="8" ht="31.5" customHeight="1" s="170">
      <c r="A8" s="174" t="inlineStr">
        <is>
          <t>1.2</t>
        </is>
      </c>
      <c r="B8" s="179" t="inlineStr">
        <is>
          <t>Среднегодовое нормативное число часов работы одного рабочего в месяц, часы (ч.)</t>
        </is>
      </c>
      <c r="C8" s="192" t="inlineStr">
        <is>
          <t>tср</t>
        </is>
      </c>
      <c r="D8" s="192" t="inlineStr">
        <is>
          <t>1973ч/12мес.</t>
        </is>
      </c>
      <c r="E8" s="178">
        <f>1973/12</f>
        <v/>
      </c>
      <c r="F8" s="179" t="inlineStr">
        <is>
          <t>Производственный календарь 2023 год
(40-часов.неделя)</t>
        </is>
      </c>
      <c r="G8" s="181" t="n"/>
    </row>
    <row r="9" ht="15.75" customHeight="1" s="170">
      <c r="A9" s="174" t="inlineStr">
        <is>
          <t>1.3</t>
        </is>
      </c>
      <c r="B9" s="179" t="inlineStr">
        <is>
          <t>Коэффициент увеличения</t>
        </is>
      </c>
      <c r="C9" s="192" t="inlineStr">
        <is>
          <t>Кув</t>
        </is>
      </c>
      <c r="D9" s="192" t="inlineStr">
        <is>
          <t>-</t>
        </is>
      </c>
      <c r="E9" s="178" t="n">
        <v>1</v>
      </c>
      <c r="F9" s="179" t="n"/>
      <c r="G9" s="181" t="n"/>
    </row>
    <row r="10" ht="15.75" customHeight="1" s="170">
      <c r="A10" s="174" t="inlineStr">
        <is>
          <t>1.4</t>
        </is>
      </c>
      <c r="B10" s="179" t="inlineStr">
        <is>
          <t>Средний разряд работ</t>
        </is>
      </c>
      <c r="C10" s="192" t="n"/>
      <c r="D10" s="192" t="n"/>
      <c r="E10" s="257" t="n">
        <v>3.9</v>
      </c>
      <c r="F10" s="179" t="inlineStr">
        <is>
          <t>РТМ</t>
        </is>
      </c>
      <c r="G10" s="181" t="n"/>
    </row>
    <row r="11" ht="78.75" customHeight="1" s="170">
      <c r="A11" s="174" t="inlineStr">
        <is>
          <t>1.5</t>
        </is>
      </c>
      <c r="B11" s="179" t="inlineStr">
        <is>
          <t>Тарифный коэффициент среднего разряда работ</t>
        </is>
      </c>
      <c r="C11" s="192" t="inlineStr">
        <is>
          <t>КТ</t>
        </is>
      </c>
      <c r="D11" s="192" t="inlineStr">
        <is>
          <t>-</t>
        </is>
      </c>
      <c r="E11" s="258" t="n">
        <v>1.324</v>
      </c>
      <c r="F11" s="179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72" t="n"/>
    </row>
    <row r="12" ht="78.75" customHeight="1" s="170">
      <c r="A12" s="184" t="inlineStr">
        <is>
          <t>1.6</t>
        </is>
      </c>
      <c r="B12" s="225" t="inlineStr">
        <is>
          <t>Коэффициент инфляции, определяемый поквартально</t>
        </is>
      </c>
      <c r="C12" s="185" t="inlineStr">
        <is>
          <t>Кинф</t>
        </is>
      </c>
      <c r="D12" s="185" t="inlineStr">
        <is>
          <t>-</t>
        </is>
      </c>
      <c r="E12" s="259" t="n">
        <v>1.139</v>
      </c>
      <c r="F12" s="22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81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170">
      <c r="A13" s="228" t="inlineStr">
        <is>
          <t>1.7</t>
        </is>
      </c>
      <c r="B13" s="229" t="inlineStr">
        <is>
          <t>Размер средств на оплату труда рабочих-строителей в текущем уровне цен (ФОТр.тек.), руб/чел.-ч</t>
        </is>
      </c>
      <c r="C13" s="230" t="inlineStr">
        <is>
          <t>ФОТр.тек.</t>
        </is>
      </c>
      <c r="D13" s="230" t="inlineStr">
        <is>
          <t>(С1ср/tср*КТ*Т*Кув)*Кинф</t>
        </is>
      </c>
      <c r="E13" s="231">
        <f>((E7*E9/E8)*E11)*E12</f>
        <v/>
      </c>
      <c r="F13" s="23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72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2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2025-01-24T12:02:02Z</dcterms:modified>
  <cp:lastModifiedBy>Николай Трофименко</cp:lastModifiedBy>
  <cp:lastPrinted>2023-11-29T13:43:40Z</cp:lastPrinted>
</cp:coreProperties>
</file>