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'Прил. 3'!$A$2</definedName>
    <definedName name="_xlnm.Print_Titles" localSheetId="2">'Прил. 3'!$9:$11</definedName>
    <definedName name="_xlnm.Print_Area" localSheetId="2">'Прил. 3'!$A$1:$H$91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ОБ'!$A$1:$J$119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#,##0.00000"/>
    <numFmt numFmtId="166" formatCode="0.0000"/>
    <numFmt numFmtId="167" formatCode="#,##0.000"/>
    <numFmt numFmtId="168" formatCode="#,##0.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Arial"/>
      <b val="1"/>
      <color rgb="FF000000"/>
      <sz val="11"/>
    </font>
    <font>
      <name val="Times New Roman"/>
      <color rgb="FF000000"/>
      <sz val="14"/>
      <vertAlign val="superscript"/>
    </font>
    <font>
      <name val="Times New Roman"/>
      <color rgb="FFFF0000"/>
      <sz val="12"/>
    </font>
    <font>
      <name val="Arial"/>
      <color rgb="FF0070C0"/>
      <sz val="10"/>
    </font>
    <font>
      <name val="Calibri"/>
      <color rgb="FF00B050"/>
      <sz val="11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2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/>
    </xf>
    <xf numFmtId="10" fontId="2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9" fillId="0" borderId="1" applyAlignment="1" pivotButton="0" quotePrefix="0" xfId="0">
      <alignment vertical="top"/>
    </xf>
    <xf numFmtId="0" fontId="9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0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10" fontId="2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1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5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167" fontId="6" fillId="0" borderId="0" pivotButton="0" quotePrefix="0" xfId="0"/>
    <xf numFmtId="0" fontId="12" fillId="0" borderId="0" applyAlignment="1" pivotButton="0" quotePrefix="0" xfId="0">
      <alignment wrapText="1"/>
    </xf>
    <xf numFmtId="0" fontId="6" fillId="0" borderId="1" applyAlignment="1" pivotButton="0" quotePrefix="0" xfId="0">
      <alignment horizontal="justify" vertical="center" wrapText="1"/>
    </xf>
    <xf numFmtId="0" fontId="12" fillId="0" borderId="0" pivotButton="0" quotePrefix="0" xfId="0"/>
    <xf numFmtId="0" fontId="6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center" vertical="center"/>
    </xf>
    <xf numFmtId="167" fontId="6" fillId="0" borderId="1" applyAlignment="1" pivotButton="0" quotePrefix="0" xfId="0">
      <alignment horizontal="right" vertical="center" wrapText="1"/>
    </xf>
    <xf numFmtId="167" fontId="6" fillId="0" borderId="1" applyAlignment="1" pivotButton="0" quotePrefix="0" xfId="0">
      <alignment horizontal="right" vertical="center"/>
    </xf>
    <xf numFmtId="167" fontId="9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1" xfId="0">
      <alignment horizontal="center" vertical="center"/>
    </xf>
    <xf numFmtId="167" fontId="9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10" fontId="14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10" fontId="13" fillId="0" borderId="1" applyAlignment="1" pivotButton="0" quotePrefix="0" xfId="0">
      <alignment horizontal="right" vertical="center" wrapText="1"/>
    </xf>
    <xf numFmtId="0" fontId="13" fillId="0" borderId="1" applyAlignment="1" pivotButton="0" quotePrefix="0" xfId="0">
      <alignment horizontal="right" vertical="center" wrapText="1"/>
    </xf>
    <xf numFmtId="0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4" fontId="13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top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6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9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9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7" fontId="6" fillId="0" borderId="0" pivotButton="0" quotePrefix="0" xfId="0"/>
    <xf numFmtId="0" fontId="0" fillId="0" borderId="9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2" pivotButton="0" quotePrefix="0" xfId="0"/>
    <xf numFmtId="167" fontId="6" fillId="0" borderId="1" applyAlignment="1" pivotButton="0" quotePrefix="0" xfId="0">
      <alignment horizontal="right" vertical="center"/>
    </xf>
    <xf numFmtId="167" fontId="6" fillId="0" borderId="1" applyAlignment="1" pivotButton="0" quotePrefix="0" xfId="0">
      <alignment horizontal="right" vertical="center" wrapText="1"/>
    </xf>
    <xf numFmtId="167" fontId="9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6" fontId="10" fillId="0" borderId="0" pivotButton="0" quotePrefix="0" xfId="0"/>
    <xf numFmtId="0" fontId="3" fillId="0" borderId="13" applyAlignment="1" pivotButton="0" quotePrefix="0" xfId="0">
      <alignment horizontal="left" vertical="center" wrapText="1"/>
    </xf>
    <xf numFmtId="0" fontId="0" fillId="0" borderId="8" pivotButton="0" quotePrefix="0" xfId="0"/>
    <xf numFmtId="164" fontId="13" fillId="0" borderId="1" applyAlignment="1" pivotButton="0" quotePrefix="0" xfId="0">
      <alignment horizontal="center" vertical="center" wrapText="1"/>
    </xf>
    <xf numFmtId="168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J33"/>
  <sheetViews>
    <sheetView tabSelected="1" view="pageBreakPreview" topLeftCell="A16" zoomScale="60" zoomScaleNormal="70" workbookViewId="0">
      <selection activeCell="E27" sqref="E27"/>
    </sheetView>
  </sheetViews>
  <sheetFormatPr baseColWidth="8" defaultRowHeight="15.75"/>
  <cols>
    <col width="9.140625" customWidth="1" style="189" min="1" max="2"/>
    <col width="36.85546875" customWidth="1" style="189" min="3" max="3"/>
    <col width="36.5703125" customWidth="1" style="189" min="4" max="5"/>
    <col width="14.28515625" customWidth="1" style="187" min="6" max="6"/>
    <col width="12.140625" customWidth="1" style="187" min="7" max="7"/>
    <col width="12.28515625" customWidth="1" style="187" min="8" max="8"/>
    <col width="15" customWidth="1" style="187" min="9" max="9"/>
    <col width="9.140625" customWidth="1" style="187" min="10" max="10"/>
  </cols>
  <sheetData>
    <row r="1">
      <c r="F1" s="189" t="n"/>
      <c r="G1" s="189" t="n"/>
      <c r="H1" s="189" t="n"/>
      <c r="I1" s="189" t="n"/>
      <c r="J1" s="189" t="n"/>
    </row>
    <row r="2">
      <c r="F2" s="189" t="n"/>
      <c r="G2" s="189" t="n"/>
      <c r="H2" s="189" t="n"/>
      <c r="I2" s="189" t="n"/>
      <c r="J2" s="189" t="n"/>
    </row>
    <row r="3">
      <c r="B3" s="206" t="inlineStr">
        <is>
          <t>Приложение № 1</t>
        </is>
      </c>
      <c r="F3" s="189" t="n"/>
      <c r="G3" s="189" t="n"/>
      <c r="H3" s="189" t="n"/>
      <c r="I3" s="189" t="n"/>
      <c r="J3" s="189" t="n"/>
    </row>
    <row r="4">
      <c r="B4" s="207" t="inlineStr">
        <is>
          <t>Сравнительная таблица отбора объекта-представителя</t>
        </is>
      </c>
      <c r="F4" s="189" t="n"/>
      <c r="G4" s="189" t="n"/>
      <c r="H4" s="189" t="n"/>
      <c r="I4" s="189" t="n"/>
      <c r="J4" s="189" t="n"/>
    </row>
    <row r="5">
      <c r="B5" s="157" t="n"/>
      <c r="C5" s="157" t="n"/>
      <c r="D5" s="157" t="n"/>
      <c r="E5" s="157" t="n"/>
      <c r="F5" s="189" t="n"/>
      <c r="G5" s="189" t="n"/>
      <c r="H5" s="189" t="n"/>
      <c r="I5" s="189" t="n"/>
      <c r="J5" s="189" t="n"/>
    </row>
    <row r="6">
      <c r="B6" s="157" t="n"/>
      <c r="C6" s="157" t="n"/>
      <c r="D6" s="157" t="n"/>
      <c r="E6" s="157" t="n"/>
      <c r="F6" s="189" t="n"/>
      <c r="G6" s="189" t="n"/>
      <c r="H6" s="189" t="n"/>
      <c r="I6" s="189" t="n"/>
      <c r="J6" s="189" t="n"/>
    </row>
    <row r="7" ht="31.5" customHeight="1" s="187">
      <c r="B7" s="205">
        <f>_xlfn.CONCAT(TEXT('Прил.5 Расчет СМР и ОБ'!A6,0)," - ",TEXT('Прил.5 Расчет СМР и ОБ'!D6,0))</f>
        <v/>
      </c>
      <c r="F7" s="140" t="n"/>
      <c r="G7" s="189" t="n"/>
      <c r="H7" s="189" t="n"/>
      <c r="I7" s="189" t="n"/>
      <c r="J7" s="189" t="n"/>
    </row>
    <row r="8" ht="15.75" customHeight="1" s="187">
      <c r="B8" s="128" t="inlineStr">
        <is>
          <t xml:space="preserve">Сопоставимый уровень цен: </t>
        </is>
      </c>
      <c r="C8" s="128" t="n"/>
      <c r="D8" s="128">
        <f>D22</f>
        <v/>
      </c>
      <c r="E8" s="128" t="n"/>
      <c r="F8" s="189" t="n"/>
      <c r="G8" s="189" t="n"/>
      <c r="H8" s="189" t="n"/>
      <c r="I8" s="189" t="n"/>
      <c r="J8" s="189" t="n"/>
    </row>
    <row r="9" ht="15.75" customHeight="1" s="187">
      <c r="B9" s="205" t="inlineStr">
        <is>
          <t>Единица измерения  — 1 ед</t>
        </is>
      </c>
      <c r="F9" s="140" t="n"/>
      <c r="G9" s="189" t="n"/>
      <c r="H9" s="189" t="n"/>
      <c r="I9" s="189" t="n"/>
      <c r="J9" s="189" t="n"/>
    </row>
    <row r="10">
      <c r="B10" s="205" t="n"/>
      <c r="F10" s="189" t="n"/>
      <c r="G10" s="189" t="n"/>
      <c r="H10" s="189" t="n"/>
      <c r="I10" s="189" t="n"/>
      <c r="J10" s="189" t="n"/>
    </row>
    <row r="11">
      <c r="B11" s="210" t="inlineStr">
        <is>
          <t>№ п/п</t>
        </is>
      </c>
      <c r="C11" s="210" t="inlineStr">
        <is>
          <t>Параметр</t>
        </is>
      </c>
      <c r="D11" s="210" t="inlineStr">
        <is>
          <t>Объект-представитель 1</t>
        </is>
      </c>
      <c r="E11" s="210" t="inlineStr">
        <is>
          <t>Объект-представитель 2</t>
        </is>
      </c>
      <c r="F11" s="140" t="n"/>
      <c r="G11" s="189" t="n"/>
      <c r="H11" s="189" t="n"/>
      <c r="I11" s="189" t="n"/>
      <c r="J11" s="189" t="n"/>
    </row>
    <row r="12" ht="97.5" customHeight="1" s="187">
      <c r="B12" s="210" t="n">
        <v>1</v>
      </c>
      <c r="C12" s="148" t="inlineStr">
        <is>
          <t>Наименование объекта-представителя</t>
        </is>
      </c>
      <c r="D12" s="210" t="inlineStr">
        <is>
          <t>Реконструкция ПС 35 кВ "Саперная" (замена силовых трансформаторов мощностью 2х6.3 МВА на 2х10 МВА)</t>
        </is>
      </c>
      <c r="E12" s="210" t="inlineStr">
        <is>
          <t>Реконструкция ПС 35/10/6 кВ Купино в части замены существующих трансформаторов 2х2,5 МВА и 1х4 МВА на трансформаторы 2х4 МВА</t>
        </is>
      </c>
      <c r="F12" s="189" t="n"/>
      <c r="G12" s="189" t="n"/>
      <c r="H12" s="189" t="n"/>
      <c r="I12" s="189" t="n"/>
      <c r="J12" s="189" t="n"/>
    </row>
    <row r="13" ht="31.5" customHeight="1" s="187">
      <c r="B13" s="210" t="n">
        <v>2</v>
      </c>
      <c r="C13" s="148" t="inlineStr">
        <is>
          <t>Наименование субъекта Российской Федерации</t>
        </is>
      </c>
      <c r="D13" s="210" t="inlineStr">
        <is>
          <t>Ленинградская область</t>
        </is>
      </c>
      <c r="E13" s="210" t="inlineStr">
        <is>
          <t>Самарская область</t>
        </is>
      </c>
      <c r="F13" s="189" t="n"/>
      <c r="G13" s="189" t="n"/>
      <c r="H13" s="189" t="n"/>
      <c r="I13" s="189" t="n"/>
      <c r="J13" s="189" t="n"/>
    </row>
    <row r="14">
      <c r="B14" s="210" t="n">
        <v>3</v>
      </c>
      <c r="C14" s="148" t="inlineStr">
        <is>
          <t>Климатический район и подрайон</t>
        </is>
      </c>
      <c r="D14" s="210" t="inlineStr">
        <is>
          <t>IIВ</t>
        </is>
      </c>
      <c r="E14" s="210" t="inlineStr">
        <is>
          <t>IIB</t>
        </is>
      </c>
      <c r="F14" s="189" t="n"/>
      <c r="G14" s="189" t="n"/>
      <c r="H14" s="189" t="n"/>
      <c r="I14" s="189" t="n"/>
      <c r="J14" s="189" t="n"/>
    </row>
    <row r="15">
      <c r="B15" s="210" t="n">
        <v>4</v>
      </c>
      <c r="C15" s="148" t="inlineStr">
        <is>
          <t>Мощность объекта</t>
        </is>
      </c>
      <c r="D15" s="210" t="n">
        <v>2</v>
      </c>
      <c r="E15" s="210" t="n">
        <v>3</v>
      </c>
      <c r="F15" s="189" t="n"/>
      <c r="G15" s="189" t="n"/>
      <c r="H15" s="189" t="n"/>
      <c r="I15" s="189" t="n"/>
      <c r="J15" s="189" t="n"/>
    </row>
    <row r="16" ht="100.5" customHeight="1" s="187">
      <c r="B16" s="210" t="n">
        <v>5</v>
      </c>
      <c r="C16" s="18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0" t="inlineStr">
        <is>
          <t>Выключатель баковый 35 кВ</t>
        </is>
      </c>
      <c r="E16" s="210" t="inlineStr">
        <is>
          <t>Выключатель баковый 35 кВ</t>
        </is>
      </c>
      <c r="F16" s="189" t="n"/>
      <c r="G16" s="189" t="n"/>
      <c r="H16" s="189" t="n"/>
      <c r="I16" s="189" t="n"/>
      <c r="J16" s="189" t="n"/>
    </row>
    <row r="17" ht="82.5" customHeight="1" s="187">
      <c r="B17" s="210" t="n">
        <v>6</v>
      </c>
      <c r="C17" s="18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1">
        <f>SUM(D18:D21)</f>
        <v/>
      </c>
      <c r="E17" s="151">
        <f>SUM(E18:E21)</f>
        <v/>
      </c>
      <c r="F17" s="138" t="n"/>
      <c r="G17" s="189" t="n"/>
      <c r="H17" s="251" t="n"/>
      <c r="I17" s="189" t="n"/>
      <c r="J17" s="189" t="n"/>
    </row>
    <row r="18">
      <c r="B18" s="136" t="inlineStr">
        <is>
          <t>6.1</t>
        </is>
      </c>
      <c r="C18" s="148" t="inlineStr">
        <is>
          <t>строительно-монтажные работы</t>
        </is>
      </c>
      <c r="D18" s="151">
        <f>'Прил.2 Расч стоим'!F14+'Прил.2 Расч стоим'!G14</f>
        <v/>
      </c>
      <c r="E18" s="151">
        <f>'Прил.2 Расч стоим'!F22+'Прил.2 Расч стоим'!G22</f>
        <v/>
      </c>
      <c r="F18" s="189" t="n"/>
      <c r="G18" s="189" t="n"/>
      <c r="H18" s="251" t="n"/>
      <c r="I18" s="189" t="n"/>
      <c r="J18" s="189" t="n"/>
    </row>
    <row r="19">
      <c r="B19" s="136" t="inlineStr">
        <is>
          <t>6.2</t>
        </is>
      </c>
      <c r="C19" s="148" t="inlineStr">
        <is>
          <t>оборудование и инвентарь</t>
        </is>
      </c>
      <c r="D19" s="151">
        <f>'Прил.2 Расч стоим'!H14</f>
        <v/>
      </c>
      <c r="E19" s="151">
        <f>'Прил.2 Расч стоим'!H22</f>
        <v/>
      </c>
      <c r="F19" s="189" t="n"/>
      <c r="G19" s="189" t="n"/>
      <c r="H19" s="189" t="n"/>
      <c r="I19" s="189" t="n"/>
      <c r="J19" s="189" t="n"/>
    </row>
    <row r="20">
      <c r="B20" s="136" t="inlineStr">
        <is>
          <t>6.3</t>
        </is>
      </c>
      <c r="C20" s="148" t="inlineStr">
        <is>
          <t>пусконаладочные работы</t>
        </is>
      </c>
      <c r="D20" s="151">
        <f>3186.29/96738.34*D19</f>
        <v/>
      </c>
      <c r="E20" s="151" t="n">
        <v>0</v>
      </c>
      <c r="F20" s="189" t="n"/>
      <c r="G20" s="189" t="n"/>
      <c r="H20" s="189" t="n"/>
      <c r="I20" s="189" t="n"/>
      <c r="J20" s="189" t="n"/>
    </row>
    <row r="21" ht="31.5" customHeight="1" s="187">
      <c r="B21" s="136" t="inlineStr">
        <is>
          <t>6.4</t>
        </is>
      </c>
      <c r="C21" s="135" t="inlineStr">
        <is>
          <t>прочие и лимитированные затраты</t>
        </is>
      </c>
      <c r="D21" s="151">
        <f>'Прил.2 Расч стоим'!I14</f>
        <v/>
      </c>
      <c r="E21" s="151">
        <f>'Прил.2 Расч стоим'!I22</f>
        <v/>
      </c>
      <c r="F21" s="189" t="n"/>
      <c r="G21" s="189" t="n"/>
      <c r="H21" s="189" t="n"/>
      <c r="I21" s="189" t="n"/>
      <c r="J21" s="189" t="n"/>
    </row>
    <row r="22">
      <c r="B22" s="210" t="n">
        <v>7</v>
      </c>
      <c r="C22" s="135" t="inlineStr">
        <is>
          <t>Сопоставимый уровень цен</t>
        </is>
      </c>
      <c r="D22" s="151" t="inlineStr">
        <is>
          <t>2 кв. 2020г</t>
        </is>
      </c>
      <c r="E22" s="151">
        <f>D22</f>
        <v/>
      </c>
      <c r="F22" s="138" t="n"/>
      <c r="G22" s="189" t="n"/>
      <c r="H22" s="189" t="n"/>
      <c r="I22" s="189" t="n"/>
      <c r="J22" s="189" t="n"/>
    </row>
    <row r="23" ht="119.25" customHeight="1" s="187">
      <c r="B23" s="210" t="n">
        <v>8</v>
      </c>
      <c r="C23" s="13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1">
        <f>'Прил.2 Расч стоим'!J15+D20/9.18*21.21</f>
        <v/>
      </c>
      <c r="E23" s="151">
        <f>'Прил.2 Расч стоим'!J23</f>
        <v/>
      </c>
      <c r="F23" s="189" t="n"/>
      <c r="G23" s="189" t="n"/>
      <c r="H23" s="189" t="n"/>
      <c r="I23" s="189" t="n"/>
      <c r="J23" s="189" t="n"/>
    </row>
    <row r="24" ht="47.25" customHeight="1" s="187">
      <c r="B24" s="210" t="n">
        <v>9</v>
      </c>
      <c r="C24" s="184" t="inlineStr">
        <is>
          <t>Приведенная сметная стоимость на единицу мощности, тыс. руб. (строка 8/строку 4)</t>
        </is>
      </c>
      <c r="D24" s="151">
        <f>D23/D15</f>
        <v/>
      </c>
      <c r="E24" s="151">
        <f>E23/E15</f>
        <v/>
      </c>
      <c r="F24" s="138" t="n"/>
      <c r="G24" s="189" t="n"/>
      <c r="H24" s="189" t="n"/>
      <c r="I24" s="189" t="n"/>
      <c r="J24" s="189" t="n"/>
    </row>
    <row r="25" ht="47.25" customHeight="1" s="187">
      <c r="B25" s="210" t="n">
        <v>10</v>
      </c>
      <c r="C25" s="148" t="inlineStr">
        <is>
          <t>Примечание</t>
        </is>
      </c>
      <c r="D25" s="148" t="inlineStr">
        <is>
          <t xml:space="preserve">Выбран объектом-представителем с учетом минимальной удельной стоимости </t>
        </is>
      </c>
      <c r="E25" s="141" t="n"/>
      <c r="F25" s="189" t="n"/>
      <c r="G25" s="189" t="n"/>
      <c r="H25" s="189" t="n"/>
      <c r="I25" s="189" t="n"/>
      <c r="J25" s="189" t="n"/>
    </row>
    <row r="26">
      <c r="B26" s="240" t="n"/>
      <c r="C26" s="132" t="n"/>
      <c r="D26" s="132" t="n"/>
      <c r="E26" s="132" t="n"/>
      <c r="F26" s="189" t="n"/>
      <c r="G26" s="189" t="n"/>
      <c r="H26" s="189" t="n"/>
      <c r="I26" s="189" t="n"/>
      <c r="J26" s="189" t="n"/>
    </row>
    <row r="27">
      <c r="B27" s="128" t="n"/>
      <c r="F27" s="189" t="n"/>
      <c r="G27" s="189" t="n"/>
      <c r="H27" s="189" t="n"/>
      <c r="I27" s="189" t="n"/>
      <c r="J27" s="189" t="n"/>
    </row>
    <row r="28">
      <c r="B28" s="189" t="inlineStr">
        <is>
          <t>Составил ______________________        Е.А. Князева</t>
        </is>
      </c>
      <c r="F28" s="189" t="n"/>
      <c r="G28" s="189" t="n"/>
      <c r="H28" s="189" t="n"/>
      <c r="I28" s="189" t="n"/>
      <c r="J28" s="189" t="n"/>
    </row>
    <row r="29" ht="22.5" customHeight="1" s="187">
      <c r="B29" s="131" t="inlineStr">
        <is>
          <t xml:space="preserve">                         (подпись, инициалы, фамилия)</t>
        </is>
      </c>
      <c r="F29" s="189" t="n"/>
      <c r="G29" s="189" t="n"/>
      <c r="H29" s="189" t="n"/>
      <c r="I29" s="189" t="n"/>
      <c r="J29" s="189" t="n"/>
    </row>
    <row r="30">
      <c r="F30" s="189" t="n"/>
      <c r="G30" s="189" t="n"/>
      <c r="H30" s="189" t="n"/>
      <c r="I30" s="189" t="n"/>
      <c r="J30" s="189" t="n"/>
    </row>
    <row r="31">
      <c r="B31" s="189" t="inlineStr">
        <is>
          <t>Проверил ______________________        А.В. Костянецкая</t>
        </is>
      </c>
      <c r="F31" s="189" t="n"/>
      <c r="G31" s="189" t="n"/>
      <c r="H31" s="189" t="n"/>
      <c r="I31" s="189" t="n"/>
      <c r="J31" s="189" t="n"/>
    </row>
    <row r="32" ht="22.5" customHeight="1" s="187">
      <c r="B32" s="131" t="inlineStr">
        <is>
          <t xml:space="preserve">                        (подпись, инициалы, фамилия)</t>
        </is>
      </c>
      <c r="F32" s="189" t="n"/>
      <c r="G32" s="189" t="n"/>
      <c r="H32" s="189" t="n"/>
      <c r="I32" s="189" t="n"/>
      <c r="J32" s="189" t="n"/>
    </row>
    <row r="33">
      <c r="F33" s="189" t="n"/>
      <c r="G33" s="189" t="n"/>
      <c r="H33" s="189" t="n"/>
      <c r="I33" s="189" t="n"/>
      <c r="J33" s="189" t="n"/>
    </row>
  </sheetData>
  <mergeCells count="4">
    <mergeCell ref="B7:E7"/>
    <mergeCell ref="B9:E9"/>
    <mergeCell ref="B3:E3"/>
    <mergeCell ref="B4:E4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J32"/>
  <sheetViews>
    <sheetView view="pageBreakPreview" zoomScale="60" zoomScaleNormal="100" workbookViewId="0">
      <selection activeCell="D17" sqref="D17:J17"/>
    </sheetView>
  </sheetViews>
  <sheetFormatPr baseColWidth="8" defaultRowHeight="15"/>
  <cols>
    <col width="5.5703125" customWidth="1" style="187" min="1" max="1"/>
    <col width="9.140625" customWidth="1" style="187" min="2" max="2"/>
    <col width="35.28515625" customWidth="1" style="187" min="3" max="3"/>
    <col width="12.85546875" customWidth="1" style="187" min="4" max="4"/>
    <col width="24.85546875" customWidth="1" style="187" min="5" max="5"/>
    <col width="12.7109375" customWidth="1" style="187" min="6" max="6"/>
    <col width="14.85546875" customWidth="1" style="187" min="7" max="7"/>
    <col width="16.7109375" customWidth="1" style="187" min="8" max="8"/>
    <col width="13" customWidth="1" style="187" min="9" max="10"/>
    <col width="9.140625" customWidth="1" style="187" min="11" max="11"/>
  </cols>
  <sheetData>
    <row r="1" ht="15.75" customHeight="1" s="187">
      <c r="A1" s="189" t="n"/>
      <c r="B1" s="189" t="n"/>
      <c r="C1" s="189" t="n"/>
      <c r="D1" s="189" t="n"/>
      <c r="E1" s="189" t="n"/>
      <c r="F1" s="189" t="n"/>
      <c r="G1" s="189" t="n"/>
      <c r="H1" s="189" t="n"/>
      <c r="I1" s="189" t="n"/>
      <c r="J1" s="189" t="n"/>
    </row>
    <row r="2" ht="15.75" customHeight="1" s="187">
      <c r="A2" s="189" t="n"/>
      <c r="B2" s="189" t="n"/>
      <c r="C2" s="189" t="n"/>
      <c r="D2" s="189" t="n"/>
      <c r="E2" s="189" t="n"/>
      <c r="F2" s="189" t="n"/>
      <c r="G2" s="189" t="n"/>
      <c r="H2" s="189" t="n"/>
      <c r="I2" s="189" t="n"/>
      <c r="J2" s="189" t="n"/>
    </row>
    <row r="3" ht="15.75" customHeight="1" s="187">
      <c r="A3" s="189" t="n"/>
      <c r="B3" s="206" t="inlineStr">
        <is>
          <t>Приложение № 2</t>
        </is>
      </c>
    </row>
    <row r="4" ht="15.75" customHeight="1" s="187">
      <c r="A4" s="189" t="n"/>
      <c r="B4" s="207" t="inlineStr">
        <is>
          <t>Расчет стоимости основных видов работ для выбора объекта-представителя</t>
        </is>
      </c>
    </row>
    <row r="5" ht="15.75" customHeight="1" s="187">
      <c r="A5" s="189" t="n"/>
      <c r="B5" s="157" t="n"/>
      <c r="C5" s="157" t="n"/>
      <c r="D5" s="157" t="n"/>
      <c r="E5" s="157" t="n"/>
      <c r="F5" s="157" t="n"/>
      <c r="G5" s="157" t="n"/>
      <c r="H5" s="157" t="n"/>
      <c r="I5" s="157" t="n"/>
      <c r="J5" s="157" t="n"/>
    </row>
    <row r="6" ht="15.75" customHeight="1" s="187">
      <c r="A6" s="189" t="n"/>
      <c r="B6" s="208">
        <f>'Прил.1 Сравнит табл'!B7</f>
        <v/>
      </c>
    </row>
    <row r="7" ht="15.75" customHeight="1" s="187">
      <c r="A7" s="189" t="n"/>
      <c r="B7" s="205">
        <f>'Прил.1 Сравнит табл'!B9</f>
        <v/>
      </c>
    </row>
    <row r="8" ht="15.75" customHeight="1" s="187">
      <c r="A8" s="189" t="n"/>
      <c r="B8" s="205" t="n"/>
      <c r="C8" s="189" t="n"/>
      <c r="D8" s="189" t="n"/>
      <c r="E8" s="189" t="n"/>
      <c r="F8" s="189" t="n"/>
      <c r="G8" s="189" t="n"/>
      <c r="H8" s="189" t="n"/>
      <c r="I8" s="189" t="n"/>
      <c r="J8" s="189" t="n"/>
    </row>
    <row r="9" ht="15.75" customHeight="1" s="187">
      <c r="A9" s="189" t="n"/>
      <c r="B9" s="210" t="inlineStr">
        <is>
          <t>№ п/п</t>
        </is>
      </c>
      <c r="C9" s="21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0" t="inlineStr">
        <is>
          <t>Объект-представитель 1</t>
        </is>
      </c>
      <c r="E9" s="252" t="n"/>
      <c r="F9" s="252" t="n"/>
      <c r="G9" s="252" t="n"/>
      <c r="H9" s="252" t="n"/>
      <c r="I9" s="252" t="n"/>
      <c r="J9" s="253" t="n"/>
    </row>
    <row r="10" ht="15.75" customHeight="1" s="187">
      <c r="A10" s="189" t="n"/>
      <c r="B10" s="254" t="n"/>
      <c r="C10" s="254" t="n"/>
      <c r="D10" s="210" t="inlineStr">
        <is>
          <t>Номер сметы</t>
        </is>
      </c>
      <c r="E10" s="210" t="inlineStr">
        <is>
          <t>Наименование сметы</t>
        </is>
      </c>
      <c r="F10" s="210" t="inlineStr">
        <is>
          <t>Сметная стоимость в уровне цен 2 кв. 2020 г., тыс. руб.</t>
        </is>
      </c>
      <c r="G10" s="252" t="n"/>
      <c r="H10" s="252" t="n"/>
      <c r="I10" s="252" t="n"/>
      <c r="J10" s="253" t="n"/>
    </row>
    <row r="11" ht="67.5" customHeight="1" s="187">
      <c r="A11" s="189" t="n"/>
      <c r="B11" s="255" t="n"/>
      <c r="C11" s="255" t="n"/>
      <c r="D11" s="255" t="n"/>
      <c r="E11" s="255" t="n"/>
      <c r="F11" s="210" t="inlineStr">
        <is>
          <t>Строительные работы</t>
        </is>
      </c>
      <c r="G11" s="210" t="inlineStr">
        <is>
          <t>Монтажные работы</t>
        </is>
      </c>
      <c r="H11" s="210" t="inlineStr">
        <is>
          <t>Оборудование</t>
        </is>
      </c>
      <c r="I11" s="210" t="inlineStr">
        <is>
          <t>Прочее</t>
        </is>
      </c>
      <c r="J11" s="210" t="inlineStr">
        <is>
          <t>Всего</t>
        </is>
      </c>
    </row>
    <row r="12" ht="15.75" customHeight="1" s="187">
      <c r="A12" s="189" t="n"/>
      <c r="B12" s="141" t="n">
        <v>1</v>
      </c>
      <c r="C12" s="148">
        <f>E12</f>
        <v/>
      </c>
      <c r="D12" s="149" t="inlineStr">
        <is>
          <t>02-01-01</t>
        </is>
      </c>
      <c r="E12" s="148" t="inlineStr">
        <is>
          <t>Строительные работы</t>
        </is>
      </c>
      <c r="F12" s="256">
        <f>23.544*6.67</f>
        <v/>
      </c>
      <c r="G12" s="256">
        <f>0*6.67</f>
        <v/>
      </c>
      <c r="H12" s="256">
        <f>0*4.91</f>
        <v/>
      </c>
      <c r="I12" s="256" t="n"/>
      <c r="J12" s="257">
        <f>SUM(F12:I12)</f>
        <v/>
      </c>
    </row>
    <row r="13" ht="31.5" customHeight="1" s="187">
      <c r="A13" s="189" t="n"/>
      <c r="B13" s="141" t="n">
        <v>2</v>
      </c>
      <c r="C13" s="148" t="inlineStr">
        <is>
          <t>Монтаж выключателей</t>
        </is>
      </c>
      <c r="D13" s="149" t="inlineStr">
        <is>
          <t>02-01-02</t>
        </is>
      </c>
      <c r="E13" s="148" t="inlineStr">
        <is>
          <t>Первичное электрооборудование</t>
        </is>
      </c>
      <c r="F13" s="256">
        <f>0*6.67</f>
        <v/>
      </c>
      <c r="G13" s="256">
        <f>10.35*6.67</f>
        <v/>
      </c>
      <c r="H13" s="256">
        <f>321.532*4.91</f>
        <v/>
      </c>
      <c r="I13" s="256" t="n"/>
      <c r="J13" s="257">
        <f>SUM(F13:I13)</f>
        <v/>
      </c>
    </row>
    <row r="14" ht="15" customHeight="1" s="187">
      <c r="A14" s="189" t="n"/>
      <c r="B14" s="209" t="inlineStr">
        <is>
          <t>Всего по объекту:</t>
        </is>
      </c>
      <c r="C14" s="252" t="n"/>
      <c r="D14" s="252" t="n"/>
      <c r="E14" s="253" t="n"/>
      <c r="F14" s="258">
        <f>SUM(F12:F13)</f>
        <v/>
      </c>
      <c r="G14" s="258">
        <f>SUM(G12:G13)</f>
        <v/>
      </c>
      <c r="H14" s="258">
        <f>SUM(H12:H13)</f>
        <v/>
      </c>
      <c r="I14" s="258">
        <f>(F14+G14)*3.9%*0.8+((F14+G14)*3.9%*0.8+F14+G14)*2.1%</f>
        <v/>
      </c>
      <c r="J14" s="258">
        <f>SUM(F14:I14)</f>
        <v/>
      </c>
    </row>
    <row r="15" ht="15.75" customHeight="1" s="187">
      <c r="A15" s="189" t="n"/>
      <c r="B15" s="209" t="inlineStr">
        <is>
          <t>Всего по объекту в сопоставимом уровне цен 2 кв. 2020г:</t>
        </is>
      </c>
      <c r="C15" s="252" t="n"/>
      <c r="D15" s="252" t="n"/>
      <c r="E15" s="253" t="n"/>
      <c r="F15" s="258">
        <f>F14/6.67*8.47</f>
        <v/>
      </c>
      <c r="G15" s="258">
        <f>G14/6.67*8.47</f>
        <v/>
      </c>
      <c r="H15" s="258">
        <f>H14</f>
        <v/>
      </c>
      <c r="I15" s="258">
        <f>(F15+G15)*3.9%*0.8+((F15+G15)*3.9%*0.8+F15+G15)*2.1%</f>
        <v/>
      </c>
      <c r="J15" s="258">
        <f>SUM(F15:I15)</f>
        <v/>
      </c>
    </row>
    <row r="16" ht="15.75" customHeight="1" s="187">
      <c r="A16" s="189" t="n"/>
      <c r="B16" s="205" t="n"/>
      <c r="C16" s="189" t="n"/>
      <c r="D16" s="189" t="n"/>
      <c r="E16" s="189" t="n"/>
      <c r="F16" s="189" t="n"/>
      <c r="G16" s="189" t="n"/>
      <c r="H16" s="189" t="n"/>
      <c r="I16" s="189" t="n"/>
      <c r="J16" s="189" t="n"/>
    </row>
    <row r="17" ht="15.75" customHeight="1" s="187">
      <c r="A17" s="189" t="n"/>
      <c r="B17" s="210" t="inlineStr">
        <is>
          <t>№ п/п</t>
        </is>
      </c>
      <c r="C17" s="21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7" s="210" t="inlineStr">
        <is>
          <t>Объект-представитель 2</t>
        </is>
      </c>
      <c r="E17" s="252" t="n"/>
      <c r="F17" s="252" t="n"/>
      <c r="G17" s="252" t="n"/>
      <c r="H17" s="252" t="n"/>
      <c r="I17" s="252" t="n"/>
      <c r="J17" s="253" t="n"/>
    </row>
    <row r="18" ht="15.75" customHeight="1" s="187">
      <c r="A18" s="189" t="n"/>
      <c r="B18" s="254" t="n"/>
      <c r="C18" s="254" t="n"/>
      <c r="D18" s="210" t="inlineStr">
        <is>
          <t>Номер сметы</t>
        </is>
      </c>
      <c r="E18" s="210" t="inlineStr">
        <is>
          <t>Наименование сметы</t>
        </is>
      </c>
      <c r="F18" s="210" t="inlineStr">
        <is>
          <t>Сметная стоимость в уровне цен 3 кв. 2018 г., тыс. руб.</t>
        </is>
      </c>
      <c r="G18" s="252" t="n"/>
      <c r="H18" s="252" t="n"/>
      <c r="I18" s="252" t="n"/>
      <c r="J18" s="253" t="n"/>
    </row>
    <row r="19" ht="68.25" customHeight="1" s="187">
      <c r="A19" s="189" t="n"/>
      <c r="B19" s="255" t="n"/>
      <c r="C19" s="255" t="n"/>
      <c r="D19" s="255" t="n"/>
      <c r="E19" s="255" t="n"/>
      <c r="F19" s="210" t="inlineStr">
        <is>
          <t>Строительные работы</t>
        </is>
      </c>
      <c r="G19" s="210" t="inlineStr">
        <is>
          <t>Монтажные работы</t>
        </is>
      </c>
      <c r="H19" s="210" t="inlineStr">
        <is>
          <t>Оборудование</t>
        </is>
      </c>
      <c r="I19" s="210" t="inlineStr">
        <is>
          <t>Прочее</t>
        </is>
      </c>
      <c r="J19" s="210" t="inlineStr">
        <is>
          <t>Всего</t>
        </is>
      </c>
    </row>
    <row r="20" ht="47.25" customHeight="1" s="187">
      <c r="A20" s="189" t="n"/>
      <c r="B20" s="148" t="n">
        <v>1</v>
      </c>
      <c r="C20" s="148">
        <f>C13</f>
        <v/>
      </c>
      <c r="D20" s="149" t="inlineStr">
        <is>
          <t>02-01-01</t>
        </is>
      </c>
      <c r="E20" s="148" t="inlineStr">
        <is>
          <t>Электротехнические решения, ПС 35/10/6 кВ Купино</t>
        </is>
      </c>
      <c r="F20" s="256">
        <f>0*7.7</f>
        <v/>
      </c>
      <c r="G20" s="256">
        <f>44.10942*7.7</f>
        <v/>
      </c>
      <c r="H20" s="256">
        <f>867.81456*4.53</f>
        <v/>
      </c>
      <c r="I20" s="256" t="n"/>
      <c r="J20" s="257">
        <f>SUM(F20:I20)</f>
        <v/>
      </c>
    </row>
    <row r="21" ht="47.25" customHeight="1" s="187">
      <c r="A21" s="189" t="n"/>
      <c r="B21" s="148" t="n">
        <v>2</v>
      </c>
      <c r="C21" s="148">
        <f>C12</f>
        <v/>
      </c>
      <c r="D21" s="149" t="inlineStr">
        <is>
          <t>02-01-03</t>
        </is>
      </c>
      <c r="E21" s="148" t="inlineStr">
        <is>
          <t>Конструктивно-строительные работы, ПС 35/10/6 кВ Купино</t>
        </is>
      </c>
      <c r="F21" s="256">
        <f>9582.21/1000*7.7</f>
        <v/>
      </c>
      <c r="G21" s="256">
        <f>8462.4/1000*7.7</f>
        <v/>
      </c>
      <c r="H21" s="256">
        <f>0*4.53</f>
        <v/>
      </c>
      <c r="I21" s="256" t="n"/>
      <c r="J21" s="257">
        <f>SUM(F21:I21)</f>
        <v/>
      </c>
    </row>
    <row r="22" ht="15.75" customHeight="1" s="187">
      <c r="A22" s="189" t="n"/>
      <c r="B22" s="209" t="inlineStr">
        <is>
          <t>Всего по объекту:</t>
        </is>
      </c>
      <c r="C22" s="252" t="n"/>
      <c r="D22" s="252" t="n"/>
      <c r="E22" s="253" t="n"/>
      <c r="F22" s="258">
        <f>SUM(F20:F21)</f>
        <v/>
      </c>
      <c r="G22" s="258">
        <f>SUM(G20:G21)</f>
        <v/>
      </c>
      <c r="H22" s="258">
        <f>SUM(H20:H21)</f>
        <v/>
      </c>
      <c r="I22" s="258">
        <f>(F22+G22)*3.9%*0.8+((F22+G22)*3.9%*0.8+F22+G22)*3.2%*0.9</f>
        <v/>
      </c>
      <c r="J22" s="258">
        <f>SUM(F22:I22)</f>
        <v/>
      </c>
    </row>
    <row r="23" ht="15.75" customHeight="1" s="187">
      <c r="A23" s="189" t="n"/>
      <c r="B23" s="209" t="inlineStr">
        <is>
          <t>Всего по объекту в сопоставимом уровне цен 2 кв. 2020г:</t>
        </is>
      </c>
      <c r="C23" s="252" t="n"/>
      <c r="D23" s="252" t="n"/>
      <c r="E23" s="253" t="n"/>
      <c r="F23" s="258">
        <f>F22/7.7*8.47</f>
        <v/>
      </c>
      <c r="G23" s="258">
        <f>G22/7.7*8.47</f>
        <v/>
      </c>
      <c r="H23" s="258">
        <f>H22/4.53*4.91</f>
        <v/>
      </c>
      <c r="I23" s="258">
        <f>(F23+G23)*3.9%*0.8+((F23+G23)*3.9%*0.8+F23+G23)*3.2%*0.9</f>
        <v/>
      </c>
      <c r="J23" s="258">
        <f>SUM(F23:I23)</f>
        <v/>
      </c>
    </row>
    <row r="24" ht="15.75" customHeight="1" s="187">
      <c r="A24" s="189" t="n"/>
      <c r="B24" s="189" t="n"/>
      <c r="C24" s="189" t="n"/>
      <c r="D24" s="189" t="n"/>
      <c r="E24" s="189" t="n"/>
      <c r="F24" s="189" t="n"/>
      <c r="G24" s="189" t="n"/>
      <c r="H24" s="189" t="n"/>
      <c r="I24" s="189" t="n"/>
      <c r="J24" s="189" t="n"/>
    </row>
    <row r="25" ht="15.75" customHeight="1" s="187">
      <c r="A25" s="189" t="n"/>
      <c r="B25" s="189" t="n"/>
      <c r="C25" s="189" t="n"/>
      <c r="D25" s="189" t="n"/>
      <c r="E25" s="189" t="n"/>
      <c r="F25" s="189" t="n"/>
      <c r="G25" s="189" t="n"/>
      <c r="H25" s="189" t="n"/>
      <c r="I25" s="189" t="n"/>
      <c r="J25" s="189" t="n"/>
    </row>
    <row r="26" ht="15.75" customHeight="1" s="187">
      <c r="A26" s="189" t="n"/>
      <c r="B26" s="189" t="n"/>
      <c r="C26" s="189" t="n"/>
      <c r="D26" s="189" t="n"/>
      <c r="E26" s="189" t="n"/>
      <c r="F26" s="189" t="n"/>
      <c r="G26" s="189" t="n"/>
      <c r="H26" s="189" t="n"/>
      <c r="I26" s="189" t="n"/>
      <c r="J26" s="189" t="n"/>
    </row>
    <row r="27" ht="15.75" customHeight="1" s="187">
      <c r="A27" s="189" t="n"/>
      <c r="B27" s="189" t="n"/>
      <c r="C27" s="189" t="n"/>
      <c r="D27" s="189" t="n"/>
      <c r="E27" s="189" t="n"/>
      <c r="F27" s="189" t="n"/>
      <c r="G27" s="189" t="n"/>
      <c r="H27" s="189" t="n"/>
      <c r="I27" s="189" t="n"/>
      <c r="J27" s="189" t="n"/>
    </row>
    <row r="28" ht="15.75" customHeight="1" s="187">
      <c r="A28" s="189" t="n"/>
      <c r="B28" s="189" t="inlineStr">
        <is>
          <t>Составил ______________________        Е.А. Князева</t>
        </is>
      </c>
      <c r="C28" s="189" t="n"/>
      <c r="D28" s="189" t="n"/>
      <c r="E28" s="189" t="n"/>
      <c r="F28" s="189" t="n"/>
      <c r="G28" s="189" t="n"/>
      <c r="H28" s="189" t="n"/>
      <c r="I28" s="189" t="n"/>
      <c r="J28" s="189" t="n"/>
    </row>
    <row r="29" ht="22.5" customHeight="1" s="187">
      <c r="A29" s="189" t="n"/>
      <c r="B29" s="131" t="inlineStr">
        <is>
          <t xml:space="preserve">                         (подпись, инициалы, фамилия)</t>
        </is>
      </c>
      <c r="C29" s="189" t="n"/>
      <c r="D29" s="189" t="n"/>
      <c r="E29" s="189" t="n"/>
      <c r="F29" s="189" t="n"/>
      <c r="G29" s="189" t="n"/>
      <c r="H29" s="189" t="n"/>
      <c r="I29" s="189" t="n"/>
      <c r="J29" s="189" t="n"/>
    </row>
    <row r="30" ht="15.75" customHeight="1" s="187">
      <c r="A30" s="189" t="n"/>
      <c r="B30" s="189" t="n"/>
      <c r="C30" s="189" t="n"/>
      <c r="D30" s="189" t="n"/>
      <c r="E30" s="189" t="n"/>
      <c r="F30" s="189" t="n"/>
      <c r="G30" s="189" t="n"/>
      <c r="H30" s="189" t="n"/>
      <c r="I30" s="189" t="n"/>
      <c r="J30" s="189" t="n"/>
    </row>
    <row r="31" ht="15.75" customHeight="1" s="187">
      <c r="A31" s="189" t="n"/>
      <c r="B31" s="189" t="inlineStr">
        <is>
          <t>Проверил ______________________        А.В. Костянецкая</t>
        </is>
      </c>
      <c r="C31" s="189" t="n"/>
      <c r="D31" s="189" t="n"/>
      <c r="E31" s="189" t="n"/>
      <c r="F31" s="189" t="n"/>
      <c r="G31" s="189" t="n"/>
      <c r="H31" s="189" t="n"/>
      <c r="I31" s="189" t="n"/>
      <c r="J31" s="189" t="n"/>
    </row>
    <row r="32" ht="22.5" customHeight="1" s="187">
      <c r="A32" s="189" t="n"/>
      <c r="B32" s="131" t="inlineStr">
        <is>
          <t xml:space="preserve">                        (подпись, инициалы, фамилия)</t>
        </is>
      </c>
      <c r="C32" s="189" t="n"/>
      <c r="D32" s="189" t="n"/>
      <c r="E32" s="189" t="n"/>
      <c r="F32" s="189" t="n"/>
      <c r="G32" s="189" t="n"/>
      <c r="H32" s="189" t="n"/>
      <c r="I32" s="189" t="n"/>
      <c r="J32" s="189" t="n"/>
    </row>
  </sheetData>
  <mergeCells count="20">
    <mergeCell ref="D9:J9"/>
    <mergeCell ref="F10:J10"/>
    <mergeCell ref="C17:C19"/>
    <mergeCell ref="B15:E15"/>
    <mergeCell ref="E10:E11"/>
    <mergeCell ref="F18:J18"/>
    <mergeCell ref="B6:J6"/>
    <mergeCell ref="B22:E22"/>
    <mergeCell ref="D18:D19"/>
    <mergeCell ref="B4:J4"/>
    <mergeCell ref="B14:E14"/>
    <mergeCell ref="B7:J7"/>
    <mergeCell ref="B23:E23"/>
    <mergeCell ref="B17:B19"/>
    <mergeCell ref="B3:J3"/>
    <mergeCell ref="D10:D11"/>
    <mergeCell ref="D17:J17"/>
    <mergeCell ref="E18:E19"/>
    <mergeCell ref="B9:B11"/>
    <mergeCell ref="C9:C11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I91"/>
  <sheetViews>
    <sheetView view="pageBreakPreview" workbookViewId="0">
      <selection activeCell="D86" sqref="D86"/>
    </sheetView>
  </sheetViews>
  <sheetFormatPr baseColWidth="8" defaultRowHeight="15.75"/>
  <cols>
    <col width="9.140625" customWidth="1" style="189" min="1" max="1"/>
    <col width="12.5703125" customWidth="1" style="189" min="2" max="2"/>
    <col width="22.42578125" customWidth="1" style="189" min="3" max="3"/>
    <col width="49.7109375" customWidth="1" style="189" min="4" max="4"/>
    <col width="10.140625" customWidth="1" style="156" min="5" max="5"/>
    <col width="20.7109375" customWidth="1" style="189" min="6" max="6"/>
    <col width="16.140625" customWidth="1" style="189" min="7" max="7"/>
    <col width="16.7109375" customWidth="1" style="189" min="8" max="8"/>
    <col width="13" customWidth="1" style="187" min="9" max="9"/>
    <col width="9.140625" customWidth="1" style="187" min="10" max="11"/>
  </cols>
  <sheetData>
    <row r="1">
      <c r="I1" s="189" t="n"/>
    </row>
    <row r="2">
      <c r="A2" s="206" t="inlineStr">
        <is>
          <t xml:space="preserve">Приложение № 3 </t>
        </is>
      </c>
      <c r="I2" s="189" t="n"/>
    </row>
    <row r="3">
      <c r="A3" s="207" t="inlineStr">
        <is>
          <t>Объектная ресурсная ведомость</t>
        </is>
      </c>
      <c r="I3" s="189" t="n"/>
    </row>
    <row r="4" s="187">
      <c r="A4" s="207" t="n"/>
      <c r="B4" s="207" t="n"/>
      <c r="C4" s="207" t="n"/>
      <c r="D4" s="207" t="n"/>
      <c r="E4" s="207" t="n"/>
      <c r="F4" s="207" t="n"/>
      <c r="G4" s="207" t="n"/>
      <c r="H4" s="207" t="n"/>
      <c r="I4" s="189" t="n"/>
    </row>
    <row r="5" ht="18.75" customHeight="1" s="187">
      <c r="A5" s="205" t="n"/>
      <c r="I5" s="189" t="n"/>
    </row>
    <row r="6" ht="36.75" customHeight="1" s="187">
      <c r="A6" s="214">
        <f>'Прил.1 Сравнит табл'!B7</f>
        <v/>
      </c>
      <c r="I6" s="189" t="n"/>
    </row>
    <row r="7" ht="36.75" customHeight="1" s="187">
      <c r="A7" s="214" t="n"/>
      <c r="B7" s="214" t="n"/>
      <c r="C7" s="214" t="n"/>
      <c r="D7" s="214" t="n"/>
      <c r="E7" s="214" t="n"/>
      <c r="F7" s="214" t="n"/>
      <c r="G7" s="214" t="n"/>
      <c r="H7" s="214" t="n"/>
      <c r="I7" s="189" t="n"/>
    </row>
    <row r="8">
      <c r="A8" s="208" t="n"/>
      <c r="B8" s="208" t="n"/>
      <c r="C8" s="208" t="n"/>
      <c r="D8" s="208" t="n"/>
      <c r="E8" s="157" t="n"/>
      <c r="F8" s="208" t="n"/>
      <c r="G8" s="208" t="n"/>
      <c r="H8" s="208" t="n"/>
      <c r="I8" s="189" t="n"/>
    </row>
    <row r="9" ht="33" customHeight="1" s="187">
      <c r="A9" s="210" t="inlineStr">
        <is>
          <t>п/п</t>
        </is>
      </c>
      <c r="B9" s="210" t="inlineStr">
        <is>
          <t>№ЛСР</t>
        </is>
      </c>
      <c r="C9" s="210" t="inlineStr">
        <is>
          <t>Код ресурса</t>
        </is>
      </c>
      <c r="D9" s="210" t="inlineStr">
        <is>
          <t>Наименование ресурса</t>
        </is>
      </c>
      <c r="E9" s="210" t="inlineStr">
        <is>
          <t>Ед. изм.</t>
        </is>
      </c>
      <c r="F9" s="210" t="inlineStr">
        <is>
          <t>Кол-во единиц по данным объекта-представителя</t>
        </is>
      </c>
      <c r="G9" s="210" t="inlineStr">
        <is>
          <t>Сметная стоимость в ценах на 01.01.2000 (руб.)</t>
        </is>
      </c>
      <c r="H9" s="253" t="n"/>
      <c r="I9" s="189" t="n"/>
    </row>
    <row r="10" ht="33" customHeight="1" s="187">
      <c r="A10" s="255" t="n"/>
      <c r="B10" s="255" t="n"/>
      <c r="C10" s="255" t="n"/>
      <c r="D10" s="255" t="n"/>
      <c r="E10" s="255" t="n"/>
      <c r="F10" s="255" t="n"/>
      <c r="G10" s="210" t="inlineStr">
        <is>
          <t>на ед.изм.</t>
        </is>
      </c>
      <c r="H10" s="210" t="inlineStr">
        <is>
          <t>общая</t>
        </is>
      </c>
      <c r="I10" s="189" t="n"/>
    </row>
    <row r="11">
      <c r="A11" s="202" t="n">
        <v>1</v>
      </c>
      <c r="B11" s="202" t="n"/>
      <c r="C11" s="202" t="n">
        <v>2</v>
      </c>
      <c r="D11" s="202" t="inlineStr">
        <is>
          <t>З</t>
        </is>
      </c>
      <c r="E11" s="202" t="n">
        <v>4</v>
      </c>
      <c r="F11" s="202" t="n">
        <v>5</v>
      </c>
      <c r="G11" s="202" t="n">
        <v>6</v>
      </c>
      <c r="H11" s="202" t="n">
        <v>7</v>
      </c>
      <c r="I11" s="189" t="n"/>
    </row>
    <row r="12">
      <c r="A12" s="211" t="inlineStr">
        <is>
          <t>Затраты труда рабочих</t>
        </is>
      </c>
      <c r="B12" s="252" t="n"/>
      <c r="C12" s="252" t="n"/>
      <c r="D12" s="252" t="n"/>
      <c r="E12" s="253" t="n"/>
      <c r="F12" s="107" t="n">
        <v>129.857944</v>
      </c>
      <c r="G12" s="107" t="n"/>
      <c r="H12" s="107">
        <f>SUM(H13:H18)</f>
        <v/>
      </c>
      <c r="I12" s="173" t="n"/>
    </row>
    <row r="13">
      <c r="A13" s="212" t="n">
        <v>1</v>
      </c>
      <c r="B13" s="125" t="n"/>
      <c r="C13" s="110" t="inlineStr">
        <is>
          <t>1-4-0</t>
        </is>
      </c>
      <c r="D13" s="213" t="inlineStr">
        <is>
          <t>Затраты труда рабочих (ср 4)</t>
        </is>
      </c>
      <c r="E13" s="155" t="inlineStr">
        <is>
          <t>чел.-ч</t>
        </is>
      </c>
      <c r="F13" s="212" t="n">
        <v>91.31471999999999</v>
      </c>
      <c r="G13" s="112" t="n">
        <v>9.619999999999999</v>
      </c>
      <c r="H13" s="112">
        <f>ROUND(F13*G13,2)</f>
        <v/>
      </c>
      <c r="I13" s="189" t="n"/>
    </row>
    <row r="14" ht="15" customHeight="1" s="187">
      <c r="A14" s="212" t="n">
        <v>2</v>
      </c>
      <c r="B14" s="125" t="n"/>
      <c r="C14" s="110" t="inlineStr">
        <is>
          <t>1-3-6</t>
        </is>
      </c>
      <c r="D14" s="213" t="inlineStr">
        <is>
          <t>Затраты труда рабочих (ср 3,6)</t>
        </is>
      </c>
      <c r="E14" s="155" t="inlineStr">
        <is>
          <t>чел.-ч</t>
        </is>
      </c>
      <c r="F14" s="212" t="n">
        <v>16.86941</v>
      </c>
      <c r="G14" s="112" t="n">
        <v>9.18</v>
      </c>
      <c r="H14" s="112">
        <f>ROUND(F14*G14,2)</f>
        <v/>
      </c>
      <c r="I14" s="189" t="n"/>
    </row>
    <row r="15">
      <c r="A15" s="212" t="n">
        <v>3</v>
      </c>
      <c r="B15" s="125" t="n"/>
      <c r="C15" s="110" t="inlineStr">
        <is>
          <t>1-4-1</t>
        </is>
      </c>
      <c r="D15" s="213" t="inlineStr">
        <is>
          <t>Затраты труда рабочих (ср 4,1)</t>
        </is>
      </c>
      <c r="E15" s="155" t="inlineStr">
        <is>
          <t>чел.-ч</t>
        </is>
      </c>
      <c r="F15" s="212" t="n">
        <v>7.170294</v>
      </c>
      <c r="G15" s="112" t="n">
        <v>9.76</v>
      </c>
      <c r="H15" s="112">
        <f>ROUND(F15*G15,2)</f>
        <v/>
      </c>
      <c r="I15" s="189" t="n"/>
    </row>
    <row r="16">
      <c r="A16" s="212" t="n">
        <v>4</v>
      </c>
      <c r="B16" s="125" t="n"/>
      <c r="C16" s="110" t="inlineStr">
        <is>
          <t>1-3-0</t>
        </is>
      </c>
      <c r="D16" s="213" t="inlineStr">
        <is>
          <t>Затраты труда рабочих (ср 3)</t>
        </is>
      </c>
      <c r="E16" s="155" t="inlineStr">
        <is>
          <t>чел.-ч</t>
        </is>
      </c>
      <c r="F16" s="212" t="n">
        <v>7.9294</v>
      </c>
      <c r="G16" s="112" t="n">
        <v>8.529999999999999</v>
      </c>
      <c r="H16" s="112">
        <f>ROUND(F16*G16,2)</f>
        <v/>
      </c>
      <c r="I16" s="189" t="n"/>
    </row>
    <row r="17">
      <c r="A17" s="212" t="n">
        <v>5</v>
      </c>
      <c r="B17" s="125" t="n"/>
      <c r="C17" s="110" t="inlineStr">
        <is>
          <t>1-3-5</t>
        </is>
      </c>
      <c r="D17" s="213" t="inlineStr">
        <is>
          <t>Затраты труда рабочих (ср 3,5)</t>
        </is>
      </c>
      <c r="E17" s="155" t="inlineStr">
        <is>
          <t>чел.-ч</t>
        </is>
      </c>
      <c r="F17" s="212" t="n">
        <v>5.27668</v>
      </c>
      <c r="G17" s="112" t="n">
        <v>9.07</v>
      </c>
      <c r="H17" s="112">
        <f>ROUND(F17*G17,2)</f>
        <v/>
      </c>
      <c r="I17" s="189" t="n"/>
    </row>
    <row r="18">
      <c r="A18" s="212" t="n">
        <v>6</v>
      </c>
      <c r="B18" s="125" t="n"/>
      <c r="C18" s="110" t="inlineStr">
        <is>
          <t>1-3-9</t>
        </is>
      </c>
      <c r="D18" s="213" t="inlineStr">
        <is>
          <t>Затраты труда рабочих (ср 3,9)</t>
        </is>
      </c>
      <c r="E18" s="155" t="inlineStr">
        <is>
          <t>чел.-ч</t>
        </is>
      </c>
      <c r="F18" s="212" t="n">
        <v>1.29744</v>
      </c>
      <c r="G18" s="112" t="n">
        <v>9.51</v>
      </c>
      <c r="H18" s="112">
        <f>ROUND(F18*G18,2)</f>
        <v/>
      </c>
      <c r="I18" s="189" t="n"/>
    </row>
    <row r="19">
      <c r="A19" s="211" t="inlineStr">
        <is>
          <t>Затраты труда машинистов</t>
        </is>
      </c>
      <c r="B19" s="252" t="n"/>
      <c r="C19" s="252" t="n"/>
      <c r="D19" s="252" t="n"/>
      <c r="E19" s="253" t="n"/>
      <c r="F19" s="211" t="n">
        <v>14.707944</v>
      </c>
      <c r="G19" s="107" t="n"/>
      <c r="H19" s="107">
        <f>H20</f>
        <v/>
      </c>
      <c r="I19" s="189" t="n"/>
    </row>
    <row r="20">
      <c r="A20" s="212" t="n">
        <v>7</v>
      </c>
      <c r="B20" s="190" t="n"/>
      <c r="C20" s="118" t="n">
        <v>2</v>
      </c>
      <c r="D20" s="213" t="inlineStr">
        <is>
          <t>Затраты труда машинистов</t>
        </is>
      </c>
      <c r="E20" s="155" t="inlineStr">
        <is>
          <t>чел.-ч</t>
        </is>
      </c>
      <c r="F20" s="212" t="n">
        <v>14.707944</v>
      </c>
      <c r="G20" s="112" t="n"/>
      <c r="H20" s="112" t="n">
        <v>194.57</v>
      </c>
      <c r="I20" s="189" t="n"/>
    </row>
    <row r="21">
      <c r="A21" s="211" t="inlineStr">
        <is>
          <t>Машины и механизмы</t>
        </is>
      </c>
      <c r="B21" s="252" t="n"/>
      <c r="C21" s="252" t="n"/>
      <c r="D21" s="252" t="n"/>
      <c r="E21" s="253" t="n"/>
      <c r="F21" s="211" t="n"/>
      <c r="G21" s="107" t="n"/>
      <c r="H21" s="107">
        <f>SUM(H22:H39)</f>
        <v/>
      </c>
      <c r="I21" s="173" t="n"/>
    </row>
    <row r="22" ht="31.5" customHeight="1" s="187">
      <c r="A22" s="212" t="n">
        <v>8</v>
      </c>
      <c r="B22" s="190" t="n"/>
      <c r="C22" s="213" t="inlineStr">
        <is>
          <t>91.05.05-015</t>
        </is>
      </c>
      <c r="D22" s="213" t="inlineStr">
        <is>
          <t>Краны на автомобильном ходу, грузоподъемность 16 т</t>
        </is>
      </c>
      <c r="E22" s="155" t="inlineStr">
        <is>
          <t>маш.час</t>
        </is>
      </c>
      <c r="F22" s="212" t="n">
        <v>11.205846</v>
      </c>
      <c r="G22" s="112" t="n">
        <v>115.4</v>
      </c>
      <c r="H22" s="112">
        <f>ROUND(F22*G22,2)</f>
        <v/>
      </c>
      <c r="I22" s="189" t="n"/>
    </row>
    <row r="23" ht="47.25" customHeight="1" s="187">
      <c r="A23" s="212" t="n">
        <v>9</v>
      </c>
      <c r="B23" s="190" t="n"/>
      <c r="C23" s="213" t="inlineStr">
        <is>
          <t>91.02.04-036</t>
        </is>
      </c>
      <c r="D23" s="213" t="inlineStr">
        <is>
          <t>Установки буровые для бурения скважин под сваи шнекового бурения, глубиной до 30 м, диаметром до 600 мм</t>
        </is>
      </c>
      <c r="E23" s="155" t="inlineStr">
        <is>
          <t>маш.час</t>
        </is>
      </c>
      <c r="F23" s="212" t="n">
        <v>1.134984</v>
      </c>
      <c r="G23" s="112" t="n">
        <v>218.17</v>
      </c>
      <c r="H23" s="112">
        <f>ROUND(F23*G23,2)</f>
        <v/>
      </c>
      <c r="I23" s="173" t="n"/>
    </row>
    <row r="24">
      <c r="A24" s="212" t="n">
        <v>10</v>
      </c>
      <c r="B24" s="190" t="n"/>
      <c r="C24" s="213" t="inlineStr">
        <is>
          <t>91.14.02-001</t>
        </is>
      </c>
      <c r="D24" s="213" t="inlineStr">
        <is>
          <t>Автомобили бортовые, грузоподъемность до 5 т</t>
        </is>
      </c>
      <c r="E24" s="155" t="inlineStr">
        <is>
          <t>маш.час</t>
        </is>
      </c>
      <c r="F24" s="212" t="n">
        <v>2.102454</v>
      </c>
      <c r="G24" s="112" t="n">
        <v>65.70999999999999</v>
      </c>
      <c r="H24" s="112">
        <f>ROUND(F24*G24,2)</f>
        <v/>
      </c>
      <c r="I24" s="189" t="n"/>
    </row>
    <row r="25" ht="31.5" customHeight="1" s="187">
      <c r="A25" s="212" t="n">
        <v>11</v>
      </c>
      <c r="B25" s="190" t="n"/>
      <c r="C25" s="213" t="inlineStr">
        <is>
          <t>91.17.04-171</t>
        </is>
      </c>
      <c r="D25" s="213" t="inlineStr">
        <is>
          <t>Преобразователи сварочные номинальным сварочным током 315-500 А</t>
        </is>
      </c>
      <c r="E25" s="155" t="inlineStr">
        <is>
          <t>маш.час</t>
        </is>
      </c>
      <c r="F25" s="212" t="n">
        <v>2.894584</v>
      </c>
      <c r="G25" s="112" t="n">
        <v>12.31</v>
      </c>
      <c r="H25" s="112">
        <f>ROUND(F25*G25,2)</f>
        <v/>
      </c>
      <c r="I25" s="189" t="n"/>
    </row>
    <row r="26" ht="47.25" customHeight="1" s="187">
      <c r="A26" s="212" t="n">
        <v>12</v>
      </c>
      <c r="B26" s="190" t="n"/>
      <c r="C26" s="213" t="inlineStr">
        <is>
          <t>91.21.01-012</t>
        </is>
      </c>
      <c r="D26" s="213" t="inlineStr">
        <is>
          <t>Агрегаты окрасочные высокого давления для окраски поверхностей конструкций, мощность 1 кВт</t>
        </is>
      </c>
      <c r="E26" s="155" t="inlineStr">
        <is>
          <t>маш.час</t>
        </is>
      </c>
      <c r="F26" s="212" t="n">
        <v>2.39835</v>
      </c>
      <c r="G26" s="112" t="n">
        <v>6.82</v>
      </c>
      <c r="H26" s="112">
        <f>ROUND(F26*G26,2)</f>
        <v/>
      </c>
      <c r="I26" s="189" t="n"/>
    </row>
    <row r="27" ht="47.25" customHeight="1" s="187">
      <c r="A27" s="212" t="n">
        <v>13</v>
      </c>
      <c r="B27" s="190" t="n"/>
      <c r="C27" s="213" t="inlineStr">
        <is>
          <t>91.17.04-036</t>
        </is>
      </c>
      <c r="D27" s="213" t="inlineStr">
        <is>
          <t>Агрегаты сварочные передвижные с дизельным двигателем, номинальный сварочный ток 250-400 А</t>
        </is>
      </c>
      <c r="E27" s="155" t="inlineStr">
        <is>
          <t>маш.час</t>
        </is>
      </c>
      <c r="F27" s="212" t="n">
        <v>0.993426</v>
      </c>
      <c r="G27" s="112" t="n">
        <v>14</v>
      </c>
      <c r="H27" s="112">
        <f>ROUND(F27*G27,2)</f>
        <v/>
      </c>
      <c r="I27" s="189" t="n"/>
    </row>
    <row r="28">
      <c r="A28" s="212" t="n">
        <v>14</v>
      </c>
      <c r="B28" s="190" t="n"/>
      <c r="C28" s="213" t="inlineStr">
        <is>
          <t>91.05.01-017</t>
        </is>
      </c>
      <c r="D28" s="213" t="inlineStr">
        <is>
          <t>Краны башенные, грузоподъемность 8 т</t>
        </is>
      </c>
      <c r="E28" s="155" t="inlineStr">
        <is>
          <t>маш.час</t>
        </is>
      </c>
      <c r="F28" s="212" t="n">
        <v>0.114664</v>
      </c>
      <c r="G28" s="112" t="n">
        <v>86.40000000000001</v>
      </c>
      <c r="H28" s="112">
        <f>ROUND(F28*G28,2)</f>
        <v/>
      </c>
      <c r="I28" s="189" t="n"/>
    </row>
    <row r="29">
      <c r="A29" s="212" t="n">
        <v>15</v>
      </c>
      <c r="B29" s="190" t="n"/>
      <c r="C29" s="213" t="inlineStr">
        <is>
          <t>91.01.01-035</t>
        </is>
      </c>
      <c r="D29" s="213" t="inlineStr">
        <is>
          <t>Бульдозеры, мощность 79 кВт (108 л.с.)</t>
        </is>
      </c>
      <c r="E29" s="155" t="inlineStr">
        <is>
          <t>маш.час</t>
        </is>
      </c>
      <c r="F29" s="212" t="n">
        <v>0.076532</v>
      </c>
      <c r="G29" s="112" t="n">
        <v>79.06999999999999</v>
      </c>
      <c r="H29" s="112">
        <f>ROUND(F29*G29,2)</f>
        <v/>
      </c>
      <c r="I29" s="189" t="n"/>
    </row>
    <row r="30">
      <c r="A30" s="212" t="n">
        <v>16</v>
      </c>
      <c r="B30" s="190" t="n"/>
      <c r="C30" s="213" t="inlineStr">
        <is>
          <t>91.05.02-005</t>
        </is>
      </c>
      <c r="D30" s="213" t="inlineStr">
        <is>
          <t>Краны козловые, грузоподъемность 32 т</t>
        </is>
      </c>
      <c r="E30" s="155" t="inlineStr">
        <is>
          <t>маш.час</t>
        </is>
      </c>
      <c r="F30" s="212" t="n">
        <v>0.04699</v>
      </c>
      <c r="G30" s="112" t="n">
        <v>120.24</v>
      </c>
      <c r="H30" s="112">
        <f>ROUND(F30*G30,2)</f>
        <v/>
      </c>
      <c r="I30" s="189" t="n"/>
    </row>
    <row r="31">
      <c r="A31" s="212" t="n">
        <v>17</v>
      </c>
      <c r="B31" s="190" t="n"/>
      <c r="C31" s="213" t="inlineStr">
        <is>
          <t>91.08.04-021</t>
        </is>
      </c>
      <c r="D31" s="213" t="inlineStr">
        <is>
          <t>Котлы битумные передвижные 400 л</t>
        </is>
      </c>
      <c r="E31" s="155" t="inlineStr">
        <is>
          <t>маш.час</t>
        </is>
      </c>
      <c r="F31" s="212" t="n">
        <v>0.11934</v>
      </c>
      <c r="G31" s="112" t="n">
        <v>30</v>
      </c>
      <c r="H31" s="112">
        <f>ROUND(F31*G31,2)</f>
        <v/>
      </c>
      <c r="I31" s="189" t="n"/>
    </row>
    <row r="32" ht="31.5" customHeight="1" s="187">
      <c r="A32" s="212" t="n">
        <v>18</v>
      </c>
      <c r="B32" s="190" t="n"/>
      <c r="C32" s="213" t="inlineStr">
        <is>
          <t>91.17.04-233</t>
        </is>
      </c>
      <c r="D32" s="213" t="inlineStr">
        <is>
          <t>Установки для сварки ручной дуговой (постоянного тока)</t>
        </is>
      </c>
      <c r="E32" s="155" t="inlineStr">
        <is>
          <t>маш.час</t>
        </is>
      </c>
      <c r="F32" s="212" t="n">
        <v>0.25892</v>
      </c>
      <c r="G32" s="112" t="n">
        <v>8.1</v>
      </c>
      <c r="H32" s="112">
        <f>ROUND(F32*G32,2)</f>
        <v/>
      </c>
      <c r="I32" s="189" t="n"/>
    </row>
    <row r="33">
      <c r="A33" s="212" t="n">
        <v>19</v>
      </c>
      <c r="B33" s="190" t="n"/>
      <c r="C33" s="213" t="inlineStr">
        <is>
          <t>91.06.05-011</t>
        </is>
      </c>
      <c r="D33" s="213" t="inlineStr">
        <is>
          <t>Погрузчики, грузоподъемность 5 т</t>
        </is>
      </c>
      <c r="E33" s="155" t="inlineStr">
        <is>
          <t>маш.час</t>
        </is>
      </c>
      <c r="F33" s="212" t="n">
        <v>0.01736</v>
      </c>
      <c r="G33" s="112" t="n">
        <v>89.98999999999999</v>
      </c>
      <c r="H33" s="112">
        <f>ROUND(F33*G33,2)</f>
        <v/>
      </c>
      <c r="I33" s="189" t="n"/>
    </row>
    <row r="34" ht="31.5" customHeight="1" s="187">
      <c r="A34" s="212" t="n">
        <v>20</v>
      </c>
      <c r="B34" s="190" t="n"/>
      <c r="C34" s="213" t="inlineStr">
        <is>
          <t>91.06.01-003</t>
        </is>
      </c>
      <c r="D34" s="213" t="inlineStr">
        <is>
          <t>Домкраты гидравлические, грузоподъемность 63-100 т</t>
        </is>
      </c>
      <c r="E34" s="155" t="inlineStr">
        <is>
          <t>маш.час</t>
        </is>
      </c>
      <c r="F34" s="212" t="n">
        <v>1.489583</v>
      </c>
      <c r="G34" s="112" t="n">
        <v>0.9</v>
      </c>
      <c r="H34" s="112">
        <f>ROUND(F34*G34,2)</f>
        <v/>
      </c>
      <c r="I34" s="189" t="n"/>
    </row>
    <row r="35" ht="31.5" customHeight="1" s="187">
      <c r="A35" s="212" t="n">
        <v>21</v>
      </c>
      <c r="B35" s="190" t="n"/>
      <c r="C35" s="213" t="inlineStr">
        <is>
          <t>91.19.02-002</t>
        </is>
      </c>
      <c r="D35" s="213" t="inlineStr">
        <is>
          <t>Маслонасосы шестеренные, производительность 2,3 м3/час</t>
        </is>
      </c>
      <c r="E35" s="155" t="inlineStr">
        <is>
          <t>маш.час</t>
        </is>
      </c>
      <c r="F35" s="212" t="n">
        <v>1.06</v>
      </c>
      <c r="G35" s="112" t="n">
        <v>0.9</v>
      </c>
      <c r="H35" s="112">
        <f>ROUND(F35*G35,2)</f>
        <v/>
      </c>
      <c r="I35" s="189" t="n"/>
    </row>
    <row r="36">
      <c r="A36" s="212" t="n">
        <v>22</v>
      </c>
      <c r="B36" s="190" t="n"/>
      <c r="C36" s="213" t="inlineStr">
        <is>
          <t>91.17.04-042</t>
        </is>
      </c>
      <c r="D36" s="213" t="inlineStr">
        <is>
          <t>Аппараты для газовой сварки и резки</t>
        </is>
      </c>
      <c r="E36" s="155" t="inlineStr">
        <is>
          <t>маш.час</t>
        </is>
      </c>
      <c r="F36" s="212" t="n">
        <v>0.765937</v>
      </c>
      <c r="G36" s="112" t="n">
        <v>1.2</v>
      </c>
      <c r="H36" s="112">
        <f>ROUND(F36*G36,2)</f>
        <v/>
      </c>
      <c r="I36" s="189" t="n"/>
    </row>
    <row r="37">
      <c r="A37" s="212" t="n">
        <v>23</v>
      </c>
      <c r="B37" s="190" t="n"/>
      <c r="C37" s="213" t="inlineStr">
        <is>
          <t>91.14.02-002</t>
        </is>
      </c>
      <c r="D37" s="213" t="inlineStr">
        <is>
          <t>Автомобили бортовые, грузоподъемность до 8 т</t>
        </is>
      </c>
      <c r="E37" s="155" t="inlineStr">
        <is>
          <t>маш.час</t>
        </is>
      </c>
      <c r="F37" s="212" t="n">
        <v>0.009114000000000001</v>
      </c>
      <c r="G37" s="112" t="n">
        <v>85.84</v>
      </c>
      <c r="H37" s="112">
        <f>ROUND(F37*G37,2)</f>
        <v/>
      </c>
      <c r="I37" s="189" t="n"/>
    </row>
    <row r="38">
      <c r="A38" s="212" t="n">
        <v>24</v>
      </c>
      <c r="B38" s="190" t="n"/>
      <c r="C38" s="213" t="inlineStr">
        <is>
          <t>91.07.04-001</t>
        </is>
      </c>
      <c r="D38" s="213" t="inlineStr">
        <is>
          <t>Вибраторы глубинные</t>
        </is>
      </c>
      <c r="E38" s="155" t="inlineStr">
        <is>
          <t>маш.час</t>
        </is>
      </c>
      <c r="F38" s="212" t="n">
        <v>0.0396</v>
      </c>
      <c r="G38" s="112" t="n">
        <v>1.9</v>
      </c>
      <c r="H38" s="112">
        <f>ROUND(F38*G38,2)</f>
        <v/>
      </c>
      <c r="I38" s="189" t="n"/>
    </row>
    <row r="39" ht="31.5" customHeight="1" s="187">
      <c r="A39" s="212" t="n">
        <v>25</v>
      </c>
      <c r="B39" s="190" t="n"/>
      <c r="C39" s="213" t="inlineStr">
        <is>
          <t>91.06.03-060</t>
        </is>
      </c>
      <c r="D39" s="213" t="inlineStr">
        <is>
          <t>Лебедки электрические тяговым усилием до 5,79 кН (0,59 т)</t>
        </is>
      </c>
      <c r="E39" s="155" t="inlineStr">
        <is>
          <t>маш.час</t>
        </is>
      </c>
      <c r="F39" s="212" t="n">
        <v>0.02439</v>
      </c>
      <c r="G39" s="112" t="n">
        <v>1.7</v>
      </c>
      <c r="H39" s="112">
        <f>ROUND(F39*G39,2)</f>
        <v/>
      </c>
      <c r="I39" s="189" t="n"/>
    </row>
    <row r="40">
      <c r="A40" s="211" t="inlineStr">
        <is>
          <t>Оборудование</t>
        </is>
      </c>
      <c r="B40" s="252" t="n"/>
      <c r="C40" s="252" t="n"/>
      <c r="D40" s="252" t="n"/>
      <c r="E40" s="253" t="n"/>
      <c r="F40" s="211" t="n"/>
      <c r="G40" s="107" t="n"/>
      <c r="H40" s="107">
        <f>SUM(H41:H41)</f>
        <v/>
      </c>
    </row>
    <row r="41" ht="31.5" customHeight="1" s="187">
      <c r="A41" s="212" t="n">
        <v>26</v>
      </c>
      <c r="B41" s="190" t="n"/>
      <c r="C41" s="213" t="inlineStr">
        <is>
          <t>Прайс из СД ОП</t>
        </is>
      </c>
      <c r="D41" s="213" t="inlineStr">
        <is>
          <t>Выключатель баковый 35 кВ, ном ток 2500 А, ток придельный 40 кА.</t>
        </is>
      </c>
      <c r="E41" s="155" t="inlineStr">
        <is>
          <t>шт</t>
        </is>
      </c>
      <c r="F41" s="212" t="n">
        <v>2</v>
      </c>
      <c r="G41" s="112" t="n">
        <v>160765.78</v>
      </c>
      <c r="H41" s="112">
        <f>ROUND(F41*G41,2)</f>
        <v/>
      </c>
    </row>
    <row r="42">
      <c r="A42" s="211" t="inlineStr">
        <is>
          <t>Материалы</t>
        </is>
      </c>
      <c r="B42" s="252" t="n"/>
      <c r="C42" s="252" t="n"/>
      <c r="D42" s="252" t="n"/>
      <c r="E42" s="253" t="n"/>
      <c r="F42" s="211" t="n"/>
      <c r="G42" s="107" t="n"/>
      <c r="H42" s="107">
        <f>SUM(H43:H84)</f>
        <v/>
      </c>
    </row>
    <row r="43" ht="47.25" customHeight="1" s="187">
      <c r="A43" s="212" t="n">
        <v>27</v>
      </c>
      <c r="B43" s="155" t="n"/>
      <c r="C43" s="213" t="inlineStr">
        <is>
          <t>08.1.02.16-0122</t>
        </is>
      </c>
      <c r="D43" s="213" t="inlineStr">
        <is>
          <t>Свая стальная СвО с двухслойным эпоксидным покрытием из трубы наружным диаметром 219 мм, толщиной стенки 7, 8 мм, длина 5000 мм</t>
        </is>
      </c>
      <c r="E43" s="155" t="inlineStr">
        <is>
          <t>шт</t>
        </is>
      </c>
      <c r="F43" s="212" t="n">
        <v>4</v>
      </c>
      <c r="G43" s="112" t="n">
        <v>6298.57</v>
      </c>
      <c r="H43" s="112">
        <f>ROUND(F43*G43,2)</f>
        <v/>
      </c>
    </row>
    <row r="44" ht="31.5" customHeight="1" s="187">
      <c r="A44" s="212" t="n">
        <v>28</v>
      </c>
      <c r="B44" s="155" t="n"/>
      <c r="C44" s="213" t="inlineStr">
        <is>
          <t>07.2.07.04-0014</t>
        </is>
      </c>
      <c r="D44" s="213" t="inlineStr">
        <is>
          <t>Конструкции сварные индивидуальные прочие, масса сборочной единицы от 0,1 до 0,5 т</t>
        </is>
      </c>
      <c r="E44" s="155" t="inlineStr">
        <is>
          <t>т</t>
        </is>
      </c>
      <c r="F44" s="212" t="n">
        <v>0.4694</v>
      </c>
      <c r="G44" s="112" t="n">
        <v>10046</v>
      </c>
      <c r="H44" s="112">
        <f>ROUND(F44*G44,2)</f>
        <v/>
      </c>
    </row>
    <row r="45" ht="63" customHeight="1" s="187">
      <c r="A45" s="212" t="n">
        <v>29</v>
      </c>
      <c r="B45" s="155" t="n"/>
      <c r="C45" s="213" t="inlineStr">
        <is>
          <t>14.4.01.20-0001</t>
        </is>
      </c>
      <c r="D45" s="213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E45" s="155" t="inlineStr">
        <is>
          <t>т</t>
        </is>
      </c>
      <c r="F45" s="212" t="n">
        <v>0.01626</v>
      </c>
      <c r="G45" s="112" t="n">
        <v>107351.35</v>
      </c>
      <c r="H45" s="112">
        <f>ROUND(F45*G45,2)</f>
        <v/>
      </c>
    </row>
    <row r="46">
      <c r="A46" s="212" t="n">
        <v>30</v>
      </c>
      <c r="B46" s="155" t="n"/>
      <c r="C46" s="213" t="inlineStr">
        <is>
          <t>08.3.11.01-0054</t>
        </is>
      </c>
      <c r="D46" s="213" t="inlineStr">
        <is>
          <t>Швеллеры № 16-18, марка стали Ст3сп</t>
        </is>
      </c>
      <c r="E46" s="155" t="inlineStr">
        <is>
          <t>т</t>
        </is>
      </c>
      <c r="F46" s="212" t="n">
        <v>0.2715</v>
      </c>
      <c r="G46" s="112" t="n">
        <v>5200</v>
      </c>
      <c r="H46" s="112">
        <f>ROUND(F46*G46,2)</f>
        <v/>
      </c>
    </row>
    <row r="47" ht="15" customHeight="1" s="187">
      <c r="A47" s="212" t="n">
        <v>31</v>
      </c>
      <c r="B47" s="155" t="n"/>
      <c r="C47" s="213" t="inlineStr">
        <is>
          <t>14.4.01.20-0012</t>
        </is>
      </c>
      <c r="D47" s="213" t="inlineStr">
        <is>
          <t>Грунтовка антикоррозионная цинкнаполненная быстросохнущая, преобразователь ржавчины и окалины</t>
        </is>
      </c>
      <c r="E47" s="155" t="inlineStr">
        <is>
          <t>т</t>
        </is>
      </c>
      <c r="F47" s="212" t="n">
        <v>0.012195</v>
      </c>
      <c r="G47" s="112" t="n">
        <v>86794.72</v>
      </c>
      <c r="H47" s="112">
        <f>ROUND(F47*G47,2)</f>
        <v/>
      </c>
    </row>
    <row r="48" ht="47.25" customHeight="1" s="187">
      <c r="A48" s="212" t="n">
        <v>32</v>
      </c>
      <c r="B48" s="155" t="n"/>
      <c r="C48" s="213" t="inlineStr">
        <is>
          <t>08.3.12.04-0017</t>
        </is>
      </c>
      <c r="D48" s="213" t="inlineStr">
        <is>
          <t>Просечно-вытяжной прокат горячекатаный в листах мерных размеров из стали С235, шириной: 1000 мм, толщиной 5 мм</t>
        </is>
      </c>
      <c r="E48" s="155" t="inlineStr">
        <is>
          <t>т</t>
        </is>
      </c>
      <c r="F48" s="212" t="n">
        <v>0.1304</v>
      </c>
      <c r="G48" s="112" t="n">
        <v>8007</v>
      </c>
      <c r="H48" s="112">
        <f>ROUND(F48*G48,2)</f>
        <v/>
      </c>
    </row>
    <row r="49" ht="78.75" customHeight="1" s="187">
      <c r="A49" s="212" t="n">
        <v>33</v>
      </c>
      <c r="B49" s="155" t="n"/>
      <c r="C49" s="213" t="inlineStr">
        <is>
          <t>08.4.01.02-0013</t>
        </is>
      </c>
      <c r="D49" s="213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49" s="155" t="inlineStr">
        <is>
          <t>т</t>
        </is>
      </c>
      <c r="F49" s="212" t="n">
        <v>0.0607</v>
      </c>
      <c r="G49" s="112" t="n">
        <v>6800</v>
      </c>
      <c r="H49" s="112">
        <f>ROUND(F49*G49,2)</f>
        <v/>
      </c>
    </row>
    <row r="50" ht="15" customHeight="1" s="187">
      <c r="A50" s="212" t="n">
        <v>34</v>
      </c>
      <c r="B50" s="155" t="n"/>
      <c r="C50" s="213" t="inlineStr">
        <is>
          <t>08.3.08.02-0084</t>
        </is>
      </c>
      <c r="D50" s="213" t="inlineStr">
        <is>
          <t>Уголок горячекатаный, марка стали Ст3сп, ширина полок 50-56 мм</t>
        </is>
      </c>
      <c r="E50" s="155" t="inlineStr">
        <is>
          <t>т</t>
        </is>
      </c>
      <c r="F50" s="212" t="n">
        <v>0.068</v>
      </c>
      <c r="G50" s="112" t="n">
        <v>5763</v>
      </c>
      <c r="H50" s="112">
        <f>ROUND(F50*G50,2)</f>
        <v/>
      </c>
    </row>
    <row r="51" ht="31.5" customHeight="1" s="187">
      <c r="A51" s="212" t="n">
        <v>35</v>
      </c>
      <c r="B51" s="155" t="n"/>
      <c r="C51" s="213" t="inlineStr">
        <is>
          <t>04.1.02.05-0043</t>
        </is>
      </c>
      <c r="D51" s="213" t="inlineStr">
        <is>
          <t>Смеси бетонные тяжелого бетона (БСТ), крупность заполнителя 20 мм, класс B15 (М200)</t>
        </is>
      </c>
      <c r="E51" s="155" t="inlineStr">
        <is>
          <t>м3</t>
        </is>
      </c>
      <c r="F51" s="212" t="n">
        <v>0.4466</v>
      </c>
      <c r="G51" s="112" t="n">
        <v>665</v>
      </c>
      <c r="H51" s="112">
        <f>ROUND(F51*G51,2)</f>
        <v/>
      </c>
    </row>
    <row r="52">
      <c r="A52" s="212" t="n">
        <v>36</v>
      </c>
      <c r="B52" s="155" t="n"/>
      <c r="C52" s="213" t="inlineStr">
        <is>
          <t>01.7.03.04-0001</t>
        </is>
      </c>
      <c r="D52" s="213" t="inlineStr">
        <is>
          <t>Электроэнергия</t>
        </is>
      </c>
      <c r="E52" s="155" t="inlineStr">
        <is>
          <t>кВт-ч</t>
        </is>
      </c>
      <c r="F52" s="212" t="n">
        <v>723.84</v>
      </c>
      <c r="G52" s="112" t="n">
        <v>0.4</v>
      </c>
      <c r="H52" s="112">
        <f>ROUND(F52*G52,2)</f>
        <v/>
      </c>
    </row>
    <row r="53" ht="47.25" customHeight="1" s="187">
      <c r="A53" s="212" t="n">
        <v>37</v>
      </c>
      <c r="B53" s="155" t="n"/>
      <c r="C53" s="213" t="inlineStr">
        <is>
          <t>08.4.03.03-0032</t>
        </is>
      </c>
      <c r="D53" s="213" t="inlineStr">
        <is>
          <t>Сталь арматурная, горячекатаная, периодического профиля, класс А-III, диаметр 12 мм</t>
        </is>
      </c>
      <c r="E53" s="155" t="inlineStr">
        <is>
          <t>т</t>
        </is>
      </c>
      <c r="F53" s="212" t="n">
        <v>0.0288</v>
      </c>
      <c r="G53" s="112" t="n">
        <v>7997.23</v>
      </c>
      <c r="H53" s="112">
        <f>ROUND(F53*G53,2)</f>
        <v/>
      </c>
    </row>
    <row r="54">
      <c r="A54" s="212" t="n">
        <v>38</v>
      </c>
      <c r="B54" s="155" t="n"/>
      <c r="C54" s="213" t="inlineStr">
        <is>
          <t>14.4.02.09-0001</t>
        </is>
      </c>
      <c r="D54" s="213" t="inlineStr">
        <is>
          <t>Краска</t>
        </is>
      </c>
      <c r="E54" s="155" t="inlineStr">
        <is>
          <t>кг</t>
        </is>
      </c>
      <c r="F54" s="212" t="n">
        <v>7.6</v>
      </c>
      <c r="G54" s="112" t="n">
        <v>28.6</v>
      </c>
      <c r="H54" s="112">
        <f>ROUND(F54*G54,2)</f>
        <v/>
      </c>
    </row>
    <row r="55" ht="31.5" customHeight="1" s="187">
      <c r="A55" s="212" t="n">
        <v>39</v>
      </c>
      <c r="B55" s="155" t="n"/>
      <c r="C55" s="213" t="inlineStr">
        <is>
          <t>02.3.01.02-0033</t>
        </is>
      </c>
      <c r="D55" s="213" t="inlineStr">
        <is>
          <t>Песок природный обогащенный для строительных работ средний</t>
        </is>
      </c>
      <c r="E55" s="155" t="inlineStr">
        <is>
          <t>м3</t>
        </is>
      </c>
      <c r="F55" s="212" t="n">
        <v>0.7675999999999999</v>
      </c>
      <c r="G55" s="112" t="n">
        <v>70.59999999999999</v>
      </c>
      <c r="H55" s="112">
        <f>ROUND(F55*G55,2)</f>
        <v/>
      </c>
    </row>
    <row r="56">
      <c r="A56" s="212" t="n">
        <v>40</v>
      </c>
      <c r="B56" s="155" t="n"/>
      <c r="C56" s="213" t="inlineStr">
        <is>
          <t>01.2.03.03-0013</t>
        </is>
      </c>
      <c r="D56" s="213" t="inlineStr">
        <is>
          <t>Мастика битумная кровельная горячая</t>
        </is>
      </c>
      <c r="E56" s="155" t="inlineStr">
        <is>
          <t>т</t>
        </is>
      </c>
      <c r="F56" s="212" t="n">
        <v>0.014688</v>
      </c>
      <c r="G56" s="112" t="n">
        <v>3390</v>
      </c>
      <c r="H56" s="112">
        <f>ROUND(F56*G56,2)</f>
        <v/>
      </c>
    </row>
    <row r="57">
      <c r="A57" s="212" t="n">
        <v>41</v>
      </c>
      <c r="B57" s="155" t="n"/>
      <c r="C57" s="213" t="inlineStr">
        <is>
          <t>01.7.07.12-0022</t>
        </is>
      </c>
      <c r="D57" s="213" t="inlineStr">
        <is>
          <t>Пленка полиэтиленовая, толщина 0,2-0,5 мм</t>
        </is>
      </c>
      <c r="E57" s="155" t="inlineStr">
        <is>
          <t>м2</t>
        </is>
      </c>
      <c r="F57" s="212" t="n">
        <v>3.4272</v>
      </c>
      <c r="G57" s="112" t="n">
        <v>12.19</v>
      </c>
      <c r="H57" s="112">
        <f>ROUND(F57*G57,2)</f>
        <v/>
      </c>
    </row>
    <row r="58" ht="31.5" customHeight="1" s="187">
      <c r="A58" s="212" t="n">
        <v>42</v>
      </c>
      <c r="B58" s="155" t="n"/>
      <c r="C58" s="213" t="inlineStr">
        <is>
          <t>08.3.07.01-0076</t>
        </is>
      </c>
      <c r="D58" s="213" t="inlineStr">
        <is>
          <t>Прокат полосовой, горячекатаный, марка стали Ст3сп, ширина 50-200 мм, толщина 4-5 мм</t>
        </is>
      </c>
      <c r="E58" s="155" t="inlineStr">
        <is>
          <t>т</t>
        </is>
      </c>
      <c r="F58" s="212" t="n">
        <v>0.006</v>
      </c>
      <c r="G58" s="112" t="n">
        <v>5000</v>
      </c>
      <c r="H58" s="112">
        <f>ROUND(F58*G58,2)</f>
        <v/>
      </c>
    </row>
    <row r="59">
      <c r="A59" s="212" t="n">
        <v>43</v>
      </c>
      <c r="B59" s="155" t="n"/>
      <c r="C59" s="213" t="inlineStr">
        <is>
          <t>01.7.11.07-0032</t>
        </is>
      </c>
      <c r="D59" s="213" t="inlineStr">
        <is>
          <t>Электроды сварочные Э42, диаметр 4 мм</t>
        </is>
      </c>
      <c r="E59" s="155" t="inlineStr">
        <is>
          <t>т</t>
        </is>
      </c>
      <c r="F59" s="212" t="n">
        <v>0.0023005</v>
      </c>
      <c r="G59" s="112" t="n">
        <v>10315.01</v>
      </c>
      <c r="H59" s="112">
        <f>ROUND(F59*G59,2)</f>
        <v/>
      </c>
    </row>
    <row r="60">
      <c r="A60" s="212" t="n">
        <v>44</v>
      </c>
      <c r="B60" s="155" t="n"/>
      <c r="C60" s="213" t="inlineStr">
        <is>
          <t>01.7.11.07-0036</t>
        </is>
      </c>
      <c r="D60" s="213" t="inlineStr">
        <is>
          <t>Электроды сварочные Э46, диаметр 4 мм</t>
        </is>
      </c>
      <c r="E60" s="155" t="inlineStr">
        <is>
          <t>кг</t>
        </is>
      </c>
      <c r="F60" s="212" t="n">
        <v>1.8796</v>
      </c>
      <c r="G60" s="112" t="n">
        <v>10.75</v>
      </c>
      <c r="H60" s="112">
        <f>ROUND(F60*G60,2)</f>
        <v/>
      </c>
    </row>
    <row r="61" ht="31.5" customHeight="1" s="187">
      <c r="A61" s="212" t="n">
        <v>45</v>
      </c>
      <c r="B61" s="155" t="n"/>
      <c r="C61" s="213" t="inlineStr">
        <is>
          <t>01.3.01.06-0050</t>
        </is>
      </c>
      <c r="D61" s="213" t="inlineStr">
        <is>
          <t>Смазка универсальная тугоплавкая УТ (консталин жировой)</t>
        </is>
      </c>
      <c r="E61" s="155" t="inlineStr">
        <is>
          <t>т</t>
        </is>
      </c>
      <c r="F61" s="212" t="n">
        <v>0.001</v>
      </c>
      <c r="G61" s="112" t="n">
        <v>17500</v>
      </c>
      <c r="H61" s="112">
        <f>ROUND(F61*G61,2)</f>
        <v/>
      </c>
    </row>
    <row r="62">
      <c r="A62" s="212" t="n">
        <v>46</v>
      </c>
      <c r="B62" s="155" t="n"/>
      <c r="C62" s="213" t="inlineStr">
        <is>
          <t>01.7.20.08-0031</t>
        </is>
      </c>
      <c r="D62" s="213" t="inlineStr">
        <is>
          <t>Бязь суровая</t>
        </is>
      </c>
      <c r="E62" s="155" t="inlineStr">
        <is>
          <t>10 м2</t>
        </is>
      </c>
      <c r="F62" s="212" t="n">
        <v>0.22</v>
      </c>
      <c r="G62" s="112" t="n">
        <v>79.09999999999999</v>
      </c>
      <c r="H62" s="112">
        <f>ROUND(F62*G62,2)</f>
        <v/>
      </c>
    </row>
    <row r="63" ht="31.5" customHeight="1" s="187">
      <c r="A63" s="212" t="n">
        <v>47</v>
      </c>
      <c r="B63" s="155" t="n"/>
      <c r="C63" s="213" t="inlineStr">
        <is>
          <t>999-9950</t>
        </is>
      </c>
      <c r="D63" s="213" t="inlineStr">
        <is>
          <t>Вспомогательные ненормируемые ресурсы (2% от Оплаты труда рабочих)</t>
        </is>
      </c>
      <c r="E63" s="155" t="inlineStr">
        <is>
          <t>руб</t>
        </is>
      </c>
      <c r="F63" s="212" t="n">
        <v>17.04</v>
      </c>
      <c r="G63" s="112" t="n">
        <v>1</v>
      </c>
      <c r="H63" s="112">
        <f>ROUND(F63*G63,2)</f>
        <v/>
      </c>
    </row>
    <row r="64">
      <c r="A64" s="212" t="n">
        <v>48</v>
      </c>
      <c r="B64" s="155" t="n"/>
      <c r="C64" s="213" t="inlineStr">
        <is>
          <t>14.5.09.07-0030</t>
        </is>
      </c>
      <c r="D64" s="213" t="inlineStr">
        <is>
          <t>Растворитель Р-4</t>
        </is>
      </c>
      <c r="E64" s="155" t="inlineStr">
        <is>
          <t>кг</t>
        </is>
      </c>
      <c r="F64" s="212" t="n">
        <v>1.70469</v>
      </c>
      <c r="G64" s="112" t="n">
        <v>9.42</v>
      </c>
      <c r="H64" s="112">
        <f>ROUND(F64*G64,2)</f>
        <v/>
      </c>
    </row>
    <row r="65" ht="47.25" customHeight="1" s="187">
      <c r="A65" s="212" t="n">
        <v>49</v>
      </c>
      <c r="B65" s="155" t="n"/>
      <c r="C65" s="213" t="inlineStr">
        <is>
          <t>04.1.02.05-0043 ОП прил.15 т.2</t>
        </is>
      </c>
      <c r="D65" s="213" t="inlineStr">
        <is>
          <t>Надбавка на водонепроницаемость бетона (W 4) за каждые  0,2 МПа давления воды до 0,4 МПа</t>
        </is>
      </c>
      <c r="E65" s="155" t="inlineStr">
        <is>
          <t>м3</t>
        </is>
      </c>
      <c r="F65" s="212" t="n">
        <v>0.44</v>
      </c>
      <c r="G65" s="112" t="n">
        <v>14.56</v>
      </c>
      <c r="H65" s="112">
        <f>ROUND(F65*G65,2)</f>
        <v/>
      </c>
    </row>
    <row r="66">
      <c r="A66" s="212" t="n">
        <v>50</v>
      </c>
      <c r="B66" s="155" t="n"/>
      <c r="C66" s="213" t="inlineStr">
        <is>
          <t>08.3.11.01-0091</t>
        </is>
      </c>
      <c r="D66" s="213" t="inlineStr">
        <is>
          <t>Швеллеры № 40, марка стали Ст0</t>
        </is>
      </c>
      <c r="E66" s="155" t="inlineStr">
        <is>
          <t>т</t>
        </is>
      </c>
      <c r="F66" s="212" t="n">
        <v>0.0009116</v>
      </c>
      <c r="G66" s="112" t="n">
        <v>4920</v>
      </c>
      <c r="H66" s="112">
        <f>ROUND(F66*G66,2)</f>
        <v/>
      </c>
    </row>
    <row r="67">
      <c r="A67" s="212" t="n">
        <v>51</v>
      </c>
      <c r="B67" s="155" t="n"/>
      <c r="C67" s="213" t="inlineStr">
        <is>
          <t>01.3.02.08-0001</t>
        </is>
      </c>
      <c r="D67" s="213" t="inlineStr">
        <is>
          <t>Кислород газообразный технический</t>
        </is>
      </c>
      <c r="E67" s="155" t="inlineStr">
        <is>
          <t>м3</t>
        </is>
      </c>
      <c r="F67" s="212" t="n">
        <v>0.643763</v>
      </c>
      <c r="G67" s="112" t="n">
        <v>6.22</v>
      </c>
      <c r="H67" s="112">
        <f>ROUND(F67*G67,2)</f>
        <v/>
      </c>
    </row>
    <row r="68">
      <c r="A68" s="212" t="n">
        <v>52</v>
      </c>
      <c r="B68" s="155" t="n"/>
      <c r="C68" s="213" t="inlineStr">
        <is>
          <t>01.3.01.03-0002</t>
        </is>
      </c>
      <c r="D68" s="213" t="inlineStr">
        <is>
          <t>Керосин для технических целей</t>
        </is>
      </c>
      <c r="E68" s="155" t="inlineStr">
        <is>
          <t>т</t>
        </is>
      </c>
      <c r="F68" s="212" t="n">
        <v>0.0014688</v>
      </c>
      <c r="G68" s="112" t="n">
        <v>2606.9</v>
      </c>
      <c r="H68" s="112">
        <f>ROUND(F68*G68,2)</f>
        <v/>
      </c>
    </row>
    <row r="69" ht="47.25" customHeight="1" s="187">
      <c r="A69" s="212" t="n">
        <v>53</v>
      </c>
      <c r="B69" s="155" t="n"/>
      <c r="C69" s="213" t="inlineStr">
        <is>
          <t>07.2.07.12-0020</t>
        </is>
      </c>
      <c r="D69" s="213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69" s="155" t="inlineStr">
        <is>
          <t>т</t>
        </is>
      </c>
      <c r="F69" s="212" t="n">
        <v>0.0004699</v>
      </c>
      <c r="G69" s="112" t="n">
        <v>7712</v>
      </c>
      <c r="H69" s="112">
        <f>ROUND(F69*G69,2)</f>
        <v/>
      </c>
    </row>
    <row r="70">
      <c r="A70" s="212" t="n">
        <v>54</v>
      </c>
      <c r="B70" s="155" t="n"/>
      <c r="C70" s="213" t="inlineStr">
        <is>
          <t>14.4.01.01-0003</t>
        </is>
      </c>
      <c r="D70" s="213" t="inlineStr">
        <is>
          <t>Грунтовка ГФ-021</t>
        </is>
      </c>
      <c r="E70" s="155" t="inlineStr">
        <is>
          <t>т</t>
        </is>
      </c>
      <c r="F70" s="212" t="n">
        <v>0.0001457</v>
      </c>
      <c r="G70" s="112" t="n">
        <v>15620</v>
      </c>
      <c r="H70" s="112">
        <f>ROUND(F70*G70,2)</f>
        <v/>
      </c>
    </row>
    <row r="71">
      <c r="A71" s="212" t="n">
        <v>55</v>
      </c>
      <c r="B71" s="155" t="n"/>
      <c r="C71" s="213" t="inlineStr">
        <is>
          <t>01.7.20.08-0071</t>
        </is>
      </c>
      <c r="D71" s="213" t="inlineStr">
        <is>
          <t>Канат пеньковый пропитанный</t>
        </is>
      </c>
      <c r="E71" s="155" t="inlineStr">
        <is>
          <t>т</t>
        </is>
      </c>
      <c r="F71" s="212" t="n">
        <v>4.7e-05</v>
      </c>
      <c r="G71" s="112" t="n">
        <v>37900</v>
      </c>
      <c r="H71" s="112">
        <f>ROUND(F71*G71,2)</f>
        <v/>
      </c>
    </row>
    <row r="72">
      <c r="A72" s="212" t="n">
        <v>56</v>
      </c>
      <c r="B72" s="155" t="n"/>
      <c r="C72" s="213" t="inlineStr">
        <is>
          <t>01.2.01.02-0054</t>
        </is>
      </c>
      <c r="D72" s="213" t="inlineStr">
        <is>
          <t>Битумы нефтяные строительные БН-90/10</t>
        </is>
      </c>
      <c r="E72" s="155" t="inlineStr">
        <is>
          <t>т</t>
        </is>
      </c>
      <c r="F72" s="212" t="n">
        <v>0.0009791999999999999</v>
      </c>
      <c r="G72" s="112" t="n">
        <v>1383.1</v>
      </c>
      <c r="H72" s="112">
        <f>ROUND(F72*G72,2)</f>
        <v/>
      </c>
    </row>
    <row r="73">
      <c r="A73" s="212" t="n">
        <v>57</v>
      </c>
      <c r="B73" s="155" t="n"/>
      <c r="C73" s="213" t="inlineStr">
        <is>
          <t>01.3.02.09-0022</t>
        </is>
      </c>
      <c r="D73" s="213" t="inlineStr">
        <is>
          <t>Пропан-бутан смесь техническая</t>
        </is>
      </c>
      <c r="E73" s="155" t="inlineStr">
        <is>
          <t>кг</t>
        </is>
      </c>
      <c r="F73" s="212" t="n">
        <v>0.192659</v>
      </c>
      <c r="G73" s="112" t="n">
        <v>6.09</v>
      </c>
      <c r="H73" s="112">
        <f>ROUND(F73*G73,2)</f>
        <v/>
      </c>
    </row>
    <row r="74">
      <c r="A74" s="212" t="n">
        <v>58</v>
      </c>
      <c r="B74" s="155" t="n"/>
      <c r="C74" s="213" t="inlineStr">
        <is>
          <t>01.7.11.07-0034</t>
        </is>
      </c>
      <c r="D74" s="213" t="inlineStr">
        <is>
          <t>Электроды сварочные Э42А, диаметр 4 мм</t>
        </is>
      </c>
      <c r="E74" s="155" t="inlineStr">
        <is>
          <t>кг</t>
        </is>
      </c>
      <c r="F74" s="212" t="n">
        <v>0.1</v>
      </c>
      <c r="G74" s="112" t="n">
        <v>10.57</v>
      </c>
      <c r="H74" s="112">
        <f>ROUND(F74*G74,2)</f>
        <v/>
      </c>
    </row>
    <row r="75">
      <c r="A75" s="212" t="n">
        <v>59</v>
      </c>
      <c r="B75" s="155" t="n"/>
      <c r="C75" s="213" t="inlineStr">
        <is>
          <t>11.2.13.04-0012</t>
        </is>
      </c>
      <c r="D75" s="213" t="inlineStr">
        <is>
          <t>Щиты из досок, толщина 40 мм</t>
        </is>
      </c>
      <c r="E75" s="155" t="inlineStr">
        <is>
          <t>м2</t>
        </is>
      </c>
      <c r="F75" s="212" t="n">
        <v>0.01584</v>
      </c>
      <c r="G75" s="112" t="n">
        <v>57.63</v>
      </c>
      <c r="H75" s="112">
        <f>ROUND(F75*G75,2)</f>
        <v/>
      </c>
    </row>
    <row r="76" ht="31.5" customHeight="1" s="187">
      <c r="A76" s="212" t="n">
        <v>60</v>
      </c>
      <c r="B76" s="155" t="n"/>
      <c r="C76" s="213" t="inlineStr">
        <is>
          <t>11.1.03.01-0077</t>
        </is>
      </c>
      <c r="D76" s="213" t="inlineStr">
        <is>
          <t>Бруски обрезные, хвойных пород, длина 4-6,5 м, ширина 75-150 мм, толщина 40-75 мм, сорт I</t>
        </is>
      </c>
      <c r="E76" s="155" t="inlineStr">
        <is>
          <t>м3</t>
        </is>
      </c>
      <c r="F76" s="212" t="n">
        <v>0.000484</v>
      </c>
      <c r="G76" s="112" t="n">
        <v>1700</v>
      </c>
      <c r="H76" s="112">
        <f>ROUND(F76*G76,2)</f>
        <v/>
      </c>
    </row>
    <row r="77">
      <c r="A77" s="212" t="n">
        <v>61</v>
      </c>
      <c r="B77" s="155" t="n"/>
      <c r="C77" s="213" t="inlineStr">
        <is>
          <t>01.7.07.12-0024</t>
        </is>
      </c>
      <c r="D77" s="213" t="inlineStr">
        <is>
          <t>Пленка полиэтиленовая, толщина 0,15 мм</t>
        </is>
      </c>
      <c r="E77" s="155" t="inlineStr">
        <is>
          <t>м2</t>
        </is>
      </c>
      <c r="F77" s="212" t="n">
        <v>0.132</v>
      </c>
      <c r="G77" s="112" t="n">
        <v>3.62</v>
      </c>
      <c r="H77" s="112">
        <f>ROUND(F77*G77,2)</f>
        <v/>
      </c>
    </row>
    <row r="78" ht="63" customHeight="1" s="187">
      <c r="A78" s="212" t="n">
        <v>62</v>
      </c>
      <c r="B78" s="155" t="n"/>
      <c r="C78" s="213" t="inlineStr">
        <is>
          <t>08.2.02.11-0007</t>
        </is>
      </c>
      <c r="D78" s="21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78" s="155" t="inlineStr">
        <is>
          <t>10 м</t>
        </is>
      </c>
      <c r="F78" s="212" t="n">
        <v>0.008787100000000001</v>
      </c>
      <c r="G78" s="112" t="n">
        <v>50.24</v>
      </c>
      <c r="H78" s="112">
        <f>ROUND(F78*G78,2)</f>
        <v/>
      </c>
    </row>
    <row r="79" ht="31.5" customHeight="1" s="187">
      <c r="A79" s="212" t="n">
        <v>63</v>
      </c>
      <c r="B79" s="155" t="n"/>
      <c r="C79" s="213" t="inlineStr">
        <is>
          <t>08.3.03.06-0002</t>
        </is>
      </c>
      <c r="D79" s="213" t="inlineStr">
        <is>
          <t>Проволока горячекатаная в мотках, диаметр 6,3-6,5 мм</t>
        </is>
      </c>
      <c r="E79" s="155" t="inlineStr">
        <is>
          <t>т</t>
        </is>
      </c>
      <c r="F79" s="212" t="n">
        <v>5.9e-05</v>
      </c>
      <c r="G79" s="112" t="n">
        <v>4455.2</v>
      </c>
      <c r="H79" s="112">
        <f>ROUND(F79*G79,2)</f>
        <v/>
      </c>
    </row>
    <row r="80" ht="47.25" customHeight="1" s="187">
      <c r="A80" s="212" t="n">
        <v>64</v>
      </c>
      <c r="B80" s="155" t="n"/>
      <c r="C80" s="213" t="inlineStr">
        <is>
          <t>11.1.03.06-0095</t>
        </is>
      </c>
      <c r="D80" s="213" t="inlineStr">
        <is>
          <t>Доска обрезная, хвойных пород, ширина 75-150 мм, толщина 44 мм и более, длина 4-6,5 м, сорт III</t>
        </is>
      </c>
      <c r="E80" s="155" t="inlineStr">
        <is>
          <t>м3</t>
        </is>
      </c>
      <c r="F80" s="212" t="n">
        <v>0.000176</v>
      </c>
      <c r="G80" s="112" t="n">
        <v>1056</v>
      </c>
      <c r="H80" s="112">
        <f>ROUND(F80*G80,2)</f>
        <v/>
      </c>
    </row>
    <row r="81">
      <c r="A81" s="212" t="n">
        <v>65</v>
      </c>
      <c r="B81" s="155" t="n"/>
      <c r="C81" s="213" t="inlineStr">
        <is>
          <t>01.7.15.06-0111</t>
        </is>
      </c>
      <c r="D81" s="213" t="inlineStr">
        <is>
          <t>Гвозди строительные</t>
        </is>
      </c>
      <c r="E81" s="155" t="inlineStr">
        <is>
          <t>т</t>
        </is>
      </c>
      <c r="F81" s="212" t="n">
        <v>1.35e-05</v>
      </c>
      <c r="G81" s="112" t="n">
        <v>11978</v>
      </c>
      <c r="H81" s="112">
        <f>ROUND(F81*G81,2)</f>
        <v/>
      </c>
    </row>
    <row r="82">
      <c r="A82" s="212" t="n">
        <v>66</v>
      </c>
      <c r="B82" s="155" t="n"/>
      <c r="C82" s="213" t="inlineStr">
        <is>
          <t>03.1.02.03-0011</t>
        </is>
      </c>
      <c r="D82" s="213" t="inlineStr">
        <is>
          <t>Известь строительная негашеная комовая, сорт I</t>
        </is>
      </c>
      <c r="E82" s="155" t="inlineStr">
        <is>
          <t>т</t>
        </is>
      </c>
      <c r="F82" s="212" t="n">
        <v>4.4e-05</v>
      </c>
      <c r="G82" s="112" t="n">
        <v>734.5</v>
      </c>
      <c r="H82" s="112">
        <f>ROUND(F82*G82,2)</f>
        <v/>
      </c>
    </row>
    <row r="83">
      <c r="A83" s="212" t="n">
        <v>67</v>
      </c>
      <c r="B83" s="155" t="n"/>
      <c r="C83" s="213" t="inlineStr">
        <is>
          <t>01.7.20.08-0051</t>
        </is>
      </c>
      <c r="D83" s="213" t="inlineStr">
        <is>
          <t>Ветошь</t>
        </is>
      </c>
      <c r="E83" s="155" t="inlineStr">
        <is>
          <t>кг</t>
        </is>
      </c>
      <c r="F83" s="212" t="n">
        <v>0.00612</v>
      </c>
      <c r="G83" s="112" t="n">
        <v>1.82</v>
      </c>
      <c r="H83" s="112">
        <f>ROUND(F83*G83,2)</f>
        <v/>
      </c>
    </row>
    <row r="84">
      <c r="A84" s="212" t="n">
        <v>68</v>
      </c>
      <c r="B84" s="155" t="n"/>
      <c r="C84" s="213" t="inlineStr">
        <is>
          <t>01.7.03.01-0001</t>
        </is>
      </c>
      <c r="D84" s="213" t="inlineStr">
        <is>
          <t>Вода</t>
        </is>
      </c>
      <c r="E84" s="155" t="inlineStr">
        <is>
          <t>м3</t>
        </is>
      </c>
      <c r="F84" s="212" t="n">
        <v>0.003212</v>
      </c>
      <c r="G84" s="112" t="n">
        <v>2.44</v>
      </c>
      <c r="H84" s="112">
        <f>ROUND(F84*G84,2)</f>
        <v/>
      </c>
    </row>
    <row r="87">
      <c r="B87" s="189" t="inlineStr">
        <is>
          <t>Составил ______________________        Е.А. Князева</t>
        </is>
      </c>
    </row>
    <row r="88">
      <c r="B88" s="128" t="inlineStr">
        <is>
          <t xml:space="preserve">                         (подпись, инициалы, фамилия)</t>
        </is>
      </c>
    </row>
    <row r="90">
      <c r="B90" s="189" t="inlineStr">
        <is>
          <t>Проверил ______________________        А.В. Костянецкая</t>
        </is>
      </c>
    </row>
    <row r="91">
      <c r="B91" s="128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42:E42"/>
    <mergeCell ref="A2:H2"/>
    <mergeCell ref="A19:E19"/>
    <mergeCell ref="G9:H9"/>
    <mergeCell ref="A40:E4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RowHeight="15"/>
  <cols>
    <col width="4.140625" customWidth="1" style="187" min="1" max="1"/>
    <col width="36.28515625" customWidth="1" style="187" min="2" max="2"/>
    <col width="18.85546875" customWidth="1" style="187" min="3" max="3"/>
    <col width="18.28515625" customWidth="1" style="187" min="4" max="4"/>
    <col width="18.85546875" customWidth="1" style="187" min="5" max="5"/>
    <col width="9.140625" customWidth="1" style="187" min="6" max="6"/>
    <col width="12.85546875" customWidth="1" style="187" min="7" max="7"/>
    <col width="9.140625" customWidth="1" style="187" min="8" max="11"/>
    <col width="13.5703125" customWidth="1" style="187" min="12" max="12"/>
    <col width="9.140625" customWidth="1" style="187" min="13" max="13"/>
  </cols>
  <sheetData>
    <row r="1">
      <c r="B1" s="179" t="n"/>
      <c r="C1" s="179" t="n"/>
      <c r="D1" s="179" t="n"/>
      <c r="E1" s="179" t="n"/>
    </row>
    <row r="2">
      <c r="B2" s="179" t="n"/>
      <c r="C2" s="179" t="n"/>
      <c r="D2" s="179" t="n"/>
      <c r="E2" s="238" t="inlineStr">
        <is>
          <t>Приложение № 4</t>
        </is>
      </c>
    </row>
    <row r="3">
      <c r="B3" s="179" t="n"/>
      <c r="C3" s="179" t="n"/>
      <c r="D3" s="179" t="n"/>
      <c r="E3" s="179" t="n"/>
    </row>
    <row r="4">
      <c r="B4" s="179" t="n"/>
      <c r="C4" s="179" t="n"/>
      <c r="D4" s="179" t="n"/>
      <c r="E4" s="179" t="n"/>
    </row>
    <row r="5">
      <c r="B5" s="215" t="inlineStr">
        <is>
          <t>Ресурсная модель</t>
        </is>
      </c>
    </row>
    <row r="6">
      <c r="B6" s="18" t="n"/>
      <c r="C6" s="179" t="n"/>
      <c r="D6" s="179" t="n"/>
      <c r="E6" s="179" t="n"/>
    </row>
    <row r="7" ht="39.75" customHeight="1" s="187">
      <c r="B7" s="216">
        <f>'Прил.1 Сравнит табл'!B7</f>
        <v/>
      </c>
    </row>
    <row r="8">
      <c r="B8" s="217">
        <f>'Прил.1 Сравнит табл'!B9</f>
        <v/>
      </c>
    </row>
    <row r="9">
      <c r="B9" s="18" t="n"/>
      <c r="C9" s="179" t="n"/>
      <c r="D9" s="179" t="n"/>
      <c r="E9" s="179" t="n"/>
    </row>
    <row r="10" ht="51" customHeight="1" s="187">
      <c r="B10" s="219" t="inlineStr">
        <is>
          <t>Наименование</t>
        </is>
      </c>
      <c r="C10" s="219" t="inlineStr">
        <is>
          <t>Сметная стоимость в ценах на 01.01.2023
 (руб.)</t>
        </is>
      </c>
      <c r="D10" s="219" t="inlineStr">
        <is>
          <t>Удельный вес, 
(в СМР)</t>
        </is>
      </c>
      <c r="E10" s="219" t="inlineStr">
        <is>
          <t>Удельный вес, % 
(от всего по РМ)</t>
        </is>
      </c>
    </row>
    <row r="11">
      <c r="B11" s="28" t="inlineStr">
        <is>
          <t>Оплата труда рабочих</t>
        </is>
      </c>
      <c r="C11" s="32">
        <f>'Прил.5 Расчет СМР и ОБ'!J14</f>
        <v/>
      </c>
      <c r="D11" s="30">
        <f>C11/$C$24</f>
        <v/>
      </c>
      <c r="E11" s="30">
        <f>C11/$C$40</f>
        <v/>
      </c>
    </row>
    <row r="12">
      <c r="B12" s="28" t="inlineStr">
        <is>
          <t>Эксплуатация машин основных</t>
        </is>
      </c>
      <c r="C12" s="32">
        <f>'Прил.5 Расчет СМР и ОБ'!J21</f>
        <v/>
      </c>
      <c r="D12" s="30">
        <f>C12/$C$24</f>
        <v/>
      </c>
      <c r="E12" s="30">
        <f>C12/$C$40</f>
        <v/>
      </c>
    </row>
    <row r="13">
      <c r="B13" s="28" t="inlineStr">
        <is>
          <t>Эксплуатация машин прочих</t>
        </is>
      </c>
      <c r="C13" s="32">
        <f>'Прил.5 Расчет СМР и ОБ'!J38</f>
        <v/>
      </c>
      <c r="D13" s="30">
        <f>C13/$C$24</f>
        <v/>
      </c>
      <c r="E13" s="30">
        <f>C13/$C$40</f>
        <v/>
      </c>
    </row>
    <row r="14">
      <c r="B14" s="28" t="inlineStr">
        <is>
          <t>ЭКСПЛУАТАЦИЯ МАШИН, ВСЕГО:</t>
        </is>
      </c>
      <c r="C14" s="32">
        <f>C13+C12</f>
        <v/>
      </c>
      <c r="D14" s="30">
        <f>C14/$C$24</f>
        <v/>
      </c>
      <c r="E14" s="30">
        <f>C14/$C$40</f>
        <v/>
      </c>
    </row>
    <row r="15">
      <c r="B15" s="28" t="inlineStr">
        <is>
          <t>в том числе зарплата машинистов</t>
        </is>
      </c>
      <c r="C15" s="32">
        <f>'Прил.5 Расчет СМР и ОБ'!J16</f>
        <v/>
      </c>
      <c r="D15" s="30">
        <f>C15/$C$24</f>
        <v/>
      </c>
      <c r="E15" s="30">
        <f>C15/$C$40</f>
        <v/>
      </c>
    </row>
    <row r="16">
      <c r="B16" s="28" t="inlineStr">
        <is>
          <t>Материалы основные</t>
        </is>
      </c>
      <c r="C16" s="32">
        <f>'Прил.5 Расчет СМР и ОБ'!J54</f>
        <v/>
      </c>
      <c r="D16" s="30">
        <f>C16/$C$24</f>
        <v/>
      </c>
      <c r="E16" s="30">
        <f>C16/$C$40</f>
        <v/>
      </c>
    </row>
    <row r="17">
      <c r="B17" s="28" t="inlineStr">
        <is>
          <t>Материалы прочие</t>
        </is>
      </c>
      <c r="C17" s="32">
        <f>'Прил.5 Расчет СМР и ОБ'!J93</f>
        <v/>
      </c>
      <c r="D17" s="30">
        <f>C17/$C$24</f>
        <v/>
      </c>
      <c r="E17" s="30">
        <f>C17/$C$40</f>
        <v/>
      </c>
      <c r="G17" s="259" t="n"/>
    </row>
    <row r="18">
      <c r="B18" s="28" t="inlineStr">
        <is>
          <t>МАТЕРИАЛЫ, ВСЕГО:</t>
        </is>
      </c>
      <c r="C18" s="32">
        <f>C17+C16</f>
        <v/>
      </c>
      <c r="D18" s="30">
        <f>C18/$C$24</f>
        <v/>
      </c>
      <c r="E18" s="30">
        <f>C18/$C$40</f>
        <v/>
      </c>
    </row>
    <row r="19">
      <c r="B19" s="28" t="inlineStr">
        <is>
          <t>ИТОГО</t>
        </is>
      </c>
      <c r="C19" s="32">
        <f>C18+C14+C11</f>
        <v/>
      </c>
      <c r="D19" s="30" t="n"/>
      <c r="E19" s="28" t="n"/>
    </row>
    <row r="20">
      <c r="B20" s="28" t="inlineStr">
        <is>
          <t>Сметная прибыль, руб.</t>
        </is>
      </c>
      <c r="C20" s="32">
        <f>ROUND(C21*(C11+C15),2)</f>
        <v/>
      </c>
      <c r="D20" s="30">
        <f>C20/$C$24</f>
        <v/>
      </c>
      <c r="E20" s="30">
        <f>C20/$C$40</f>
        <v/>
      </c>
    </row>
    <row r="21">
      <c r="B21" s="28" t="inlineStr">
        <is>
          <t>Сметная прибыль, %</t>
        </is>
      </c>
      <c r="C21" s="33">
        <f>'Прил.5 Расчет СМР и ОБ'!E97</f>
        <v/>
      </c>
      <c r="D21" s="30" t="n"/>
      <c r="E21" s="28" t="n"/>
    </row>
    <row r="22">
      <c r="B22" s="28" t="inlineStr">
        <is>
          <t>Накладные расходы, руб.</t>
        </is>
      </c>
      <c r="C22" s="32">
        <f>ROUND(C23*(C11+C15),2)</f>
        <v/>
      </c>
      <c r="D22" s="30">
        <f>C22/$C$24</f>
        <v/>
      </c>
      <c r="E22" s="30">
        <f>C22/$C$40</f>
        <v/>
      </c>
    </row>
    <row r="23">
      <c r="B23" s="28" t="inlineStr">
        <is>
          <t>Накладные расходы, %</t>
        </is>
      </c>
      <c r="C23" s="33">
        <f>'Прил.5 Расчет СМР и ОБ'!E96</f>
        <v/>
      </c>
      <c r="D23" s="30" t="n"/>
      <c r="E23" s="28" t="n"/>
    </row>
    <row r="24">
      <c r="B24" s="28" t="inlineStr">
        <is>
          <t>ВСЕГО СМР с НР и СП</t>
        </is>
      </c>
      <c r="C24" s="32">
        <f>C19+C20+C22</f>
        <v/>
      </c>
      <c r="D24" s="30">
        <f>C24/$C$24</f>
        <v/>
      </c>
      <c r="E24" s="30">
        <f>C24/$C$40</f>
        <v/>
      </c>
    </row>
    <row r="25" ht="25.5" customHeight="1" s="187">
      <c r="B25" s="28" t="inlineStr">
        <is>
          <t>ВСЕГО стоимость оборудования, в том числе</t>
        </is>
      </c>
      <c r="C25" s="32">
        <f>'Прил.5 Расчет СМР и ОБ'!J45</f>
        <v/>
      </c>
      <c r="D25" s="30" t="n"/>
      <c r="E25" s="30">
        <f>C25/$C$40</f>
        <v/>
      </c>
    </row>
    <row r="26" ht="25.5" customHeight="1" s="187">
      <c r="B26" s="28" t="inlineStr">
        <is>
          <t>стоимость оборудования технологического</t>
        </is>
      </c>
      <c r="C26" s="32">
        <f>'Прил.5 Расчет СМР и ОБ'!J46</f>
        <v/>
      </c>
      <c r="D26" s="30" t="n"/>
      <c r="E26" s="30">
        <f>C26/$C$40</f>
        <v/>
      </c>
    </row>
    <row r="27">
      <c r="B27" s="28" t="inlineStr">
        <is>
          <t>ИТОГО (СМР + ОБОРУДОВАНИЕ)</t>
        </is>
      </c>
      <c r="C27" s="29">
        <f>C24+C25</f>
        <v/>
      </c>
      <c r="D27" s="30" t="n"/>
      <c r="E27" s="30">
        <f>C27/$C$40</f>
        <v/>
      </c>
    </row>
    <row r="28" ht="33" customHeight="1" s="187">
      <c r="B28" s="28" t="inlineStr">
        <is>
          <t>ПРОЧ. ЗАТР., УЧТЕННЫЕ ПОКАЗАТЕЛЕМ,  в том числе</t>
        </is>
      </c>
      <c r="C28" s="28" t="n"/>
      <c r="D28" s="28" t="n"/>
      <c r="E28" s="28" t="n"/>
    </row>
    <row r="29" ht="25.5" customHeight="1" s="187">
      <c r="B29" s="28" t="inlineStr">
        <is>
          <t>Временные здания и сооружения - 3,9%</t>
        </is>
      </c>
      <c r="C29" s="29">
        <f>ROUND(C24*3.9%,2)</f>
        <v/>
      </c>
      <c r="D29" s="28" t="n"/>
      <c r="E29" s="30">
        <f>C29/$C$40</f>
        <v/>
      </c>
    </row>
    <row r="30" ht="38.25" customHeight="1" s="187">
      <c r="B30" s="28" t="inlineStr">
        <is>
          <t>Дополнительные затраты при производстве строительно-монтажных работ в зимнее время - 2,1%</t>
        </is>
      </c>
      <c r="C30" s="29">
        <f>ROUND((C24+C29)*2.1%,2)</f>
        <v/>
      </c>
      <c r="D30" s="28" t="n"/>
      <c r="E30" s="30">
        <f>C30/$C$40</f>
        <v/>
      </c>
    </row>
    <row r="31">
      <c r="B31" s="169" t="inlineStr">
        <is>
          <t xml:space="preserve">Пусконаладочные работы </t>
        </is>
      </c>
      <c r="C31" s="170" t="n">
        <v>328074.34</v>
      </c>
      <c r="D31" s="28" t="n"/>
      <c r="E31" s="30">
        <f>C31/$C$40</f>
        <v/>
      </c>
    </row>
    <row r="32" ht="25.5" customHeight="1" s="187">
      <c r="B32" s="28" t="inlineStr">
        <is>
          <t xml:space="preserve">Затраты по перевозке работников к месту работы и обратно </t>
        </is>
      </c>
      <c r="C32" s="29">
        <f>ROUND(C27*0%,2)</f>
        <v/>
      </c>
      <c r="D32" s="28" t="n"/>
      <c r="E32" s="30">
        <f>C32/$C$40</f>
        <v/>
      </c>
      <c r="G32" s="158" t="n"/>
    </row>
    <row r="33" ht="25.5" customHeight="1" s="187">
      <c r="B33" s="28" t="inlineStr">
        <is>
          <t>Затраты, связанные с осуществлением работ вахтовым методом</t>
        </is>
      </c>
      <c r="C33" s="29" t="n">
        <v>0</v>
      </c>
      <c r="D33" s="28" t="n"/>
      <c r="E33" s="30">
        <f>C33/$C$40</f>
        <v/>
      </c>
      <c r="G33" s="158" t="n"/>
    </row>
    <row r="34" ht="51" customHeight="1" s="187">
      <c r="B34" s="2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" t="n">
        <v>0</v>
      </c>
      <c r="D34" s="28" t="n"/>
      <c r="E34" s="30">
        <f>C34/$C$40</f>
        <v/>
      </c>
      <c r="G34" s="158" t="n"/>
    </row>
    <row r="35" ht="76.5" customHeight="1" s="187">
      <c r="B35" s="2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" t="n">
        <v>0</v>
      </c>
      <c r="D35" s="28" t="n"/>
      <c r="E35" s="30">
        <f>C35/$C$40</f>
        <v/>
      </c>
      <c r="G35" s="158" t="n"/>
    </row>
    <row r="36" ht="25.5" customHeight="1" s="187">
      <c r="B36" s="28" t="inlineStr">
        <is>
          <t>Строительный контроль и содержание службы заказчика - 2,14%</t>
        </is>
      </c>
      <c r="C36" s="29">
        <f>ROUND(SUM(C27:C35)*2.14%,2)</f>
        <v/>
      </c>
      <c r="D36" s="28" t="n"/>
      <c r="E36" s="30">
        <f>C36/$C$40</f>
        <v/>
      </c>
      <c r="G36" s="72" t="n"/>
      <c r="L36" s="20" t="n"/>
    </row>
    <row r="37">
      <c r="B37" s="28" t="inlineStr">
        <is>
          <t>Авторский надзор - 0,2%</t>
        </is>
      </c>
      <c r="C37" s="29">
        <f>ROUND(SUM(C27:C35)*0.2%,2)</f>
        <v/>
      </c>
      <c r="D37" s="28" t="n"/>
      <c r="E37" s="30">
        <f>C37/$C$40</f>
        <v/>
      </c>
      <c r="G37" s="72" t="n"/>
      <c r="L37" s="20" t="n"/>
    </row>
    <row r="38" ht="38.25" customHeight="1" s="187">
      <c r="B38" s="28" t="inlineStr">
        <is>
          <t>ИТОГО (СМР+ОБОРУДОВАНИЕ+ПРОЧ. ЗАТР., УЧТЕННЫЕ ПОКАЗАТЕЛЕМ)</t>
        </is>
      </c>
      <c r="C38" s="32">
        <f>SUM(C27:C37)</f>
        <v/>
      </c>
      <c r="D38" s="28" t="n"/>
      <c r="E38" s="30">
        <f>C38/$C$40</f>
        <v/>
      </c>
    </row>
    <row r="39" ht="13.5" customHeight="1" s="187">
      <c r="B39" s="28" t="inlineStr">
        <is>
          <t>Непредвиденные расходы - 3%</t>
        </is>
      </c>
      <c r="C39" s="32">
        <f>ROUND(C38*3%,2)</f>
        <v/>
      </c>
      <c r="D39" s="28" t="n"/>
      <c r="E39" s="30">
        <f>C39/$C$40</f>
        <v/>
      </c>
    </row>
    <row r="40">
      <c r="B40" s="28" t="inlineStr">
        <is>
          <t>ВСЕГО:</t>
        </is>
      </c>
      <c r="C40" s="32">
        <f>C39+C38</f>
        <v/>
      </c>
      <c r="D40" s="28" t="n"/>
      <c r="E40" s="30">
        <f>C40/$C$40</f>
        <v/>
      </c>
    </row>
    <row r="41">
      <c r="B41" s="28" t="inlineStr">
        <is>
          <t>ИТОГО ПОКАЗАТЕЛЬ НА ЕД. ИЗМ.</t>
        </is>
      </c>
      <c r="C41" s="32">
        <f>C40/'Прил.5 Расчет СМР и ОБ'!E100</f>
        <v/>
      </c>
      <c r="D41" s="28" t="n"/>
      <c r="E41" s="28" t="n"/>
    </row>
    <row r="42">
      <c r="B42" s="21" t="n"/>
      <c r="C42" s="179" t="n"/>
      <c r="D42" s="179" t="n"/>
      <c r="E42" s="179" t="n"/>
    </row>
    <row r="43">
      <c r="B43" s="179" t="inlineStr">
        <is>
          <t>Составил ______________________        Е.А. Князева</t>
        </is>
      </c>
      <c r="C43" s="180" t="n"/>
      <c r="D43" s="179" t="n"/>
      <c r="E43" s="179" t="n"/>
    </row>
    <row r="44">
      <c r="B44" s="182" t="inlineStr">
        <is>
          <t xml:space="preserve">                         (подпись, инициалы, фамилия)</t>
        </is>
      </c>
      <c r="C44" s="180" t="n"/>
      <c r="D44" s="179" t="n"/>
      <c r="E44" s="179" t="n"/>
    </row>
    <row r="45">
      <c r="B45" s="179" t="n"/>
      <c r="C45" s="180" t="n"/>
      <c r="D45" s="179" t="n"/>
      <c r="E45" s="179" t="n"/>
    </row>
    <row r="46">
      <c r="B46" s="179" t="inlineStr">
        <is>
          <t>Проверил ______________________        А.В. Костянецкая</t>
        </is>
      </c>
      <c r="C46" s="180" t="n"/>
      <c r="D46" s="179" t="n"/>
      <c r="E46" s="179" t="n"/>
    </row>
    <row r="47">
      <c r="B47" s="182" t="inlineStr">
        <is>
          <t xml:space="preserve">                        (подпись, инициалы, фамилия)</t>
        </is>
      </c>
      <c r="C47" s="180" t="n"/>
      <c r="D47" s="179" t="n"/>
      <c r="E47" s="179" t="n"/>
    </row>
    <row r="49">
      <c r="B49" s="179" t="n"/>
      <c r="C49" s="179" t="n"/>
      <c r="D49" s="179" t="n"/>
      <c r="E49" s="179" t="n"/>
    </row>
    <row r="50">
      <c r="B50" s="179" t="n"/>
      <c r="C50" s="179" t="n"/>
      <c r="D50" s="179" t="n"/>
      <c r="E50" s="179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N107"/>
  <sheetViews>
    <sheetView view="pageBreakPreview" topLeftCell="A97" workbookViewId="0">
      <selection activeCell="C104" sqref="C104"/>
    </sheetView>
  </sheetViews>
  <sheetFormatPr baseColWidth="8" defaultColWidth="9.140625" defaultRowHeight="15" outlineLevelRow="1"/>
  <cols>
    <col width="5.7109375" customWidth="1" style="180" min="1" max="1"/>
    <col width="22.5703125" customWidth="1" style="180" min="2" max="2"/>
    <col width="40.28515625" customWidth="1" style="180" min="3" max="3"/>
    <col width="10.7109375" customWidth="1" style="180" min="4" max="4"/>
    <col width="12.7109375" customWidth="1" style="180" min="5" max="5"/>
    <col width="14.5703125" customWidth="1" style="180" min="6" max="6"/>
    <col width="13.42578125" customWidth="1" style="180" min="7" max="7"/>
    <col width="12.7109375" customWidth="1" style="180" min="8" max="8"/>
    <col width="14.5703125" customWidth="1" style="180" min="9" max="9"/>
    <col width="15.140625" customWidth="1" style="180" min="10" max="10"/>
    <col width="2.85546875" customWidth="1" style="180" min="11" max="11"/>
    <col width="10.7109375" customWidth="1" style="180" min="12" max="12"/>
    <col width="10.85546875" customWidth="1" style="180" min="13" max="13"/>
    <col width="9.140625" customWidth="1" style="180" min="14" max="14"/>
    <col width="9.140625" customWidth="1" style="187" min="15" max="15"/>
  </cols>
  <sheetData>
    <row r="2" ht="15.75" customHeight="1" s="187">
      <c r="I2" s="189" t="n"/>
      <c r="J2" s="74" t="inlineStr">
        <is>
          <t>Приложение №5</t>
        </is>
      </c>
    </row>
    <row r="4" ht="12.75" customFormat="1" customHeight="1" s="179">
      <c r="A4" s="215" t="inlineStr">
        <is>
          <t>Расчет стоимости СМР и оборудования</t>
        </is>
      </c>
      <c r="I4" s="215" t="n"/>
      <c r="J4" s="215" t="n"/>
    </row>
    <row r="5" ht="12.75" customFormat="1" customHeight="1" s="179">
      <c r="A5" s="215" t="n"/>
      <c r="B5" s="215" t="n"/>
      <c r="C5" s="215" t="n"/>
      <c r="D5" s="215" t="n"/>
      <c r="E5" s="215" t="n"/>
      <c r="F5" s="215" t="n"/>
      <c r="G5" s="215" t="n"/>
      <c r="H5" s="215" t="n"/>
      <c r="I5" s="215" t="n"/>
      <c r="J5" s="215" t="n"/>
    </row>
    <row r="6" ht="41.25" customFormat="1" customHeight="1" s="179">
      <c r="A6" s="114" t="inlineStr">
        <is>
          <t>Наименование разрабатываемого показателя УНЦ</t>
        </is>
      </c>
      <c r="B6" s="115" t="n"/>
      <c r="C6" s="115" t="n"/>
      <c r="D6" s="229" t="inlineStr">
        <is>
          <t>Баковый выключатель 35 кВ с устройством фундамента</t>
        </is>
      </c>
    </row>
    <row r="7" ht="12.75" customFormat="1" customHeight="1" s="179">
      <c r="A7" s="229">
        <f>'Прил.1 Сравнит табл'!B9</f>
        <v/>
      </c>
      <c r="I7" s="216" t="n"/>
      <c r="J7" s="216" t="n"/>
    </row>
    <row r="8" ht="12.75" customFormat="1" customHeight="1" s="179"/>
    <row r="9" ht="27" customHeight="1" s="187">
      <c r="A9" s="219" t="inlineStr">
        <is>
          <t>№ пп.</t>
        </is>
      </c>
      <c r="B9" s="219" t="inlineStr">
        <is>
          <t>Код ресурса</t>
        </is>
      </c>
      <c r="C9" s="219" t="inlineStr">
        <is>
          <t>Наименование</t>
        </is>
      </c>
      <c r="D9" s="219" t="inlineStr">
        <is>
          <t>Ед. изм.</t>
        </is>
      </c>
      <c r="E9" s="219" t="inlineStr">
        <is>
          <t>Кол-во единиц по проектным данным</t>
        </is>
      </c>
      <c r="F9" s="219" t="inlineStr">
        <is>
          <t>Сметная стоимость в ценах на 01.01.2000 (руб.)</t>
        </is>
      </c>
      <c r="G9" s="253" t="n"/>
      <c r="H9" s="219" t="inlineStr">
        <is>
          <t>Удельный вес, %</t>
        </is>
      </c>
      <c r="I9" s="219" t="inlineStr">
        <is>
          <t>Сметная стоимость в ценах на 01.01.2023 (руб.)</t>
        </is>
      </c>
      <c r="J9" s="253" t="n"/>
    </row>
    <row r="10" ht="28.5" customHeight="1" s="187">
      <c r="A10" s="255" t="n"/>
      <c r="B10" s="255" t="n"/>
      <c r="C10" s="255" t="n"/>
      <c r="D10" s="255" t="n"/>
      <c r="E10" s="255" t="n"/>
      <c r="F10" s="219" t="inlineStr">
        <is>
          <t>на ед. изм.</t>
        </is>
      </c>
      <c r="G10" s="219" t="inlineStr">
        <is>
          <t>общая</t>
        </is>
      </c>
      <c r="H10" s="255" t="n"/>
      <c r="I10" s="219" t="inlineStr">
        <is>
          <t>на ед. изм.</t>
        </is>
      </c>
      <c r="J10" s="219" t="inlineStr">
        <is>
          <t>общая</t>
        </is>
      </c>
    </row>
    <row r="11">
      <c r="A11" s="219" t="n">
        <v>1</v>
      </c>
      <c r="B11" s="219" t="n">
        <v>2</v>
      </c>
      <c r="C11" s="219" t="n">
        <v>3</v>
      </c>
      <c r="D11" s="219" t="n">
        <v>4</v>
      </c>
      <c r="E11" s="219" t="n">
        <v>5</v>
      </c>
      <c r="F11" s="219" t="n">
        <v>6</v>
      </c>
      <c r="G11" s="219" t="n">
        <v>7</v>
      </c>
      <c r="H11" s="219" t="n">
        <v>8</v>
      </c>
      <c r="I11" s="219" t="n">
        <v>9</v>
      </c>
      <c r="J11" s="219" t="n">
        <v>10</v>
      </c>
    </row>
    <row r="12">
      <c r="A12" s="219" t="n"/>
      <c r="B12" s="230" t="inlineStr">
        <is>
          <t>Затраты труда рабочих-строителей</t>
        </is>
      </c>
      <c r="C12" s="252" t="n"/>
      <c r="D12" s="252" t="n"/>
      <c r="E12" s="252" t="n"/>
      <c r="F12" s="252" t="n"/>
      <c r="G12" s="252" t="n"/>
      <c r="H12" s="253" t="n"/>
      <c r="I12" s="39" t="n"/>
      <c r="J12" s="39" t="n"/>
      <c r="L12" s="260" t="n"/>
    </row>
    <row r="13" ht="25.5" customHeight="1" s="187">
      <c r="A13" s="219" t="n">
        <v>1</v>
      </c>
      <c r="B13" s="92" t="inlineStr">
        <is>
          <t>1-3-9</t>
        </is>
      </c>
      <c r="C13" s="218" t="inlineStr">
        <is>
          <t>Затраты труда рабочих-строителей среднего разряда (3,9)</t>
        </is>
      </c>
      <c r="D13" s="219" t="inlineStr">
        <is>
          <t>чел.-ч.</t>
        </is>
      </c>
      <c r="E13" s="261">
        <f>G13/F13</f>
        <v/>
      </c>
      <c r="F13" s="99" t="n">
        <v>9.51</v>
      </c>
      <c r="G13" s="99">
        <f>'Прил. 3'!H12</f>
        <v/>
      </c>
      <c r="H13" s="231">
        <f>G13/G14</f>
        <v/>
      </c>
      <c r="I13" s="99">
        <f>'ФОТр.тек.'!E13</f>
        <v/>
      </c>
      <c r="J13" s="99">
        <f>ROUND(I13*E13,2)</f>
        <v/>
      </c>
    </row>
    <row r="14" ht="25.5" customFormat="1" customHeight="1" s="180">
      <c r="A14" s="219" t="n"/>
      <c r="B14" s="219" t="n"/>
      <c r="C14" s="230" t="inlineStr">
        <is>
          <t>Итого по разделу "Затраты труда рабочих-строителей"</t>
        </is>
      </c>
      <c r="D14" s="219" t="inlineStr">
        <is>
          <t>чел.-ч.</t>
        </is>
      </c>
      <c r="E14" s="261">
        <f>SUM(E13:E13)</f>
        <v/>
      </c>
      <c r="F14" s="99" t="n"/>
      <c r="G14" s="99">
        <f>SUM(G13:G13)</f>
        <v/>
      </c>
      <c r="H14" s="231" t="n">
        <v>1</v>
      </c>
      <c r="I14" s="99" t="n"/>
      <c r="J14" s="99">
        <f>SUM(J13:J13)</f>
        <v/>
      </c>
      <c r="L14" s="91" t="n"/>
    </row>
    <row r="15" ht="14.25" customFormat="1" customHeight="1" s="180">
      <c r="A15" s="219" t="n"/>
      <c r="B15" s="218" t="inlineStr">
        <is>
          <t>Затраты труда машинистов</t>
        </is>
      </c>
      <c r="C15" s="252" t="n"/>
      <c r="D15" s="252" t="n"/>
      <c r="E15" s="252" t="n"/>
      <c r="F15" s="252" t="n"/>
      <c r="G15" s="252" t="n"/>
      <c r="H15" s="253" t="n"/>
      <c r="I15" s="39" t="n"/>
      <c r="J15" s="39" t="n"/>
      <c r="L15" s="260" t="n"/>
    </row>
    <row r="16" ht="14.25" customFormat="1" customHeight="1" s="180">
      <c r="A16" s="219" t="n">
        <v>2</v>
      </c>
      <c r="B16" s="219" t="n">
        <v>2</v>
      </c>
      <c r="C16" s="218" t="inlineStr">
        <is>
          <t>Затраты труда машинистов</t>
        </is>
      </c>
      <c r="D16" s="219" t="inlineStr">
        <is>
          <t>чел.-ч.</t>
        </is>
      </c>
      <c r="E16" s="261">
        <f>'Прил. 3'!F20</f>
        <v/>
      </c>
      <c r="F16" s="99">
        <f>G16/E16</f>
        <v/>
      </c>
      <c r="G16" s="99">
        <f>'Прил. 3'!H20</f>
        <v/>
      </c>
      <c r="H16" s="231" t="n">
        <v>1</v>
      </c>
      <c r="I16" s="99">
        <f>ROUND(F16*'Прил. 10'!D10,2)</f>
        <v/>
      </c>
      <c r="J16" s="99">
        <f>ROUND(I16*E16,2)</f>
        <v/>
      </c>
      <c r="L16" s="66" t="n"/>
    </row>
    <row r="17" ht="14.25" customFormat="1" customHeight="1" s="180">
      <c r="A17" s="219" t="n"/>
      <c r="B17" s="230" t="inlineStr">
        <is>
          <t>Машины и механизмы</t>
        </is>
      </c>
      <c r="C17" s="252" t="n"/>
      <c r="D17" s="252" t="n"/>
      <c r="E17" s="252" t="n"/>
      <c r="F17" s="252" t="n"/>
      <c r="G17" s="252" t="n"/>
      <c r="H17" s="253" t="n"/>
      <c r="I17" s="231" t="n"/>
      <c r="J17" s="231" t="n"/>
    </row>
    <row r="18" ht="14.25" customFormat="1" customHeight="1" s="180">
      <c r="A18" s="219" t="n"/>
      <c r="B18" s="218" t="inlineStr">
        <is>
          <t>Основные машины и механизмы</t>
        </is>
      </c>
      <c r="C18" s="252" t="n"/>
      <c r="D18" s="252" t="n"/>
      <c r="E18" s="252" t="n"/>
      <c r="F18" s="252" t="n"/>
      <c r="G18" s="252" t="n"/>
      <c r="H18" s="253" t="n"/>
      <c r="I18" s="39" t="n"/>
      <c r="J18" s="39" t="n"/>
    </row>
    <row r="19" ht="25.5" customFormat="1" customHeight="1" s="180">
      <c r="A19" s="219" t="n">
        <v>3</v>
      </c>
      <c r="B19" s="92" t="inlineStr">
        <is>
          <t>91.05.05-015</t>
        </is>
      </c>
      <c r="C19" s="218" t="inlineStr">
        <is>
          <t>Краны на автомобильном ходу, грузоподъемность 16 т</t>
        </is>
      </c>
      <c r="D19" s="219" t="inlineStr">
        <is>
          <t>маш.час</t>
        </is>
      </c>
      <c r="E19" s="261" t="n">
        <v>11.205846</v>
      </c>
      <c r="F19" s="237" t="n">
        <v>115.4</v>
      </c>
      <c r="G19" s="99">
        <f>ROUND(E19*F19,2)</f>
        <v/>
      </c>
      <c r="H19" s="231">
        <f>G19/$G$39</f>
        <v/>
      </c>
      <c r="I19" s="99">
        <f>ROUND(F19*'Прил. 10'!$D$11,2)</f>
        <v/>
      </c>
      <c r="J19" s="99">
        <f>ROUND(I19*E19,2)</f>
        <v/>
      </c>
    </row>
    <row r="20" ht="38.25" customFormat="1" customHeight="1" s="180">
      <c r="A20" s="219" t="n">
        <v>4</v>
      </c>
      <c r="B20" s="92" t="inlineStr">
        <is>
          <t>91.02.04-036</t>
        </is>
      </c>
      <c r="C20" s="218" t="inlineStr">
        <is>
          <t>Установки буровые для бурения скважин под сваи шнекового бурения, глубиной до 30 м, диаметром до 600 мм</t>
        </is>
      </c>
      <c r="D20" s="219" t="inlineStr">
        <is>
          <t>маш.час</t>
        </is>
      </c>
      <c r="E20" s="261" t="n">
        <v>1.134984</v>
      </c>
      <c r="F20" s="237" t="n">
        <v>218.17</v>
      </c>
      <c r="G20" s="99">
        <f>ROUND(E20*F20,2)</f>
        <v/>
      </c>
      <c r="H20" s="231">
        <f>G20/$G$39</f>
        <v/>
      </c>
      <c r="I20" s="99">
        <f>ROUND(F20*'Прил. 10'!$D$11,2)</f>
        <v/>
      </c>
      <c r="J20" s="99">
        <f>ROUND(I20*E20,2)</f>
        <v/>
      </c>
    </row>
    <row r="21" ht="14.25" customFormat="1" customHeight="1" s="180">
      <c r="B21" s="219" t="n"/>
      <c r="C21" s="218" t="inlineStr">
        <is>
          <t>Итого основные машины и механизмы</t>
        </is>
      </c>
      <c r="D21" s="219" t="n"/>
      <c r="E21" s="262" t="n"/>
      <c r="F21" s="99" t="n"/>
      <c r="G21" s="99">
        <f>SUM(G19:G20)</f>
        <v/>
      </c>
      <c r="H21" s="231">
        <f>G21/G39</f>
        <v/>
      </c>
      <c r="I21" s="99" t="n"/>
      <c r="J21" s="99">
        <f>SUM(J19:J20)</f>
        <v/>
      </c>
      <c r="L21" s="260" t="n"/>
    </row>
    <row r="22" hidden="1" outlineLevel="1" ht="25.5" customFormat="1" customHeight="1" s="180">
      <c r="A22" s="219" t="n">
        <v>5</v>
      </c>
      <c r="B22" s="92" t="inlineStr">
        <is>
          <t>91.14.02-001</t>
        </is>
      </c>
      <c r="C22" s="218" t="inlineStr">
        <is>
          <t>Автомобили бортовые, грузоподъемность до 5 т</t>
        </is>
      </c>
      <c r="D22" s="219" t="inlineStr">
        <is>
          <t>маш.час</t>
        </is>
      </c>
      <c r="E22" s="261" t="n">
        <v>2.102454</v>
      </c>
      <c r="F22" s="237" t="n">
        <v>65.70999999999999</v>
      </c>
      <c r="G22" s="99">
        <f>ROUND(E22*F22,2)</f>
        <v/>
      </c>
      <c r="H22" s="231">
        <f>G22/$G$39</f>
        <v/>
      </c>
      <c r="I22" s="99">
        <f>ROUND(F22*'Прил. 10'!$D$11,2)</f>
        <v/>
      </c>
      <c r="J22" s="99">
        <f>ROUND(I22*E22,2)</f>
        <v/>
      </c>
      <c r="L22" s="260" t="n"/>
    </row>
    <row r="23" hidden="1" outlineLevel="1" ht="25.5" customFormat="1" customHeight="1" s="180">
      <c r="A23" s="219" t="n">
        <v>6</v>
      </c>
      <c r="B23" s="92" t="inlineStr">
        <is>
          <t>91.17.04-171</t>
        </is>
      </c>
      <c r="C23" s="218" t="inlineStr">
        <is>
          <t>Преобразователи сварочные номинальным сварочным током 315-500 А</t>
        </is>
      </c>
      <c r="D23" s="219" t="inlineStr">
        <is>
          <t>маш.час</t>
        </is>
      </c>
      <c r="E23" s="261" t="n">
        <v>2.894584</v>
      </c>
      <c r="F23" s="237" t="n">
        <v>12.31</v>
      </c>
      <c r="G23" s="99">
        <f>ROUND(E23*F23,2)</f>
        <v/>
      </c>
      <c r="H23" s="231">
        <f>G23/$G$39</f>
        <v/>
      </c>
      <c r="I23" s="99">
        <f>ROUND(F23*'Прил. 10'!$D$11,2)</f>
        <v/>
      </c>
      <c r="J23" s="99">
        <f>ROUND(I23*E23,2)</f>
        <v/>
      </c>
      <c r="L23" s="260" t="n"/>
    </row>
    <row r="24" hidden="1" outlineLevel="1" ht="38.25" customFormat="1" customHeight="1" s="180">
      <c r="A24" s="219" t="n">
        <v>7</v>
      </c>
      <c r="B24" s="92" t="inlineStr">
        <is>
          <t>91.21.01-012</t>
        </is>
      </c>
      <c r="C24" s="218" t="inlineStr">
        <is>
          <t>Агрегаты окрасочные высокого давления для окраски поверхностей конструкций, мощность 1 кВт</t>
        </is>
      </c>
      <c r="D24" s="219" t="inlineStr">
        <is>
          <t>маш.час</t>
        </is>
      </c>
      <c r="E24" s="261" t="n">
        <v>2.39835</v>
      </c>
      <c r="F24" s="237" t="n">
        <v>6.82</v>
      </c>
      <c r="G24" s="99">
        <f>ROUND(E24*F24,2)</f>
        <v/>
      </c>
      <c r="H24" s="231">
        <f>G24/$G$39</f>
        <v/>
      </c>
      <c r="I24" s="99">
        <f>ROUND(F24*'Прил. 10'!$D$11,2)</f>
        <v/>
      </c>
      <c r="J24" s="99">
        <f>ROUND(I24*E24,2)</f>
        <v/>
      </c>
      <c r="L24" s="260" t="n"/>
    </row>
    <row r="25" hidden="1" outlineLevel="1" ht="38.25" customFormat="1" customHeight="1" s="180">
      <c r="A25" s="219" t="n">
        <v>8</v>
      </c>
      <c r="B25" s="92" t="inlineStr">
        <is>
          <t>91.17.04-036</t>
        </is>
      </c>
      <c r="C25" s="218" t="inlineStr">
        <is>
          <t>Агрегаты сварочные передвижные с дизельным двигателем, номинальный сварочный ток 250-400 А</t>
        </is>
      </c>
      <c r="D25" s="219" t="inlineStr">
        <is>
          <t>маш.час</t>
        </is>
      </c>
      <c r="E25" s="261" t="n">
        <v>0.993426</v>
      </c>
      <c r="F25" s="237" t="n">
        <v>14</v>
      </c>
      <c r="G25" s="99">
        <f>ROUND(E25*F25,2)</f>
        <v/>
      </c>
      <c r="H25" s="231">
        <f>G25/$G$39</f>
        <v/>
      </c>
      <c r="I25" s="99">
        <f>ROUND(F25*'Прил. 10'!$D$11,2)</f>
        <v/>
      </c>
      <c r="J25" s="99">
        <f>ROUND(I25*E25,2)</f>
        <v/>
      </c>
      <c r="L25" s="260" t="n"/>
    </row>
    <row r="26" hidden="1" outlineLevel="1" ht="14.25" customFormat="1" customHeight="1" s="180">
      <c r="A26" s="219" t="n">
        <v>9</v>
      </c>
      <c r="B26" s="92" t="inlineStr">
        <is>
          <t>91.05.01-017</t>
        </is>
      </c>
      <c r="C26" s="218" t="inlineStr">
        <is>
          <t>Краны башенные, грузоподъемность 8 т</t>
        </is>
      </c>
      <c r="D26" s="219" t="inlineStr">
        <is>
          <t>маш.час</t>
        </is>
      </c>
      <c r="E26" s="261" t="n">
        <v>0.114664</v>
      </c>
      <c r="F26" s="237" t="n">
        <v>86.40000000000001</v>
      </c>
      <c r="G26" s="99">
        <f>ROUND(E26*F26,2)</f>
        <v/>
      </c>
      <c r="H26" s="231">
        <f>G26/$G$39</f>
        <v/>
      </c>
      <c r="I26" s="99">
        <f>ROUND(F26*'Прил. 10'!$D$11,2)</f>
        <v/>
      </c>
      <c r="J26" s="99">
        <f>ROUND(I26*E26,2)</f>
        <v/>
      </c>
      <c r="L26" s="260" t="n"/>
    </row>
    <row r="27" hidden="1" outlineLevel="1" ht="14.25" customFormat="1" customHeight="1" s="180">
      <c r="A27" s="219" t="n">
        <v>10</v>
      </c>
      <c r="B27" s="92" t="inlineStr">
        <is>
          <t>91.01.01-035</t>
        </is>
      </c>
      <c r="C27" s="218" t="inlineStr">
        <is>
          <t>Бульдозеры, мощность 79 кВт (108 л.с.)</t>
        </is>
      </c>
      <c r="D27" s="219" t="inlineStr">
        <is>
          <t>маш.час</t>
        </is>
      </c>
      <c r="E27" s="261" t="n">
        <v>0.076532</v>
      </c>
      <c r="F27" s="237" t="n">
        <v>79.06999999999999</v>
      </c>
      <c r="G27" s="99">
        <f>ROUND(E27*F27,2)</f>
        <v/>
      </c>
      <c r="H27" s="231">
        <f>G27/$G$39</f>
        <v/>
      </c>
      <c r="I27" s="99">
        <f>ROUND(F27*'Прил. 10'!$D$11,2)</f>
        <v/>
      </c>
      <c r="J27" s="99">
        <f>ROUND(I27*E27,2)</f>
        <v/>
      </c>
      <c r="L27" s="260" t="n"/>
    </row>
    <row r="28" hidden="1" outlineLevel="1" ht="14.25" customFormat="1" customHeight="1" s="180">
      <c r="A28" s="219" t="n">
        <v>11</v>
      </c>
      <c r="B28" s="92" t="inlineStr">
        <is>
          <t>91.05.02-005</t>
        </is>
      </c>
      <c r="C28" s="218" t="inlineStr">
        <is>
          <t>Краны козловые, грузоподъемность 32 т</t>
        </is>
      </c>
      <c r="D28" s="219" t="inlineStr">
        <is>
          <t>маш.час</t>
        </is>
      </c>
      <c r="E28" s="261" t="n">
        <v>0.04699</v>
      </c>
      <c r="F28" s="237" t="n">
        <v>120.24</v>
      </c>
      <c r="G28" s="99">
        <f>ROUND(E28*F28,2)</f>
        <v/>
      </c>
      <c r="H28" s="231">
        <f>G28/$G$39</f>
        <v/>
      </c>
      <c r="I28" s="99">
        <f>ROUND(F28*'Прил. 10'!$D$11,2)</f>
        <v/>
      </c>
      <c r="J28" s="99">
        <f>ROUND(I28*E28,2)</f>
        <v/>
      </c>
      <c r="L28" s="260" t="n"/>
    </row>
    <row r="29" hidden="1" outlineLevel="1" ht="14.25" customFormat="1" customHeight="1" s="180">
      <c r="A29" s="219" t="n">
        <v>12</v>
      </c>
      <c r="B29" s="92" t="inlineStr">
        <is>
          <t>91.08.04-021</t>
        </is>
      </c>
      <c r="C29" s="218" t="inlineStr">
        <is>
          <t>Котлы битумные передвижные 400 л</t>
        </is>
      </c>
      <c r="D29" s="219" t="inlineStr">
        <is>
          <t>маш.час</t>
        </is>
      </c>
      <c r="E29" s="261" t="n">
        <v>0.11934</v>
      </c>
      <c r="F29" s="237" t="n">
        <v>30</v>
      </c>
      <c r="G29" s="99">
        <f>ROUND(E29*F29,2)</f>
        <v/>
      </c>
      <c r="H29" s="231">
        <f>G29/$G$39</f>
        <v/>
      </c>
      <c r="I29" s="99">
        <f>ROUND(F29*'Прил. 10'!$D$11,2)</f>
        <v/>
      </c>
      <c r="J29" s="99">
        <f>ROUND(I29*E29,2)</f>
        <v/>
      </c>
      <c r="L29" s="260" t="n"/>
    </row>
    <row r="30" hidden="1" outlineLevel="1" ht="25.5" customFormat="1" customHeight="1" s="180">
      <c r="A30" s="219" t="n">
        <v>13</v>
      </c>
      <c r="B30" s="92" t="inlineStr">
        <is>
          <t>91.17.04-233</t>
        </is>
      </c>
      <c r="C30" s="218" t="inlineStr">
        <is>
          <t>Установки для сварки ручной дуговой (постоянного тока)</t>
        </is>
      </c>
      <c r="D30" s="219" t="inlineStr">
        <is>
          <t>маш.час</t>
        </is>
      </c>
      <c r="E30" s="261" t="n">
        <v>0.25892</v>
      </c>
      <c r="F30" s="237" t="n">
        <v>8.1</v>
      </c>
      <c r="G30" s="99">
        <f>ROUND(E30*F30,2)</f>
        <v/>
      </c>
      <c r="H30" s="231">
        <f>G30/$G$39</f>
        <v/>
      </c>
      <c r="I30" s="99">
        <f>ROUND(F30*'Прил. 10'!$D$11,2)</f>
        <v/>
      </c>
      <c r="J30" s="99">
        <f>ROUND(I30*E30,2)</f>
        <v/>
      </c>
      <c r="L30" s="260" t="n"/>
    </row>
    <row r="31" hidden="1" outlineLevel="1" ht="14.25" customFormat="1" customHeight="1" s="180">
      <c r="A31" s="219" t="n">
        <v>14</v>
      </c>
      <c r="B31" s="92" t="inlineStr">
        <is>
          <t>91.06.05-011</t>
        </is>
      </c>
      <c r="C31" s="218" t="inlineStr">
        <is>
          <t>Погрузчики, грузоподъемность 5 т</t>
        </is>
      </c>
      <c r="D31" s="219" t="inlineStr">
        <is>
          <t>маш.час</t>
        </is>
      </c>
      <c r="E31" s="261" t="n">
        <v>0.01736</v>
      </c>
      <c r="F31" s="237" t="n">
        <v>89.98999999999999</v>
      </c>
      <c r="G31" s="99">
        <f>ROUND(E31*F31,2)</f>
        <v/>
      </c>
      <c r="H31" s="231">
        <f>G31/$G$39</f>
        <v/>
      </c>
      <c r="I31" s="99">
        <f>ROUND(F31*'Прил. 10'!$D$11,2)</f>
        <v/>
      </c>
      <c r="J31" s="99">
        <f>ROUND(I31*E31,2)</f>
        <v/>
      </c>
      <c r="L31" s="260" t="n"/>
    </row>
    <row r="32" hidden="1" outlineLevel="1" ht="25.5" customFormat="1" customHeight="1" s="180">
      <c r="A32" s="219" t="n">
        <v>15</v>
      </c>
      <c r="B32" s="92" t="inlineStr">
        <is>
          <t>91.06.01-003</t>
        </is>
      </c>
      <c r="C32" s="218" t="inlineStr">
        <is>
          <t>Домкраты гидравлические, грузоподъемность 63-100 т</t>
        </is>
      </c>
      <c r="D32" s="219" t="inlineStr">
        <is>
          <t>маш.час</t>
        </is>
      </c>
      <c r="E32" s="261" t="n">
        <v>1.489583</v>
      </c>
      <c r="F32" s="237" t="n">
        <v>0.9</v>
      </c>
      <c r="G32" s="99">
        <f>ROUND(E32*F32,2)</f>
        <v/>
      </c>
      <c r="H32" s="231">
        <f>G32/$G$39</f>
        <v/>
      </c>
      <c r="I32" s="99">
        <f>ROUND(F32*'Прил. 10'!$D$11,2)</f>
        <v/>
      </c>
      <c r="J32" s="99">
        <f>ROUND(I32*E32,2)</f>
        <v/>
      </c>
      <c r="L32" s="260" t="n"/>
    </row>
    <row r="33" hidden="1" outlineLevel="1" ht="25.5" customFormat="1" customHeight="1" s="180">
      <c r="A33" s="219" t="n">
        <v>16</v>
      </c>
      <c r="B33" s="92" t="inlineStr">
        <is>
          <t>91.19.02-002</t>
        </is>
      </c>
      <c r="C33" s="218" t="inlineStr">
        <is>
          <t>Маслонасосы шестеренные, производительность 2,3 м3/час</t>
        </is>
      </c>
      <c r="D33" s="219" t="inlineStr">
        <is>
          <t>маш.час</t>
        </is>
      </c>
      <c r="E33" s="261" t="n">
        <v>1.06</v>
      </c>
      <c r="F33" s="237" t="n">
        <v>0.9</v>
      </c>
      <c r="G33" s="99">
        <f>ROUND(E33*F33,2)</f>
        <v/>
      </c>
      <c r="H33" s="231">
        <f>G33/$G$39</f>
        <v/>
      </c>
      <c r="I33" s="99">
        <f>ROUND(F33*'Прил. 10'!$D$11,2)</f>
        <v/>
      </c>
      <c r="J33" s="99">
        <f>ROUND(I33*E33,2)</f>
        <v/>
      </c>
      <c r="L33" s="260" t="n"/>
    </row>
    <row r="34" hidden="1" outlineLevel="1" ht="14.25" customFormat="1" customHeight="1" s="180">
      <c r="A34" s="219" t="n">
        <v>17</v>
      </c>
      <c r="B34" s="92" t="inlineStr">
        <is>
          <t>91.17.04-042</t>
        </is>
      </c>
      <c r="C34" s="218" t="inlineStr">
        <is>
          <t>Аппараты для газовой сварки и резки</t>
        </is>
      </c>
      <c r="D34" s="219" t="inlineStr">
        <is>
          <t>маш.час</t>
        </is>
      </c>
      <c r="E34" s="261" t="n">
        <v>0.765937</v>
      </c>
      <c r="F34" s="237" t="n">
        <v>1.2</v>
      </c>
      <c r="G34" s="99">
        <f>ROUND(E34*F34,2)</f>
        <v/>
      </c>
      <c r="H34" s="231">
        <f>G34/$G$39</f>
        <v/>
      </c>
      <c r="I34" s="99">
        <f>ROUND(F34*'Прил. 10'!$D$11,2)</f>
        <v/>
      </c>
      <c r="J34" s="99">
        <f>ROUND(I34*E34,2)</f>
        <v/>
      </c>
      <c r="L34" s="260" t="n"/>
    </row>
    <row r="35" hidden="1" outlineLevel="1" ht="25.5" customFormat="1" customHeight="1" s="180">
      <c r="A35" s="219" t="n">
        <v>18</v>
      </c>
      <c r="B35" s="92" t="inlineStr">
        <is>
          <t>91.14.02-002</t>
        </is>
      </c>
      <c r="C35" s="218" t="inlineStr">
        <is>
          <t>Автомобили бортовые, грузоподъемность до 8 т</t>
        </is>
      </c>
      <c r="D35" s="219" t="inlineStr">
        <is>
          <t>маш.час</t>
        </is>
      </c>
      <c r="E35" s="261" t="n">
        <v>0.009114000000000001</v>
      </c>
      <c r="F35" s="237" t="n">
        <v>85.84</v>
      </c>
      <c r="G35" s="99">
        <f>ROUND(E35*F35,2)</f>
        <v/>
      </c>
      <c r="H35" s="231">
        <f>G35/$G$39</f>
        <v/>
      </c>
      <c r="I35" s="99">
        <f>ROUND(F35*'Прил. 10'!$D$11,2)</f>
        <v/>
      </c>
      <c r="J35" s="99">
        <f>ROUND(I35*E35,2)</f>
        <v/>
      </c>
      <c r="L35" s="260" t="n"/>
    </row>
    <row r="36" hidden="1" outlineLevel="1" ht="14.25" customFormat="1" customHeight="1" s="180">
      <c r="A36" s="219" t="n">
        <v>19</v>
      </c>
      <c r="B36" s="92" t="inlineStr">
        <is>
          <t>91.07.04-001</t>
        </is>
      </c>
      <c r="C36" s="218" t="inlineStr">
        <is>
          <t>Вибраторы глубинные</t>
        </is>
      </c>
      <c r="D36" s="219" t="inlineStr">
        <is>
          <t>маш.час</t>
        </is>
      </c>
      <c r="E36" s="261" t="n">
        <v>0.0396</v>
      </c>
      <c r="F36" s="237" t="n">
        <v>1.9</v>
      </c>
      <c r="G36" s="99">
        <f>ROUND(E36*F36,2)</f>
        <v/>
      </c>
      <c r="H36" s="231">
        <f>G36/$G$39</f>
        <v/>
      </c>
      <c r="I36" s="99">
        <f>ROUND(F36*'Прил. 10'!$D$11,2)</f>
        <v/>
      </c>
      <c r="J36" s="99">
        <f>ROUND(I36*E36,2)</f>
        <v/>
      </c>
      <c r="L36" s="260" t="n"/>
    </row>
    <row r="37" hidden="1" outlineLevel="1" ht="25.5" customFormat="1" customHeight="1" s="180">
      <c r="A37" s="219" t="n">
        <v>20</v>
      </c>
      <c r="B37" s="92" t="inlineStr">
        <is>
          <t>91.06.03-060</t>
        </is>
      </c>
      <c r="C37" s="218" t="inlineStr">
        <is>
          <t>Лебедки электрические тяговым усилием до 5,79 кН (0,59 т)</t>
        </is>
      </c>
      <c r="D37" s="219" t="inlineStr">
        <is>
          <t>маш.час</t>
        </is>
      </c>
      <c r="E37" s="261" t="n">
        <v>0.02439</v>
      </c>
      <c r="F37" s="237" t="n">
        <v>1.7</v>
      </c>
      <c r="G37" s="99">
        <f>ROUND(E37*F37,2)</f>
        <v/>
      </c>
      <c r="H37" s="231">
        <f>G37/$G$39</f>
        <v/>
      </c>
      <c r="I37" s="99">
        <f>ROUND(F37*'Прил. 10'!$D$11,2)</f>
        <v/>
      </c>
      <c r="J37" s="99">
        <f>ROUND(I37*E37,2)</f>
        <v/>
      </c>
      <c r="L37" s="260" t="n"/>
    </row>
    <row r="38" collapsed="1" ht="14.25" customFormat="1" customHeight="1" s="180">
      <c r="A38" s="219" t="n"/>
      <c r="B38" s="219" t="n"/>
      <c r="C38" s="218" t="inlineStr">
        <is>
          <t>Итого прочие машины и механизмы</t>
        </is>
      </c>
      <c r="D38" s="219" t="n"/>
      <c r="E38" s="220" t="n"/>
      <c r="F38" s="99" t="n"/>
      <c r="G38" s="99">
        <f>SUM(G22:G37)</f>
        <v/>
      </c>
      <c r="H38" s="231">
        <f>G38/G39</f>
        <v/>
      </c>
      <c r="I38" s="99" t="n"/>
      <c r="J38" s="99">
        <f>SUM(J22:J37)</f>
        <v/>
      </c>
      <c r="K38" s="263" t="n"/>
      <c r="L38" s="260" t="n"/>
    </row>
    <row r="39" ht="25.5" customFormat="1" customHeight="1" s="180">
      <c r="A39" s="219" t="n"/>
      <c r="B39" s="232" t="n"/>
      <c r="C39" s="223" t="inlineStr">
        <is>
          <t>Итого по разделу «Машины и механизмы»</t>
        </is>
      </c>
      <c r="D39" s="232" t="n"/>
      <c r="E39" s="56" t="n"/>
      <c r="F39" s="57" t="n"/>
      <c r="G39" s="57">
        <f>G21+G38</f>
        <v/>
      </c>
      <c r="H39" s="58" t="n">
        <v>1</v>
      </c>
      <c r="I39" s="57" t="n"/>
      <c r="J39" s="57">
        <f>J21+J38</f>
        <v/>
      </c>
    </row>
    <row r="40" s="187">
      <c r="A40" s="96" t="n"/>
      <c r="B40" s="223" t="inlineStr">
        <is>
          <t xml:space="preserve">Оборудование </t>
        </is>
      </c>
      <c r="C40" s="264" t="n"/>
      <c r="D40" s="264" t="n"/>
      <c r="E40" s="264" t="n"/>
      <c r="F40" s="264" t="n"/>
      <c r="G40" s="264" t="n"/>
      <c r="H40" s="264" t="n"/>
      <c r="I40" s="264" t="n"/>
      <c r="J40" s="265" t="n"/>
      <c r="K40" s="180" t="n"/>
      <c r="L40" s="180" t="n"/>
      <c r="M40" s="180" t="n"/>
      <c r="N40" s="180" t="n"/>
    </row>
    <row r="41" ht="15" customHeight="1" s="187">
      <c r="A41" s="219" t="n"/>
      <c r="B41" s="218" t="inlineStr">
        <is>
          <t>Основное оборудование</t>
        </is>
      </c>
      <c r="C41" s="252" t="n"/>
      <c r="D41" s="252" t="n"/>
      <c r="E41" s="252" t="n"/>
      <c r="F41" s="252" t="n"/>
      <c r="G41" s="252" t="n"/>
      <c r="H41" s="252" t="n"/>
      <c r="I41" s="252" t="n"/>
      <c r="J41" s="253" t="n"/>
      <c r="K41" s="180" t="n"/>
      <c r="L41" s="180" t="n"/>
      <c r="M41" s="180" t="n"/>
      <c r="N41" s="180" t="n"/>
    </row>
    <row r="42" ht="25.5" customHeight="1" s="187">
      <c r="A42" s="219" t="n">
        <v>21</v>
      </c>
      <c r="B42" s="168" t="inlineStr">
        <is>
          <t>БЦ.2.13</t>
        </is>
      </c>
      <c r="C42" s="218" t="inlineStr">
        <is>
          <t>Выключатель баковый 35 кВ 2500/25 кА</t>
        </is>
      </c>
      <c r="D42" s="219" t="inlineStr">
        <is>
          <t>шт</t>
        </is>
      </c>
      <c r="E42" s="261" t="n">
        <v>2</v>
      </c>
      <c r="F42" s="221">
        <f>ROUND(I42/'Прил. 10'!$D$13,2)</f>
        <v/>
      </c>
      <c r="G42" s="99">
        <f>ROUND(E42*F42,2)</f>
        <v/>
      </c>
      <c r="H42" s="231">
        <f>G42/$G$45</f>
        <v/>
      </c>
      <c r="I42" s="99" t="n">
        <v>4811320.75</v>
      </c>
      <c r="J42" s="99">
        <f>ROUND(I42*E42,2)</f>
        <v/>
      </c>
      <c r="K42" s="180" t="n"/>
      <c r="L42" s="180" t="n"/>
      <c r="M42" s="180" t="n"/>
      <c r="N42" s="180" t="n"/>
    </row>
    <row r="43" s="187">
      <c r="A43" s="100" t="n"/>
      <c r="B43" s="219" t="n"/>
      <c r="C43" s="218" t="inlineStr">
        <is>
          <t>Итого основное оборудование</t>
        </is>
      </c>
      <c r="D43" s="219" t="n"/>
      <c r="E43" s="261" t="n"/>
      <c r="F43" s="221" t="n"/>
      <c r="G43" s="99">
        <f>SUM(G42:G42)</f>
        <v/>
      </c>
      <c r="H43" s="231">
        <f>G43/$G$45</f>
        <v/>
      </c>
      <c r="I43" s="99" t="n"/>
      <c r="J43" s="99">
        <f>SUM(J42:J42)</f>
        <v/>
      </c>
      <c r="K43" s="263" t="n"/>
      <c r="L43" s="180" t="n"/>
      <c r="M43" s="180" t="n"/>
      <c r="N43" s="180" t="n"/>
    </row>
    <row r="44" s="187">
      <c r="A44" s="100" t="n"/>
      <c r="B44" s="219" t="n"/>
      <c r="C44" s="218" t="inlineStr">
        <is>
          <t>Итого прочее оборудование</t>
        </is>
      </c>
      <c r="D44" s="219" t="n"/>
      <c r="E44" s="220" t="n"/>
      <c r="F44" s="221" t="n"/>
      <c r="G44" s="99" t="n">
        <v>0</v>
      </c>
      <c r="H44" s="231">
        <f>G44/$G$45</f>
        <v/>
      </c>
      <c r="I44" s="99" t="n"/>
      <c r="J44" s="99" t="n">
        <v>0</v>
      </c>
      <c r="K44" s="263" t="n"/>
      <c r="L44" s="266" t="n"/>
      <c r="M44" s="180" t="n"/>
      <c r="N44" s="180" t="n"/>
    </row>
    <row r="45" s="187">
      <c r="A45" s="219" t="n"/>
      <c r="B45" s="219" t="n"/>
      <c r="C45" s="230" t="inlineStr">
        <is>
          <t>Итого по разделу «Оборудование»</t>
        </is>
      </c>
      <c r="D45" s="219" t="n"/>
      <c r="E45" s="220" t="n"/>
      <c r="F45" s="221" t="n"/>
      <c r="G45" s="99">
        <f>G43+G44</f>
        <v/>
      </c>
      <c r="H45" s="231">
        <f>(G43+G44)/G45</f>
        <v/>
      </c>
      <c r="I45" s="99" t="n"/>
      <c r="J45" s="99">
        <f>J44+J43</f>
        <v/>
      </c>
      <c r="K45" s="263" t="n"/>
      <c r="L45" s="180" t="n"/>
      <c r="M45" s="180" t="n"/>
      <c r="N45" s="180" t="n"/>
    </row>
    <row r="46" s="187">
      <c r="A46" s="219" t="n"/>
      <c r="B46" s="219" t="n"/>
      <c r="C46" s="218" t="inlineStr">
        <is>
          <t>в том числе технологическое оборудование</t>
        </is>
      </c>
      <c r="D46" s="219" t="n"/>
      <c r="E46" s="220" t="n"/>
      <c r="F46" s="221" t="n"/>
      <c r="G46" s="99">
        <f>'Прил.6 Расчет ОБ'!G15</f>
        <v/>
      </c>
      <c r="H46" s="231">
        <f>G46/$G$45</f>
        <v/>
      </c>
      <c r="I46" s="99" t="n"/>
      <c r="J46" s="99">
        <f>ROUND(G46*'Прил. 10'!$D$13,2)</f>
        <v/>
      </c>
      <c r="K46" s="263" t="n"/>
      <c r="L46" s="180" t="n"/>
      <c r="M46" s="180" t="n"/>
      <c r="N46" s="180" t="n"/>
    </row>
    <row r="47" ht="14.25" customFormat="1" customHeight="1" s="180">
      <c r="A47" s="233" t="n"/>
      <c r="B47" s="267" t="inlineStr">
        <is>
          <t>Материалы</t>
        </is>
      </c>
      <c r="J47" s="268" t="n"/>
      <c r="K47" s="263" t="n"/>
    </row>
    <row r="48" ht="14.25" customFormat="1" customHeight="1" s="180">
      <c r="A48" s="219" t="n"/>
      <c r="B48" s="218" t="inlineStr">
        <is>
          <t>Основные материалы</t>
        </is>
      </c>
      <c r="C48" s="252" t="n"/>
      <c r="D48" s="252" t="n"/>
      <c r="E48" s="252" t="n"/>
      <c r="F48" s="252" t="n"/>
      <c r="G48" s="252" t="n"/>
      <c r="H48" s="253" t="n"/>
      <c r="I48" s="231" t="n"/>
      <c r="J48" s="231" t="n"/>
    </row>
    <row r="49" ht="51" customFormat="1" customHeight="1" s="180">
      <c r="A49" s="219" t="n">
        <v>22</v>
      </c>
      <c r="B49" s="92" t="inlineStr">
        <is>
          <t>08.1.02.16-0122</t>
        </is>
      </c>
      <c r="C49" s="218" t="inlineStr">
        <is>
          <t>Свая стальная СвО с двухслойным эпоксидным покрытием из трубы наружным диаметром 219 мм, толщиной стенки 7, 8 мм, длина 5000 мм</t>
        </is>
      </c>
      <c r="D49" s="219" t="inlineStr">
        <is>
          <t>шт</t>
        </is>
      </c>
      <c r="E49" s="261" t="n">
        <v>4</v>
      </c>
      <c r="F49" s="237" t="n">
        <v>6298.57</v>
      </c>
      <c r="G49" s="99">
        <f>ROUND(E49*F49,2)</f>
        <v/>
      </c>
      <c r="H49" s="231">
        <f>G49/$G$94</f>
        <v/>
      </c>
      <c r="I49" s="99">
        <f>ROUND(F49*'Прил. 10'!$D$12,2)</f>
        <v/>
      </c>
      <c r="J49" s="99">
        <f>ROUND(I49*E49,2)</f>
        <v/>
      </c>
    </row>
    <row r="50" ht="38.25" customFormat="1" customHeight="1" s="180">
      <c r="A50" s="219" t="n">
        <v>23</v>
      </c>
      <c r="B50" s="92" t="inlineStr">
        <is>
          <t>07.2.07.04-0014</t>
        </is>
      </c>
      <c r="C50" s="218" t="inlineStr">
        <is>
          <t>Конструкции сварные индивидуальные прочие, масса сборочной единицы от 0,1 до 0,5 т</t>
        </is>
      </c>
      <c r="D50" s="219" t="inlineStr">
        <is>
          <t>т</t>
        </is>
      </c>
      <c r="E50" s="261" t="n">
        <v>0.4694</v>
      </c>
      <c r="F50" s="237" t="n">
        <v>10046</v>
      </c>
      <c r="G50" s="99">
        <f>ROUND(E50*F50,2)</f>
        <v/>
      </c>
      <c r="H50" s="231">
        <f>G50/$G$94</f>
        <v/>
      </c>
      <c r="I50" s="99">
        <f>ROUND(F50*'Прил. 10'!$D$12,2)</f>
        <v/>
      </c>
      <c r="J50" s="99">
        <f>ROUND(I50*E50,2)</f>
        <v/>
      </c>
    </row>
    <row r="51" ht="57" customFormat="1" customHeight="1" s="180">
      <c r="A51" s="219" t="n">
        <v>24</v>
      </c>
      <c r="B51" s="92" t="inlineStr">
        <is>
          <t>14.4.01.20-0001</t>
        </is>
      </c>
      <c r="C51" s="218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D51" s="219" t="inlineStr">
        <is>
          <t>т</t>
        </is>
      </c>
      <c r="E51" s="261" t="n">
        <v>0.02611975</v>
      </c>
      <c r="F51" s="237" t="n">
        <v>107351.35</v>
      </c>
      <c r="G51" s="99">
        <f>ROUND(E51*F51,2)</f>
        <v/>
      </c>
      <c r="H51" s="231">
        <f>G51/$G$94</f>
        <v/>
      </c>
      <c r="I51" s="99">
        <f>ROUND(F51*'Прил. 10'!$D$12,2)</f>
        <v/>
      </c>
      <c r="J51" s="99">
        <f>ROUND(I51*E51,2)</f>
        <v/>
      </c>
    </row>
    <row r="52" hidden="1" outlineLevel="1" ht="51" customFormat="1" customHeight="1" s="165">
      <c r="A52" s="159" t="n"/>
      <c r="B52" s="160" t="inlineStr">
        <is>
          <t>14.4.01.20-0001</t>
        </is>
      </c>
      <c r="C52" s="163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D52" s="159" t="inlineStr">
        <is>
          <t>т</t>
        </is>
      </c>
      <c r="E52" s="269" t="n">
        <v>0.01626</v>
      </c>
      <c r="F52" s="162" t="n">
        <v>107351.35</v>
      </c>
      <c r="G52" s="166">
        <f>ROUND(E52*F52,2)</f>
        <v/>
      </c>
      <c r="H52" s="161">
        <f>G52/$G$94</f>
        <v/>
      </c>
      <c r="I52" s="166" t="n"/>
      <c r="J52" s="166" t="n"/>
    </row>
    <row r="53" hidden="1" outlineLevel="1" ht="38.25" customFormat="1" customHeight="1" s="165">
      <c r="A53" s="159" t="n"/>
      <c r="B53" s="160" t="inlineStr">
        <is>
          <t>14.4.01.20-0012</t>
        </is>
      </c>
      <c r="C53" s="163" t="inlineStr">
        <is>
          <t>Грунтовка антикоррозионная цинкнаполненная быстросохнущая, преобразователь ржавчины и окалины</t>
        </is>
      </c>
      <c r="D53" s="159" t="inlineStr">
        <is>
          <t>т</t>
        </is>
      </c>
      <c r="E53" s="269" t="n">
        <v>0.012195</v>
      </c>
      <c r="F53" s="162" t="n">
        <v>86794.72</v>
      </c>
      <c r="G53" s="166">
        <f>ROUND(E53*F53,2)</f>
        <v/>
      </c>
      <c r="H53" s="161">
        <f>G53/$G$94</f>
        <v/>
      </c>
      <c r="I53" s="166" t="n"/>
      <c r="J53" s="166" t="n"/>
    </row>
    <row r="54" collapsed="1" ht="14.25" customFormat="1" customHeight="1" s="180">
      <c r="B54" s="219" t="n"/>
      <c r="C54" s="218" t="inlineStr">
        <is>
          <t>Итого основные материалы</t>
        </is>
      </c>
      <c r="D54" s="219" t="n"/>
      <c r="E54" s="261" t="n"/>
      <c r="F54" s="221" t="n"/>
      <c r="G54" s="99">
        <f>SUM(G49:G51)</f>
        <v/>
      </c>
      <c r="H54" s="231">
        <f>G54/$G$94</f>
        <v/>
      </c>
      <c r="I54" s="99" t="n"/>
      <c r="J54" s="99">
        <f>SUM(J49:J53)</f>
        <v/>
      </c>
      <c r="K54" s="263" t="n"/>
    </row>
    <row r="55" hidden="1" outlineLevel="1" ht="14.25" customFormat="1" customHeight="1" s="180">
      <c r="A55" s="219" t="n">
        <v>25</v>
      </c>
      <c r="B55" s="167" t="inlineStr">
        <is>
          <t>08.3.11.01-0054</t>
        </is>
      </c>
      <c r="C55" s="218" t="inlineStr">
        <is>
          <t>Швеллеры № 16-18, марка стали Ст3сп</t>
        </is>
      </c>
      <c r="D55" s="219" t="inlineStr">
        <is>
          <t>т</t>
        </is>
      </c>
      <c r="E55" s="261" t="n">
        <v>0.2715</v>
      </c>
      <c r="F55" s="237" t="n">
        <v>5200</v>
      </c>
      <c r="G55" s="99">
        <f>ROUND(F55*E55,2)</f>
        <v/>
      </c>
      <c r="H55" s="231">
        <f>G55/$G$94</f>
        <v/>
      </c>
      <c r="I55" s="99">
        <f>ROUND(F55*'Прил. 10'!$D$12,2)</f>
        <v/>
      </c>
      <c r="J55" s="99">
        <f>ROUND(I55*E55,2)</f>
        <v/>
      </c>
    </row>
    <row r="56" hidden="1" outlineLevel="1" ht="38.25" customFormat="1" customHeight="1" s="180">
      <c r="A56" s="219" t="n">
        <v>26</v>
      </c>
      <c r="B56" s="92" t="inlineStr">
        <is>
          <t>08.3.12.04-0017</t>
        </is>
      </c>
      <c r="C56" s="218" t="inlineStr">
        <is>
          <t>Просечно-вытяжной прокат горячекатаный в листах мерных размеров из стали С235, шириной: 1000 мм, толщиной 5 мм</t>
        </is>
      </c>
      <c r="D56" s="219" t="inlineStr">
        <is>
          <t>т</t>
        </is>
      </c>
      <c r="E56" s="261" t="n">
        <v>0.1304</v>
      </c>
      <c r="F56" s="237" t="n">
        <v>8007</v>
      </c>
      <c r="G56" s="99">
        <f>ROUND(F56*E56,2)</f>
        <v/>
      </c>
      <c r="H56" s="231">
        <f>G56/$G$94</f>
        <v/>
      </c>
      <c r="I56" s="99">
        <f>ROUND(F56*'Прил. 10'!$D$12,2)</f>
        <v/>
      </c>
      <c r="J56" s="99">
        <f>ROUND(I56*E56,2)</f>
        <v/>
      </c>
    </row>
    <row r="57" hidden="1" outlineLevel="1" ht="76.5" customFormat="1" customHeight="1" s="180">
      <c r="A57" s="219" t="n">
        <v>27</v>
      </c>
      <c r="B57" s="92" t="inlineStr">
        <is>
          <t>08.4.01.02-0013</t>
        </is>
      </c>
      <c r="C57" s="218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57" s="219" t="inlineStr">
        <is>
          <t>т</t>
        </is>
      </c>
      <c r="E57" s="261" t="n">
        <v>0.0607</v>
      </c>
      <c r="F57" s="237" t="n">
        <v>6800</v>
      </c>
      <c r="G57" s="99">
        <f>ROUND(F57*E57,2)</f>
        <v/>
      </c>
      <c r="H57" s="231">
        <f>G57/$G$94</f>
        <v/>
      </c>
      <c r="I57" s="99">
        <f>ROUND(F57*'Прил. 10'!$D$12,2)</f>
        <v/>
      </c>
      <c r="J57" s="99">
        <f>ROUND(I57*E57,2)</f>
        <v/>
      </c>
    </row>
    <row r="58" hidden="1" outlineLevel="1" ht="25.5" customFormat="1" customHeight="1" s="180">
      <c r="A58" s="219" t="n">
        <v>28</v>
      </c>
      <c r="B58" s="92" t="inlineStr">
        <is>
          <t>08.3.08.02-0084</t>
        </is>
      </c>
      <c r="C58" s="218" t="inlineStr">
        <is>
          <t>Уголок горячекатаный, марка стали Ст3сп, ширина полок 50-56 мм</t>
        </is>
      </c>
      <c r="D58" s="219" t="inlineStr">
        <is>
          <t>т</t>
        </is>
      </c>
      <c r="E58" s="261" t="n">
        <v>0.068</v>
      </c>
      <c r="F58" s="237" t="n">
        <v>5763</v>
      </c>
      <c r="G58" s="99">
        <f>ROUND(F58*E58,2)</f>
        <v/>
      </c>
      <c r="H58" s="231">
        <f>G58/$G$94</f>
        <v/>
      </c>
      <c r="I58" s="99">
        <f>ROUND(F58*'Прил. 10'!$D$12,2)</f>
        <v/>
      </c>
      <c r="J58" s="99">
        <f>ROUND(I58*E58,2)</f>
        <v/>
      </c>
    </row>
    <row r="59" hidden="1" outlineLevel="1" ht="38.25" customFormat="1" customHeight="1" s="180">
      <c r="A59" s="219" t="n">
        <v>29</v>
      </c>
      <c r="B59" s="92" t="inlineStr">
        <is>
          <t>04.1.02.05-0043</t>
        </is>
      </c>
      <c r="C59" s="218" t="inlineStr">
        <is>
          <t>Смеси бетонные тяжелого бетона (БСТ), крупность заполнителя 20 мм, класс B15 (М200)</t>
        </is>
      </c>
      <c r="D59" s="219" t="inlineStr">
        <is>
          <t>м3</t>
        </is>
      </c>
      <c r="E59" s="261" t="n">
        <v>0.4466</v>
      </c>
      <c r="F59" s="237" t="n">
        <v>665</v>
      </c>
      <c r="G59" s="99">
        <f>ROUND(F59*E59,2)</f>
        <v/>
      </c>
      <c r="H59" s="231">
        <f>G59/$G$94</f>
        <v/>
      </c>
      <c r="I59" s="99">
        <f>ROUND(F59*'Прил. 10'!$D$12,2)</f>
        <v/>
      </c>
      <c r="J59" s="99">
        <f>ROUND(I59*E59,2)</f>
        <v/>
      </c>
    </row>
    <row r="60" hidden="1" outlineLevel="1" ht="14.25" customFormat="1" customHeight="1" s="180">
      <c r="A60" s="219" t="n">
        <v>30</v>
      </c>
      <c r="B60" s="92" t="inlineStr">
        <is>
          <t>01.7.03.04-0001</t>
        </is>
      </c>
      <c r="C60" s="218" t="inlineStr">
        <is>
          <t>Электроэнергия</t>
        </is>
      </c>
      <c r="D60" s="219" t="inlineStr">
        <is>
          <t>кВт-ч</t>
        </is>
      </c>
      <c r="E60" s="261" t="n">
        <v>723.84</v>
      </c>
      <c r="F60" s="237" t="n">
        <v>0.4</v>
      </c>
      <c r="G60" s="99">
        <f>ROUND(F60*E60,2)</f>
        <v/>
      </c>
      <c r="H60" s="231">
        <f>G60/$G$94</f>
        <v/>
      </c>
      <c r="I60" s="99">
        <f>ROUND(F60*'Прил. 10'!$D$12,2)</f>
        <v/>
      </c>
      <c r="J60" s="99">
        <f>ROUND(I60*E60,2)</f>
        <v/>
      </c>
    </row>
    <row r="61" hidden="1" outlineLevel="1" ht="38.25" customFormat="1" customHeight="1" s="180">
      <c r="A61" s="219" t="n">
        <v>31</v>
      </c>
      <c r="B61" s="92" t="inlineStr">
        <is>
          <t>08.4.03.03-0032</t>
        </is>
      </c>
      <c r="C61" s="218" t="inlineStr">
        <is>
          <t>Сталь арматурная, горячекатаная, периодического профиля, класс А-III, диаметр 12 мм</t>
        </is>
      </c>
      <c r="D61" s="219" t="inlineStr">
        <is>
          <t>т</t>
        </is>
      </c>
      <c r="E61" s="261" t="n">
        <v>0.0288</v>
      </c>
      <c r="F61" s="237" t="n">
        <v>7997.23</v>
      </c>
      <c r="G61" s="99">
        <f>ROUND(F61*E61,2)</f>
        <v/>
      </c>
      <c r="H61" s="231">
        <f>G61/$G$94</f>
        <v/>
      </c>
      <c r="I61" s="99">
        <f>ROUND(F61*'Прил. 10'!$D$12,2)</f>
        <v/>
      </c>
      <c r="J61" s="99">
        <f>ROUND(I61*E61,2)</f>
        <v/>
      </c>
    </row>
    <row r="62" hidden="1" outlineLevel="1" ht="14.25" customFormat="1" customHeight="1" s="180">
      <c r="A62" s="219" t="n">
        <v>32</v>
      </c>
      <c r="B62" s="92" t="inlineStr">
        <is>
          <t>14.4.02.09-0001</t>
        </is>
      </c>
      <c r="C62" s="218" t="inlineStr">
        <is>
          <t>Краска</t>
        </is>
      </c>
      <c r="D62" s="219" t="inlineStr">
        <is>
          <t>кг</t>
        </is>
      </c>
      <c r="E62" s="261" t="n">
        <v>7.6</v>
      </c>
      <c r="F62" s="237" t="n">
        <v>28.6</v>
      </c>
      <c r="G62" s="99">
        <f>ROUND(F62*E62,2)</f>
        <v/>
      </c>
      <c r="H62" s="231">
        <f>G62/$G$94</f>
        <v/>
      </c>
      <c r="I62" s="99">
        <f>ROUND(F62*'Прил. 10'!$D$12,2)</f>
        <v/>
      </c>
      <c r="J62" s="99">
        <f>ROUND(I62*E62,2)</f>
        <v/>
      </c>
    </row>
    <row r="63" hidden="1" outlineLevel="1" ht="25.5" customFormat="1" customHeight="1" s="180">
      <c r="A63" s="219" t="n">
        <v>33</v>
      </c>
      <c r="B63" s="92" t="inlineStr">
        <is>
          <t>02.3.01.02-0033</t>
        </is>
      </c>
      <c r="C63" s="218" t="inlineStr">
        <is>
          <t>Песок природный обогащенный для строительных работ средний</t>
        </is>
      </c>
      <c r="D63" s="219" t="inlineStr">
        <is>
          <t>м3</t>
        </is>
      </c>
      <c r="E63" s="261" t="n">
        <v>0.7675999999999999</v>
      </c>
      <c r="F63" s="237" t="n">
        <v>70.59999999999999</v>
      </c>
      <c r="G63" s="99">
        <f>ROUND(F63*E63,2)</f>
        <v/>
      </c>
      <c r="H63" s="231">
        <f>G63/$G$94</f>
        <v/>
      </c>
      <c r="I63" s="99">
        <f>ROUND(F63*'Прил. 10'!$D$12,2)</f>
        <v/>
      </c>
      <c r="J63" s="99">
        <f>ROUND(I63*E63,2)</f>
        <v/>
      </c>
    </row>
    <row r="64" hidden="1" outlineLevel="1" ht="14.25" customFormat="1" customHeight="1" s="180">
      <c r="A64" s="219" t="n">
        <v>34</v>
      </c>
      <c r="B64" s="92" t="inlineStr">
        <is>
          <t>01.2.03.03-0013</t>
        </is>
      </c>
      <c r="C64" s="218" t="inlineStr">
        <is>
          <t>Мастика битумная кровельная горячая</t>
        </is>
      </c>
      <c r="D64" s="219" t="inlineStr">
        <is>
          <t>т</t>
        </is>
      </c>
      <c r="E64" s="261" t="n">
        <v>0.014688</v>
      </c>
      <c r="F64" s="237" t="n">
        <v>3390</v>
      </c>
      <c r="G64" s="99">
        <f>ROUND(F64*E64,2)</f>
        <v/>
      </c>
      <c r="H64" s="231">
        <f>G64/$G$94</f>
        <v/>
      </c>
      <c r="I64" s="99">
        <f>ROUND(F64*'Прил. 10'!$D$12,2)</f>
        <v/>
      </c>
      <c r="J64" s="99">
        <f>ROUND(I64*E64,2)</f>
        <v/>
      </c>
    </row>
    <row r="65" hidden="1" outlineLevel="1" ht="25.5" customFormat="1" customHeight="1" s="180">
      <c r="A65" s="219" t="n">
        <v>35</v>
      </c>
      <c r="B65" s="92" t="inlineStr">
        <is>
          <t>01.7.07.12-0022</t>
        </is>
      </c>
      <c r="C65" s="218" t="inlineStr">
        <is>
          <t>Пленка полиэтиленовая, толщина 0,2-0,5 мм</t>
        </is>
      </c>
      <c r="D65" s="219" t="inlineStr">
        <is>
          <t>м2</t>
        </is>
      </c>
      <c r="E65" s="261" t="n">
        <v>3.4272</v>
      </c>
      <c r="F65" s="237" t="n">
        <v>12.19</v>
      </c>
      <c r="G65" s="99">
        <f>ROUND(F65*E65,2)</f>
        <v/>
      </c>
      <c r="H65" s="231">
        <f>G65/$G$94</f>
        <v/>
      </c>
      <c r="I65" s="99">
        <f>ROUND(F65*'Прил. 10'!$D$12,2)</f>
        <v/>
      </c>
      <c r="J65" s="99">
        <f>ROUND(I65*E65,2)</f>
        <v/>
      </c>
    </row>
    <row r="66" hidden="1" outlineLevel="1" ht="38.25" customFormat="1" customHeight="1" s="180">
      <c r="A66" s="219" t="n">
        <v>36</v>
      </c>
      <c r="B66" s="92" t="inlineStr">
        <is>
          <t>08.3.07.01-0076</t>
        </is>
      </c>
      <c r="C66" s="218" t="inlineStr">
        <is>
          <t>Прокат полосовой, горячекатаный, марка стали Ст3сп, ширина 50-200 мм, толщина 4-5 мм</t>
        </is>
      </c>
      <c r="D66" s="219" t="inlineStr">
        <is>
          <t>т</t>
        </is>
      </c>
      <c r="E66" s="261" t="n">
        <v>0.006</v>
      </c>
      <c r="F66" s="237" t="n">
        <v>5000</v>
      </c>
      <c r="G66" s="99">
        <f>ROUND(F66*E66,2)</f>
        <v/>
      </c>
      <c r="H66" s="231">
        <f>G66/$G$94</f>
        <v/>
      </c>
      <c r="I66" s="99">
        <f>ROUND(F66*'Прил. 10'!$D$12,2)</f>
        <v/>
      </c>
      <c r="J66" s="99">
        <f>ROUND(I66*E66,2)</f>
        <v/>
      </c>
    </row>
    <row r="67" hidden="1" outlineLevel="1" ht="14.25" customFormat="1" customHeight="1" s="180">
      <c r="A67" s="219" t="n">
        <v>37</v>
      </c>
      <c r="B67" s="92" t="inlineStr">
        <is>
          <t>01.7.11.07-0032</t>
        </is>
      </c>
      <c r="C67" s="218" t="inlineStr">
        <is>
          <t>Электроды сварочные Э42, диаметр 4 мм</t>
        </is>
      </c>
      <c r="D67" s="219" t="inlineStr">
        <is>
          <t>т</t>
        </is>
      </c>
      <c r="E67" s="261" t="n">
        <v>0.0023005</v>
      </c>
      <c r="F67" s="237" t="n">
        <v>10315.01</v>
      </c>
      <c r="G67" s="99">
        <f>ROUND(F67*E67,2)</f>
        <v/>
      </c>
      <c r="H67" s="231">
        <f>G67/$G$94</f>
        <v/>
      </c>
      <c r="I67" s="99">
        <f>ROUND(F67*'Прил. 10'!$D$12,2)</f>
        <v/>
      </c>
      <c r="J67" s="99">
        <f>ROUND(I67*E67,2)</f>
        <v/>
      </c>
    </row>
    <row r="68" hidden="1" outlineLevel="1" ht="14.25" customFormat="1" customHeight="1" s="180">
      <c r="A68" s="219" t="n">
        <v>38</v>
      </c>
      <c r="B68" s="92" t="inlineStr">
        <is>
          <t>01.7.11.07-0036</t>
        </is>
      </c>
      <c r="C68" s="218" t="inlineStr">
        <is>
          <t>Электроды сварочные Э46, диаметр 4 мм</t>
        </is>
      </c>
      <c r="D68" s="219" t="inlineStr">
        <is>
          <t>кг</t>
        </is>
      </c>
      <c r="E68" s="261" t="n">
        <v>1.8796</v>
      </c>
      <c r="F68" s="237" t="n">
        <v>10.75</v>
      </c>
      <c r="G68" s="99">
        <f>ROUND(F68*E68,2)</f>
        <v/>
      </c>
      <c r="H68" s="231">
        <f>G68/$G$94</f>
        <v/>
      </c>
      <c r="I68" s="99">
        <f>ROUND(F68*'Прил. 10'!$D$12,2)</f>
        <v/>
      </c>
      <c r="J68" s="99">
        <f>ROUND(I68*E68,2)</f>
        <v/>
      </c>
    </row>
    <row r="69" hidden="1" outlineLevel="1" ht="25.5" customFormat="1" customHeight="1" s="180">
      <c r="A69" s="219" t="n">
        <v>39</v>
      </c>
      <c r="B69" s="92" t="inlineStr">
        <is>
          <t>01.3.01.06-0050</t>
        </is>
      </c>
      <c r="C69" s="218" t="inlineStr">
        <is>
          <t>Смазка универсальная тугоплавкая УТ (консталин жировой)</t>
        </is>
      </c>
      <c r="D69" s="219" t="inlineStr">
        <is>
          <t>т</t>
        </is>
      </c>
      <c r="E69" s="261" t="n">
        <v>0.001</v>
      </c>
      <c r="F69" s="237" t="n">
        <v>17500</v>
      </c>
      <c r="G69" s="99">
        <f>ROUND(F69*E69,2)</f>
        <v/>
      </c>
      <c r="H69" s="231">
        <f>G69/$G$94</f>
        <v/>
      </c>
      <c r="I69" s="99">
        <f>ROUND(F69*'Прил. 10'!$D$12,2)</f>
        <v/>
      </c>
      <c r="J69" s="99">
        <f>ROUND(I69*E69,2)</f>
        <v/>
      </c>
    </row>
    <row r="70" hidden="1" outlineLevel="1" ht="14.25" customFormat="1" customHeight="1" s="180">
      <c r="A70" s="219" t="n">
        <v>40</v>
      </c>
      <c r="B70" s="92" t="inlineStr">
        <is>
          <t>01.7.20.08-0031</t>
        </is>
      </c>
      <c r="C70" s="218" t="inlineStr">
        <is>
          <t>Бязь суровая</t>
        </is>
      </c>
      <c r="D70" s="219" t="inlineStr">
        <is>
          <t>10 м2</t>
        </is>
      </c>
      <c r="E70" s="261" t="n">
        <v>0.22</v>
      </c>
      <c r="F70" s="237" t="n">
        <v>79.09999999999999</v>
      </c>
      <c r="G70" s="99">
        <f>ROUND(F70*E70,2)</f>
        <v/>
      </c>
      <c r="H70" s="231">
        <f>G70/$G$94</f>
        <v/>
      </c>
      <c r="I70" s="99">
        <f>ROUND(F70*'Прил. 10'!$D$12,2)</f>
        <v/>
      </c>
      <c r="J70" s="99">
        <f>ROUND(I70*E70,2)</f>
        <v/>
      </c>
    </row>
    <row r="71" hidden="1" outlineLevel="1" ht="25.5" customFormat="1" customHeight="1" s="180">
      <c r="A71" s="219" t="n">
        <v>41</v>
      </c>
      <c r="B71" s="92" t="inlineStr">
        <is>
          <t>999-9950</t>
        </is>
      </c>
      <c r="C71" s="218" t="inlineStr">
        <is>
          <t>Вспомогательные ненормируемые ресурсы (2% от Оплаты труда рабочих)</t>
        </is>
      </c>
      <c r="D71" s="219" t="inlineStr">
        <is>
          <t>руб</t>
        </is>
      </c>
      <c r="E71" s="261" t="n">
        <v>17.04</v>
      </c>
      <c r="F71" s="237" t="n">
        <v>1</v>
      </c>
      <c r="G71" s="99">
        <f>ROUND(F71*E71,2)</f>
        <v/>
      </c>
      <c r="H71" s="231">
        <f>G71/$G$94</f>
        <v/>
      </c>
      <c r="I71" s="99">
        <f>ROUND(F71*'Прил. 10'!$D$12,2)</f>
        <v/>
      </c>
      <c r="J71" s="99">
        <f>ROUND(I71*E71,2)</f>
        <v/>
      </c>
    </row>
    <row r="72" hidden="1" outlineLevel="1" ht="14.25" customFormat="1" customHeight="1" s="180">
      <c r="A72" s="219" t="n">
        <v>42</v>
      </c>
      <c r="B72" s="92" t="inlineStr">
        <is>
          <t>14.5.09.07-0030</t>
        </is>
      </c>
      <c r="C72" s="218" t="inlineStr">
        <is>
          <t>Растворитель Р-4</t>
        </is>
      </c>
      <c r="D72" s="219" t="inlineStr">
        <is>
          <t>кг</t>
        </is>
      </c>
      <c r="E72" s="261" t="n">
        <v>1.70469</v>
      </c>
      <c r="F72" s="237" t="n">
        <v>9.42</v>
      </c>
      <c r="G72" s="99">
        <f>ROUND(F72*E72,2)</f>
        <v/>
      </c>
      <c r="H72" s="231">
        <f>G72/$G$94</f>
        <v/>
      </c>
      <c r="I72" s="99">
        <f>ROUND(F72*'Прил. 10'!$D$12,2)</f>
        <v/>
      </c>
      <c r="J72" s="99">
        <f>ROUND(I72*E72,2)</f>
        <v/>
      </c>
    </row>
    <row r="73" hidden="1" outlineLevel="1" ht="38.25" customFormat="1" customHeight="1" s="180">
      <c r="A73" s="219" t="n">
        <v>43</v>
      </c>
      <c r="B73" s="92" t="inlineStr">
        <is>
          <t>04.1.02.05-0043 ОП прил.15 т.2</t>
        </is>
      </c>
      <c r="C73" s="218" t="inlineStr">
        <is>
          <t>Надбавка на водонепроницаемость бетона (W 4) за каждые  0,2 МПа давления воды до 0,4 МПа</t>
        </is>
      </c>
      <c r="D73" s="219" t="inlineStr">
        <is>
          <t>м3</t>
        </is>
      </c>
      <c r="E73" s="261" t="n">
        <v>0.44</v>
      </c>
      <c r="F73" s="237" t="n">
        <v>14.56</v>
      </c>
      <c r="G73" s="99">
        <f>ROUND(F73*E73,2)</f>
        <v/>
      </c>
      <c r="H73" s="231">
        <f>G73/$G$94</f>
        <v/>
      </c>
      <c r="I73" s="99">
        <f>ROUND(F73*'Прил. 10'!$D$12,2)</f>
        <v/>
      </c>
      <c r="J73" s="99">
        <f>ROUND(I73*E73,2)</f>
        <v/>
      </c>
    </row>
    <row r="74" hidden="1" outlineLevel="1" ht="14.25" customFormat="1" customHeight="1" s="180">
      <c r="A74" s="219" t="n">
        <v>44</v>
      </c>
      <c r="B74" s="92" t="inlineStr">
        <is>
          <t>08.3.11.01-0091</t>
        </is>
      </c>
      <c r="C74" s="218" t="inlineStr">
        <is>
          <t>Швеллеры № 40, марка стали Ст0</t>
        </is>
      </c>
      <c r="D74" s="219" t="inlineStr">
        <is>
          <t>т</t>
        </is>
      </c>
      <c r="E74" s="261" t="n">
        <v>0.0009116</v>
      </c>
      <c r="F74" s="237" t="n">
        <v>4920</v>
      </c>
      <c r="G74" s="99">
        <f>ROUND(F74*E74,2)</f>
        <v/>
      </c>
      <c r="H74" s="231">
        <f>G74/$G$94</f>
        <v/>
      </c>
      <c r="I74" s="99">
        <f>ROUND(F74*'Прил. 10'!$D$12,2)</f>
        <v/>
      </c>
      <c r="J74" s="99">
        <f>ROUND(I74*E74,2)</f>
        <v/>
      </c>
    </row>
    <row r="75" hidden="1" outlineLevel="1" ht="14.25" customFormat="1" customHeight="1" s="180">
      <c r="A75" s="219" t="n">
        <v>45</v>
      </c>
      <c r="B75" s="92" t="inlineStr">
        <is>
          <t>01.3.02.08-0001</t>
        </is>
      </c>
      <c r="C75" s="218" t="inlineStr">
        <is>
          <t>Кислород газообразный технический</t>
        </is>
      </c>
      <c r="D75" s="219" t="inlineStr">
        <is>
          <t>м3</t>
        </is>
      </c>
      <c r="E75" s="261" t="n">
        <v>0.643763</v>
      </c>
      <c r="F75" s="237" t="n">
        <v>6.22</v>
      </c>
      <c r="G75" s="99">
        <f>ROUND(F75*E75,2)</f>
        <v/>
      </c>
      <c r="H75" s="231">
        <f>G75/$G$94</f>
        <v/>
      </c>
      <c r="I75" s="99">
        <f>ROUND(F75*'Прил. 10'!$D$12,2)</f>
        <v/>
      </c>
      <c r="J75" s="99">
        <f>ROUND(I75*E75,2)</f>
        <v/>
      </c>
    </row>
    <row r="76" hidden="1" outlineLevel="1" ht="14.25" customFormat="1" customHeight="1" s="180">
      <c r="A76" s="219" t="n">
        <v>46</v>
      </c>
      <c r="B76" s="92" t="inlineStr">
        <is>
          <t>01.3.01.03-0002</t>
        </is>
      </c>
      <c r="C76" s="218" t="inlineStr">
        <is>
          <t>Керосин для технических целей</t>
        </is>
      </c>
      <c r="D76" s="219" t="inlineStr">
        <is>
          <t>т</t>
        </is>
      </c>
      <c r="E76" s="261" t="n">
        <v>0.0014688</v>
      </c>
      <c r="F76" s="237" t="n">
        <v>2606.9</v>
      </c>
      <c r="G76" s="99">
        <f>ROUND(F76*E76,2)</f>
        <v/>
      </c>
      <c r="H76" s="231">
        <f>G76/$G$94</f>
        <v/>
      </c>
      <c r="I76" s="99">
        <f>ROUND(F76*'Прил. 10'!$D$12,2)</f>
        <v/>
      </c>
      <c r="J76" s="99">
        <f>ROUND(I76*E76,2)</f>
        <v/>
      </c>
    </row>
    <row r="77" hidden="1" outlineLevel="1" ht="51" customFormat="1" customHeight="1" s="180">
      <c r="A77" s="219" t="n">
        <v>47</v>
      </c>
      <c r="B77" s="92" t="inlineStr">
        <is>
          <t>07.2.07.12-0020</t>
        </is>
      </c>
      <c r="C77" s="218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77" s="219" t="inlineStr">
        <is>
          <t>т</t>
        </is>
      </c>
      <c r="E77" s="261" t="n">
        <v>0.0004699</v>
      </c>
      <c r="F77" s="237" t="n">
        <v>7712</v>
      </c>
      <c r="G77" s="99">
        <f>ROUND(F77*E77,2)</f>
        <v/>
      </c>
      <c r="H77" s="231">
        <f>G77/$G$94</f>
        <v/>
      </c>
      <c r="I77" s="99">
        <f>ROUND(F77*'Прил. 10'!$D$12,2)</f>
        <v/>
      </c>
      <c r="J77" s="99">
        <f>ROUND(I77*E77,2)</f>
        <v/>
      </c>
    </row>
    <row r="78" hidden="1" outlineLevel="1" ht="14.25" customFormat="1" customHeight="1" s="180">
      <c r="A78" s="219" t="n">
        <v>48</v>
      </c>
      <c r="B78" s="92" t="inlineStr">
        <is>
          <t>14.4.01.01-0003</t>
        </is>
      </c>
      <c r="C78" s="218" t="inlineStr">
        <is>
          <t>Грунтовка ГФ-021</t>
        </is>
      </c>
      <c r="D78" s="219" t="inlineStr">
        <is>
          <t>т</t>
        </is>
      </c>
      <c r="E78" s="261" t="n">
        <v>0.0001457</v>
      </c>
      <c r="F78" s="237" t="n">
        <v>15620</v>
      </c>
      <c r="G78" s="99">
        <f>ROUND(F78*E78,2)</f>
        <v/>
      </c>
      <c r="H78" s="231">
        <f>G78/$G$94</f>
        <v/>
      </c>
      <c r="I78" s="99">
        <f>ROUND(F78*'Прил. 10'!$D$12,2)</f>
        <v/>
      </c>
      <c r="J78" s="99">
        <f>ROUND(I78*E78,2)</f>
        <v/>
      </c>
    </row>
    <row r="79" hidden="1" outlineLevel="1" ht="14.25" customFormat="1" customHeight="1" s="180">
      <c r="A79" s="219" t="n">
        <v>49</v>
      </c>
      <c r="B79" s="92" t="inlineStr">
        <is>
          <t>01.7.20.08-0071</t>
        </is>
      </c>
      <c r="C79" s="218" t="inlineStr">
        <is>
          <t>Канат пеньковый пропитанный</t>
        </is>
      </c>
      <c r="D79" s="219" t="inlineStr">
        <is>
          <t>т</t>
        </is>
      </c>
      <c r="E79" s="261" t="n">
        <v>4.7e-05</v>
      </c>
      <c r="F79" s="237" t="n">
        <v>37900</v>
      </c>
      <c r="G79" s="99">
        <f>ROUND(F79*E79,2)</f>
        <v/>
      </c>
      <c r="H79" s="231">
        <f>G79/$G$94</f>
        <v/>
      </c>
      <c r="I79" s="99">
        <f>ROUND(F79*'Прил. 10'!$D$12,2)</f>
        <v/>
      </c>
      <c r="J79" s="99">
        <f>ROUND(I79*E79,2)</f>
        <v/>
      </c>
    </row>
    <row r="80" hidden="1" outlineLevel="1" ht="14.25" customFormat="1" customHeight="1" s="180">
      <c r="A80" s="219" t="n">
        <v>50</v>
      </c>
      <c r="B80" s="92" t="inlineStr">
        <is>
          <t>01.2.01.02-0054</t>
        </is>
      </c>
      <c r="C80" s="218" t="inlineStr">
        <is>
          <t>Битумы нефтяные строительные БН-90/10</t>
        </is>
      </c>
      <c r="D80" s="219" t="inlineStr">
        <is>
          <t>т</t>
        </is>
      </c>
      <c r="E80" s="261" t="n">
        <v>0.0009791999999999999</v>
      </c>
      <c r="F80" s="237" t="n">
        <v>1383.1</v>
      </c>
      <c r="G80" s="99">
        <f>ROUND(F80*E80,2)</f>
        <v/>
      </c>
      <c r="H80" s="231">
        <f>G80/$G$94</f>
        <v/>
      </c>
      <c r="I80" s="99">
        <f>ROUND(F80*'Прил. 10'!$D$12,2)</f>
        <v/>
      </c>
      <c r="J80" s="99">
        <f>ROUND(I80*E80,2)</f>
        <v/>
      </c>
    </row>
    <row r="81" hidden="1" outlineLevel="1" ht="14.25" customFormat="1" customHeight="1" s="180">
      <c r="A81" s="219" t="n">
        <v>51</v>
      </c>
      <c r="B81" s="92" t="inlineStr">
        <is>
          <t>01.3.02.09-0022</t>
        </is>
      </c>
      <c r="C81" s="218" t="inlineStr">
        <is>
          <t>Пропан-бутан смесь техническая</t>
        </is>
      </c>
      <c r="D81" s="219" t="inlineStr">
        <is>
          <t>кг</t>
        </is>
      </c>
      <c r="E81" s="261" t="n">
        <v>0.192659</v>
      </c>
      <c r="F81" s="237" t="n">
        <v>6.09</v>
      </c>
      <c r="G81" s="99">
        <f>ROUND(F81*E81,2)</f>
        <v/>
      </c>
      <c r="H81" s="231">
        <f>G81/$G$94</f>
        <v/>
      </c>
      <c r="I81" s="99">
        <f>ROUND(F81*'Прил. 10'!$D$12,2)</f>
        <v/>
      </c>
      <c r="J81" s="99">
        <f>ROUND(I81*E81,2)</f>
        <v/>
      </c>
    </row>
    <row r="82" hidden="1" outlineLevel="1" ht="14.25" customFormat="1" customHeight="1" s="180">
      <c r="A82" s="219" t="n">
        <v>52</v>
      </c>
      <c r="B82" s="92" t="inlineStr">
        <is>
          <t>01.7.11.07-0034</t>
        </is>
      </c>
      <c r="C82" s="218" t="inlineStr">
        <is>
          <t>Электроды сварочные Э42А, диаметр 4 мм</t>
        </is>
      </c>
      <c r="D82" s="219" t="inlineStr">
        <is>
          <t>кг</t>
        </is>
      </c>
      <c r="E82" s="261" t="n">
        <v>0.1</v>
      </c>
      <c r="F82" s="237" t="n">
        <v>10.57</v>
      </c>
      <c r="G82" s="99">
        <f>ROUND(F82*E82,2)</f>
        <v/>
      </c>
      <c r="H82" s="231">
        <f>G82/$G$94</f>
        <v/>
      </c>
      <c r="I82" s="99">
        <f>ROUND(F82*'Прил. 10'!$D$12,2)</f>
        <v/>
      </c>
      <c r="J82" s="99">
        <f>ROUND(I82*E82,2)</f>
        <v/>
      </c>
    </row>
    <row r="83" hidden="1" outlineLevel="1" ht="14.25" customFormat="1" customHeight="1" s="180">
      <c r="A83" s="219" t="n">
        <v>53</v>
      </c>
      <c r="B83" s="92" t="inlineStr">
        <is>
          <t>11.2.13.04-0012</t>
        </is>
      </c>
      <c r="C83" s="218" t="inlineStr">
        <is>
          <t>Щиты из досок, толщина 40 мм</t>
        </is>
      </c>
      <c r="D83" s="219" t="inlineStr">
        <is>
          <t>м2</t>
        </is>
      </c>
      <c r="E83" s="261" t="n">
        <v>0.01584</v>
      </c>
      <c r="F83" s="237" t="n">
        <v>57.63</v>
      </c>
      <c r="G83" s="99">
        <f>ROUND(F83*E83,2)</f>
        <v/>
      </c>
      <c r="H83" s="231">
        <f>G83/$G$94</f>
        <v/>
      </c>
      <c r="I83" s="99">
        <f>ROUND(F83*'Прил. 10'!$D$12,2)</f>
        <v/>
      </c>
      <c r="J83" s="99">
        <f>ROUND(I83*E83,2)</f>
        <v/>
      </c>
    </row>
    <row r="84" hidden="1" outlineLevel="1" ht="38.25" customFormat="1" customHeight="1" s="180">
      <c r="A84" s="219" t="n">
        <v>54</v>
      </c>
      <c r="B84" s="92" t="inlineStr">
        <is>
          <t>11.1.03.01-0077</t>
        </is>
      </c>
      <c r="C84" s="218" t="inlineStr">
        <is>
          <t>Бруски обрезные, хвойных пород, длина 4-6,5 м, ширина 75-150 мм, толщина 40-75 мм, сорт I</t>
        </is>
      </c>
      <c r="D84" s="219" t="inlineStr">
        <is>
          <t>м3</t>
        </is>
      </c>
      <c r="E84" s="261" t="n">
        <v>0.000484</v>
      </c>
      <c r="F84" s="237" t="n">
        <v>1700</v>
      </c>
      <c r="G84" s="99">
        <f>ROUND(F84*E84,2)</f>
        <v/>
      </c>
      <c r="H84" s="231">
        <f>G84/$G$94</f>
        <v/>
      </c>
      <c r="I84" s="99">
        <f>ROUND(F84*'Прил. 10'!$D$12,2)</f>
        <v/>
      </c>
      <c r="J84" s="99">
        <f>ROUND(I84*E84,2)</f>
        <v/>
      </c>
    </row>
    <row r="85" hidden="1" outlineLevel="1" ht="14.25" customFormat="1" customHeight="1" s="180">
      <c r="A85" s="219" t="n">
        <v>55</v>
      </c>
      <c r="B85" s="92" t="inlineStr">
        <is>
          <t>01.7.07.12-0024</t>
        </is>
      </c>
      <c r="C85" s="218" t="inlineStr">
        <is>
          <t>Пленка полиэтиленовая, толщина 0,15 мм</t>
        </is>
      </c>
      <c r="D85" s="219" t="inlineStr">
        <is>
          <t>м2</t>
        </is>
      </c>
      <c r="E85" s="261" t="n">
        <v>0.132</v>
      </c>
      <c r="F85" s="237" t="n">
        <v>3.62</v>
      </c>
      <c r="G85" s="99">
        <f>ROUND(F85*E85,2)</f>
        <v/>
      </c>
      <c r="H85" s="231">
        <f>G85/$G$94</f>
        <v/>
      </c>
      <c r="I85" s="99">
        <f>ROUND(F85*'Прил. 10'!$D$12,2)</f>
        <v/>
      </c>
      <c r="J85" s="99">
        <f>ROUND(I85*E85,2)</f>
        <v/>
      </c>
    </row>
    <row r="86" hidden="1" outlineLevel="1" ht="51" customFormat="1" customHeight="1" s="180">
      <c r="A86" s="219" t="n">
        <v>56</v>
      </c>
      <c r="B86" s="92" t="inlineStr">
        <is>
          <t>08.2.02.11-0007</t>
        </is>
      </c>
      <c r="C86" s="21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86" s="219" t="inlineStr">
        <is>
          <t>10 м</t>
        </is>
      </c>
      <c r="E86" s="261" t="n">
        <v>0.008787100000000001</v>
      </c>
      <c r="F86" s="237" t="n">
        <v>50.24</v>
      </c>
      <c r="G86" s="99">
        <f>ROUND(F86*E86,2)</f>
        <v/>
      </c>
      <c r="H86" s="231">
        <f>G86/$G$94</f>
        <v/>
      </c>
      <c r="I86" s="99">
        <f>ROUND(F86*'Прил. 10'!$D$12,2)</f>
        <v/>
      </c>
      <c r="J86" s="99">
        <f>ROUND(I86*E86,2)</f>
        <v/>
      </c>
    </row>
    <row r="87" hidden="1" outlineLevel="1" ht="25.5" customFormat="1" customHeight="1" s="180">
      <c r="A87" s="219" t="n">
        <v>57</v>
      </c>
      <c r="B87" s="92" t="inlineStr">
        <is>
          <t>08.3.03.06-0002</t>
        </is>
      </c>
      <c r="C87" s="218" t="inlineStr">
        <is>
          <t>Проволока горячекатаная в мотках, диаметр 6,3-6,5 мм</t>
        </is>
      </c>
      <c r="D87" s="219" t="inlineStr">
        <is>
          <t>т</t>
        </is>
      </c>
      <c r="E87" s="261" t="n">
        <v>5.9e-05</v>
      </c>
      <c r="F87" s="237" t="n">
        <v>4455.2</v>
      </c>
      <c r="G87" s="99">
        <f>ROUND(F87*E87,2)</f>
        <v/>
      </c>
      <c r="H87" s="231">
        <f>G87/$G$94</f>
        <v/>
      </c>
      <c r="I87" s="99">
        <f>ROUND(F87*'Прил. 10'!$D$12,2)</f>
        <v/>
      </c>
      <c r="J87" s="99">
        <f>ROUND(I87*E87,2)</f>
        <v/>
      </c>
    </row>
    <row r="88" hidden="1" outlineLevel="1" ht="38.25" customFormat="1" customHeight="1" s="180">
      <c r="A88" s="219" t="n">
        <v>58</v>
      </c>
      <c r="B88" s="92" t="inlineStr">
        <is>
          <t>11.1.03.06-0095</t>
        </is>
      </c>
      <c r="C88" s="218" t="inlineStr">
        <is>
          <t>Доска обрезная, хвойных пород, ширина 75-150 мм, толщина 44 мм и более, длина 4-6,5 м, сорт III</t>
        </is>
      </c>
      <c r="D88" s="219" t="inlineStr">
        <is>
          <t>м3</t>
        </is>
      </c>
      <c r="E88" s="261" t="n">
        <v>0.000176</v>
      </c>
      <c r="F88" s="237" t="n">
        <v>1056</v>
      </c>
      <c r="G88" s="99">
        <f>ROUND(F88*E88,2)</f>
        <v/>
      </c>
      <c r="H88" s="231">
        <f>G88/$G$94</f>
        <v/>
      </c>
      <c r="I88" s="99">
        <f>ROUND(F88*'Прил. 10'!$D$12,2)</f>
        <v/>
      </c>
      <c r="J88" s="99">
        <f>ROUND(I88*E88,2)</f>
        <v/>
      </c>
    </row>
    <row r="89" hidden="1" outlineLevel="1" ht="14.25" customFormat="1" customHeight="1" s="180">
      <c r="A89" s="219" t="n">
        <v>59</v>
      </c>
      <c r="B89" s="92" t="inlineStr">
        <is>
          <t>01.7.15.06-0111</t>
        </is>
      </c>
      <c r="C89" s="218" t="inlineStr">
        <is>
          <t>Гвозди строительные</t>
        </is>
      </c>
      <c r="D89" s="219" t="inlineStr">
        <is>
          <t>т</t>
        </is>
      </c>
      <c r="E89" s="261" t="n">
        <v>1.35e-05</v>
      </c>
      <c r="F89" s="237" t="n">
        <v>11978</v>
      </c>
      <c r="G89" s="99">
        <f>ROUND(F89*E89,2)</f>
        <v/>
      </c>
      <c r="H89" s="231">
        <f>G89/$G$94</f>
        <v/>
      </c>
      <c r="I89" s="99">
        <f>ROUND(F89*'Прил. 10'!$D$12,2)</f>
        <v/>
      </c>
      <c r="J89" s="99">
        <f>ROUND(I89*E89,2)</f>
        <v/>
      </c>
    </row>
    <row r="90" hidden="1" outlineLevel="1" ht="25.5" customFormat="1" customHeight="1" s="180">
      <c r="A90" s="219" t="n">
        <v>60</v>
      </c>
      <c r="B90" s="92" t="inlineStr">
        <is>
          <t>03.1.02.03-0011</t>
        </is>
      </c>
      <c r="C90" s="218" t="inlineStr">
        <is>
          <t>Известь строительная негашеная комовая, сорт I</t>
        </is>
      </c>
      <c r="D90" s="219" t="inlineStr">
        <is>
          <t>т</t>
        </is>
      </c>
      <c r="E90" s="261" t="n">
        <v>4.4e-05</v>
      </c>
      <c r="F90" s="237" t="n">
        <v>734.5</v>
      </c>
      <c r="G90" s="99">
        <f>ROUND(F90*E90,2)</f>
        <v/>
      </c>
      <c r="H90" s="231">
        <f>G90/$G$94</f>
        <v/>
      </c>
      <c r="I90" s="99">
        <f>ROUND(F90*'Прил. 10'!$D$12,2)</f>
        <v/>
      </c>
      <c r="J90" s="99">
        <f>ROUND(I90*E90,2)</f>
        <v/>
      </c>
    </row>
    <row r="91" hidden="1" outlineLevel="1" ht="14.25" customFormat="1" customHeight="1" s="180">
      <c r="A91" s="219" t="n">
        <v>61</v>
      </c>
      <c r="B91" s="92" t="inlineStr">
        <is>
          <t>01.7.03.01-0001</t>
        </is>
      </c>
      <c r="C91" s="218" t="inlineStr">
        <is>
          <t>Вода</t>
        </is>
      </c>
      <c r="D91" s="219" t="inlineStr">
        <is>
          <t>м3</t>
        </is>
      </c>
      <c r="E91" s="261" t="n">
        <v>0.003212</v>
      </c>
      <c r="F91" s="237" t="n">
        <v>2.44</v>
      </c>
      <c r="G91" s="99">
        <f>ROUND(F91*E91,2)</f>
        <v/>
      </c>
      <c r="H91" s="231">
        <f>G91/$G$94</f>
        <v/>
      </c>
      <c r="I91" s="99">
        <f>ROUND(F91*'Прил. 10'!$D$12,2)</f>
        <v/>
      </c>
      <c r="J91" s="99">
        <f>ROUND(I91*E91,2)</f>
        <v/>
      </c>
    </row>
    <row r="92" hidden="1" outlineLevel="1" ht="14.25" customFormat="1" customHeight="1" s="180">
      <c r="A92" s="219" t="n">
        <v>62</v>
      </c>
      <c r="B92" s="92" t="inlineStr">
        <is>
          <t>01.7.20.08-0051</t>
        </is>
      </c>
      <c r="C92" s="218" t="inlineStr">
        <is>
          <t>Ветошь</t>
        </is>
      </c>
      <c r="D92" s="219" t="inlineStr">
        <is>
          <t>кг</t>
        </is>
      </c>
      <c r="E92" s="261" t="n">
        <v>0.00612</v>
      </c>
      <c r="F92" s="237" t="n">
        <v>1.82</v>
      </c>
      <c r="G92" s="99">
        <f>ROUND(F92*E92,2)</f>
        <v/>
      </c>
      <c r="H92" s="231">
        <f>G92/$G$94</f>
        <v/>
      </c>
      <c r="I92" s="99">
        <f>ROUND(F92*'Прил. 10'!$D$12,2)</f>
        <v/>
      </c>
      <c r="J92" s="99">
        <f>ROUND(I92*E92,2)</f>
        <v/>
      </c>
    </row>
    <row r="93" collapsed="1" customFormat="1" s="180">
      <c r="A93" s="219" t="n"/>
      <c r="B93" s="219" t="n"/>
      <c r="C93" s="218" t="inlineStr">
        <is>
          <t>Итого прочие материалы</t>
        </is>
      </c>
      <c r="D93" s="219" t="n"/>
      <c r="E93" s="220" t="n"/>
      <c r="F93" s="221" t="n"/>
      <c r="G93" s="99">
        <f>SUM(G55:G92)</f>
        <v/>
      </c>
      <c r="H93" s="231">
        <f>G93/G94</f>
        <v/>
      </c>
      <c r="I93" s="99" t="n"/>
      <c r="J93" s="99">
        <f>SUM(J55:J92)</f>
        <v/>
      </c>
      <c r="L93" s="266" t="n"/>
    </row>
    <row r="94" ht="14.25" customFormat="1" customHeight="1" s="180">
      <c r="A94" s="219" t="n"/>
      <c r="B94" s="219" t="n"/>
      <c r="C94" s="230" t="inlineStr">
        <is>
          <t>Итого по разделу «Материалы»</t>
        </is>
      </c>
      <c r="D94" s="219" t="n"/>
      <c r="E94" s="220" t="n"/>
      <c r="F94" s="221" t="n"/>
      <c r="G94" s="99">
        <f>G54+G93</f>
        <v/>
      </c>
      <c r="H94" s="231" t="n">
        <v>1</v>
      </c>
      <c r="I94" s="221" t="n"/>
      <c r="J94" s="99">
        <f>J54+J93</f>
        <v/>
      </c>
      <c r="K94" s="263" t="n"/>
    </row>
    <row r="95" ht="14.25" customFormat="1" customHeight="1" s="180">
      <c r="A95" s="219" t="n"/>
      <c r="B95" s="219" t="n"/>
      <c r="C95" s="218" t="inlineStr">
        <is>
          <t>ИТОГО ПО РМ</t>
        </is>
      </c>
      <c r="D95" s="219" t="n"/>
      <c r="E95" s="220" t="n"/>
      <c r="F95" s="221" t="n"/>
      <c r="G95" s="99">
        <f>G14+G39+G94</f>
        <v/>
      </c>
      <c r="H95" s="231" t="n"/>
      <c r="I95" s="221" t="n"/>
      <c r="J95" s="99">
        <f>J14+J39+J94</f>
        <v/>
      </c>
    </row>
    <row r="96" ht="14.25" customFormat="1" customHeight="1" s="180">
      <c r="A96" s="219" t="n"/>
      <c r="B96" s="219" t="n"/>
      <c r="C96" s="218" t="inlineStr">
        <is>
          <t>Накладные расходы</t>
        </is>
      </c>
      <c r="D96" s="219" t="inlineStr">
        <is>
          <t>%</t>
        </is>
      </c>
      <c r="E96" s="64">
        <f>ROUND(G96/(G14+G16),2)</f>
        <v/>
      </c>
      <c r="F96" s="221" t="n"/>
      <c r="G96" s="99" t="n">
        <v>1390.03</v>
      </c>
      <c r="H96" s="231" t="n"/>
      <c r="I96" s="221" t="n"/>
      <c r="J96" s="99">
        <f>ROUND(E96*(J14+J16),2)</f>
        <v/>
      </c>
      <c r="K96" s="65" t="n"/>
    </row>
    <row r="97" ht="14.25" customFormat="1" customHeight="1" s="180">
      <c r="A97" s="219" t="n"/>
      <c r="B97" s="219" t="n"/>
      <c r="C97" s="218" t="inlineStr">
        <is>
          <t>Сметная прибыль</t>
        </is>
      </c>
      <c r="D97" s="219" t="inlineStr">
        <is>
          <t>%</t>
        </is>
      </c>
      <c r="E97" s="64">
        <f>ROUND(G97/(G14+G16),2)</f>
        <v/>
      </c>
      <c r="F97" s="221" t="n"/>
      <c r="G97" s="99" t="n">
        <v>750.17</v>
      </c>
      <c r="H97" s="231" t="n"/>
      <c r="I97" s="221" t="n"/>
      <c r="J97" s="99">
        <f>ROUND(E97*(J14+J16),2)</f>
        <v/>
      </c>
      <c r="K97" s="65" t="n"/>
    </row>
    <row r="98" ht="14.25" customFormat="1" customHeight="1" s="180">
      <c r="A98" s="219" t="n"/>
      <c r="B98" s="219" t="n"/>
      <c r="C98" s="218" t="inlineStr">
        <is>
          <t>Итого СМР (с НР и СП)</t>
        </is>
      </c>
      <c r="D98" s="219" t="n"/>
      <c r="E98" s="220" t="n"/>
      <c r="F98" s="221" t="n"/>
      <c r="G98" s="99">
        <f>G14+G39+G94+G96+G97</f>
        <v/>
      </c>
      <c r="H98" s="231" t="n"/>
      <c r="I98" s="221" t="n"/>
      <c r="J98" s="99">
        <f>J14+J39+J94+J96+J97</f>
        <v/>
      </c>
      <c r="L98" s="66" t="n"/>
    </row>
    <row r="99" ht="14.25" customFormat="1" customHeight="1" s="180">
      <c r="A99" s="219" t="n"/>
      <c r="B99" s="219" t="n"/>
      <c r="C99" s="218" t="inlineStr">
        <is>
          <t>ВСЕГО СМР + ОБОРУДОВАНИЕ</t>
        </is>
      </c>
      <c r="D99" s="219" t="n"/>
      <c r="E99" s="220" t="n"/>
      <c r="F99" s="221" t="n"/>
      <c r="G99" s="99">
        <f>G98+G45</f>
        <v/>
      </c>
      <c r="H99" s="231" t="n"/>
      <c r="I99" s="221" t="n"/>
      <c r="J99" s="99">
        <f>J98+J45</f>
        <v/>
      </c>
      <c r="L99" s="65" t="n"/>
    </row>
    <row r="100" ht="14.25" customFormat="1" customHeight="1" s="180">
      <c r="A100" s="219" t="n"/>
      <c r="B100" s="219" t="n"/>
      <c r="C100" s="218" t="inlineStr">
        <is>
          <t>ИТОГО ПОКАЗАТЕЛЬ НА ЕД. ИЗМ.</t>
        </is>
      </c>
      <c r="D100" s="219" t="inlineStr">
        <is>
          <t>ед.</t>
        </is>
      </c>
      <c r="E100" s="120">
        <f>'Прил.1 Сравнит табл'!D15</f>
        <v/>
      </c>
      <c r="F100" s="221" t="n"/>
      <c r="G100" s="99">
        <f>G99/E100</f>
        <v/>
      </c>
      <c r="H100" s="231" t="n"/>
      <c r="I100" s="221" t="n"/>
      <c r="J100" s="99">
        <f>J99/E100</f>
        <v/>
      </c>
      <c r="L100" s="260" t="n"/>
    </row>
    <row r="102" ht="14.25" customFormat="1" customHeight="1" s="180">
      <c r="A102" s="181" t="n"/>
    </row>
    <row r="103" ht="14.25" customFormat="1" customHeight="1" s="180">
      <c r="A103" s="179" t="inlineStr">
        <is>
          <t>Составил ______________________        Е.А. Князева</t>
        </is>
      </c>
      <c r="B103" s="180" t="n"/>
    </row>
    <row r="104" ht="14.25" customFormat="1" customHeight="1" s="180">
      <c r="A104" s="182" t="inlineStr">
        <is>
          <t xml:space="preserve">                         (подпись, инициалы, фамилия)</t>
        </is>
      </c>
      <c r="B104" s="180" t="n"/>
    </row>
    <row r="105" ht="14.25" customFormat="1" customHeight="1" s="180">
      <c r="A105" s="179" t="n"/>
      <c r="B105" s="180" t="n"/>
    </row>
    <row r="106" ht="14.25" customFormat="1" customHeight="1" s="180">
      <c r="A106" s="179" t="inlineStr">
        <is>
          <t>Проверил ______________________        А.В. Костянецкая</t>
        </is>
      </c>
      <c r="B106" s="180" t="n"/>
    </row>
    <row r="107" ht="14.25" customFormat="1" customHeight="1" s="180">
      <c r="A107" s="182" t="inlineStr">
        <is>
          <t xml:space="preserve">                        (подпись, инициалы, фамилия)</t>
        </is>
      </c>
      <c r="B107" s="180" t="n"/>
    </row>
  </sheetData>
  <mergeCells count="19">
    <mergeCell ref="H9:H10"/>
    <mergeCell ref="B15:H15"/>
    <mergeCell ref="C9:C10"/>
    <mergeCell ref="E9:E10"/>
    <mergeCell ref="A7:H7"/>
    <mergeCell ref="B40:J40"/>
    <mergeCell ref="B9:B10"/>
    <mergeCell ref="D9:D10"/>
    <mergeCell ref="B18:H18"/>
    <mergeCell ref="B12:H12"/>
    <mergeCell ref="D6:J6"/>
    <mergeCell ref="B41:J41"/>
    <mergeCell ref="B48:H48"/>
    <mergeCell ref="F9:G9"/>
    <mergeCell ref="B47:J47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2"/>
  <sheetViews>
    <sheetView view="pageBreakPreview" topLeftCell="A16" workbookViewId="0">
      <selection activeCell="G48" sqref="G48"/>
    </sheetView>
  </sheetViews>
  <sheetFormatPr baseColWidth="8" defaultRowHeight="15"/>
  <cols>
    <col width="5.7109375" customWidth="1" style="187" min="1" max="1"/>
    <col width="14.85546875" customWidth="1" style="187" min="2" max="2"/>
    <col width="39.140625" customWidth="1" style="187" min="3" max="3"/>
    <col width="8.28515625" customWidth="1" style="187" min="4" max="4"/>
    <col width="13.5703125" customWidth="1" style="187" min="5" max="5"/>
    <col width="12.42578125" customWidth="1" style="187" min="6" max="6"/>
    <col width="14.140625" customWidth="1" style="187" min="7" max="7"/>
  </cols>
  <sheetData>
    <row r="1">
      <c r="A1" s="238" t="inlineStr">
        <is>
          <t>Приложение №6</t>
        </is>
      </c>
    </row>
    <row r="2" s="187">
      <c r="A2" s="238" t="n"/>
      <c r="B2" s="238" t="n"/>
      <c r="C2" s="238" t="n"/>
      <c r="D2" s="238" t="n"/>
      <c r="E2" s="238" t="n"/>
      <c r="F2" s="238" t="n"/>
      <c r="G2" s="238" t="n"/>
    </row>
    <row r="3" s="187">
      <c r="A3" s="238" t="n"/>
      <c r="B3" s="238" t="n"/>
      <c r="C3" s="238" t="n"/>
      <c r="D3" s="238" t="n"/>
      <c r="E3" s="238" t="n"/>
      <c r="F3" s="238" t="n"/>
      <c r="G3" s="238" t="n"/>
    </row>
    <row r="4">
      <c r="A4" s="238" t="n"/>
      <c r="B4" s="238" t="n"/>
      <c r="C4" s="238" t="n"/>
      <c r="D4" s="238" t="n"/>
      <c r="E4" s="238" t="n"/>
      <c r="F4" s="238" t="n"/>
      <c r="G4" s="238" t="n"/>
    </row>
    <row r="5">
      <c r="A5" s="215" t="inlineStr">
        <is>
          <t>Расчет стоимости оборудования</t>
        </is>
      </c>
    </row>
    <row r="6" ht="64.5" customHeight="1" s="187">
      <c r="A6" s="240">
        <f>'Прил.1 Сравнит табл'!B7</f>
        <v/>
      </c>
    </row>
    <row r="7">
      <c r="A7" s="179" t="n"/>
      <c r="B7" s="179" t="n"/>
      <c r="C7" s="179" t="n"/>
      <c r="D7" s="179" t="n"/>
      <c r="E7" s="179" t="n"/>
      <c r="F7" s="179" t="n"/>
      <c r="G7" s="179" t="n"/>
    </row>
    <row r="8" ht="30" customHeight="1" s="187">
      <c r="A8" s="239" t="inlineStr">
        <is>
          <t>№ пп.</t>
        </is>
      </c>
      <c r="B8" s="239" t="inlineStr">
        <is>
          <t>Код ресурса</t>
        </is>
      </c>
      <c r="C8" s="239" t="inlineStr">
        <is>
          <t>Наименование</t>
        </is>
      </c>
      <c r="D8" s="239" t="inlineStr">
        <is>
          <t>Ед. изм.</t>
        </is>
      </c>
      <c r="E8" s="219" t="inlineStr">
        <is>
          <t>Кол-во единиц по проектным данным</t>
        </is>
      </c>
      <c r="F8" s="239" t="inlineStr">
        <is>
          <t>Сметная стоимость в ценах на 01.01.2000 (руб.)</t>
        </is>
      </c>
      <c r="G8" s="253" t="n"/>
    </row>
    <row r="9">
      <c r="A9" s="255" t="n"/>
      <c r="B9" s="255" t="n"/>
      <c r="C9" s="255" t="n"/>
      <c r="D9" s="255" t="n"/>
      <c r="E9" s="255" t="n"/>
      <c r="F9" s="219" t="inlineStr">
        <is>
          <t>на ед. изм.</t>
        </is>
      </c>
      <c r="G9" s="219" t="inlineStr">
        <is>
          <t>общая</t>
        </is>
      </c>
    </row>
    <row r="10">
      <c r="A10" s="219" t="n">
        <v>1</v>
      </c>
      <c r="B10" s="219" t="n">
        <v>2</v>
      </c>
      <c r="C10" s="219" t="n">
        <v>3</v>
      </c>
      <c r="D10" s="219" t="n">
        <v>4</v>
      </c>
      <c r="E10" s="219" t="n">
        <v>5</v>
      </c>
      <c r="F10" s="219" t="n">
        <v>6</v>
      </c>
      <c r="G10" s="219" t="n">
        <v>7</v>
      </c>
    </row>
    <row r="11" ht="15" customHeight="1" s="187">
      <c r="A11" s="28" t="n"/>
      <c r="B11" s="218" t="inlineStr">
        <is>
          <t>ИНЖЕНЕРНОЕ ОБОРУДОВАНИЕ</t>
        </is>
      </c>
      <c r="C11" s="252" t="n"/>
      <c r="D11" s="252" t="n"/>
      <c r="E11" s="252" t="n"/>
      <c r="F11" s="252" t="n"/>
      <c r="G11" s="253" t="n"/>
    </row>
    <row r="12" ht="27" customHeight="1" s="187">
      <c r="A12" s="219" t="n"/>
      <c r="B12" s="230" t="n"/>
      <c r="C12" s="218" t="inlineStr">
        <is>
          <t>ИТОГО ИНЖЕНЕРНОЕ ОБОРУДОВАНИЕ</t>
        </is>
      </c>
      <c r="D12" s="230" t="n"/>
      <c r="E12" s="9" t="n"/>
      <c r="F12" s="221" t="n"/>
      <c r="G12" s="221" t="n">
        <v>0</v>
      </c>
    </row>
    <row r="13">
      <c r="A13" s="219" t="n"/>
      <c r="B13" s="218" t="inlineStr">
        <is>
          <t>ТЕХНОЛОГИЧЕСКОЕ ОБОРУДОВАНИЕ</t>
        </is>
      </c>
      <c r="C13" s="252" t="n"/>
      <c r="D13" s="252" t="n"/>
      <c r="E13" s="252" t="n"/>
      <c r="F13" s="252" t="n"/>
      <c r="G13" s="253" t="n"/>
    </row>
    <row r="14" ht="25.5" customHeight="1" s="187">
      <c r="A14" s="219" t="n">
        <v>1</v>
      </c>
      <c r="B14" s="120">
        <f>'Прил.5 Расчет СМР и ОБ'!B42</f>
        <v/>
      </c>
      <c r="C14" s="121">
        <f>'Прил.5 Расчет СМР и ОБ'!C42</f>
        <v/>
      </c>
      <c r="D14" s="120">
        <f>'Прил.5 Расчет СМР и ОБ'!D42</f>
        <v/>
      </c>
      <c r="E14" s="120">
        <f>'Прил.5 Расчет СМР и ОБ'!E42</f>
        <v/>
      </c>
      <c r="F14" s="99">
        <f>'Прил.5 Расчет СМР и ОБ'!F42</f>
        <v/>
      </c>
      <c r="G14" s="99">
        <f>ROUND(E14*F14,2)</f>
        <v/>
      </c>
    </row>
    <row r="15" ht="25.5" customHeight="1" s="187">
      <c r="A15" s="219" t="n"/>
      <c r="B15" s="13" t="n"/>
      <c r="C15" s="13" t="inlineStr">
        <is>
          <t>ИТОГО ТЕХНОЛОГИЧЕСКОЕ ОБОРУДОВАНИЕ</t>
        </is>
      </c>
      <c r="D15" s="13" t="n"/>
      <c r="E15" s="14" t="n"/>
      <c r="F15" s="221" t="n"/>
      <c r="G15" s="99">
        <f>SUM(G14:G14)</f>
        <v/>
      </c>
    </row>
    <row r="16" ht="19.5" customHeight="1" s="187">
      <c r="A16" s="219" t="n"/>
      <c r="B16" s="218" t="n"/>
      <c r="C16" s="218" t="inlineStr">
        <is>
          <t>Всего по разделу «Оборудование»</t>
        </is>
      </c>
      <c r="D16" s="218" t="n"/>
      <c r="E16" s="237" t="n"/>
      <c r="F16" s="221" t="n"/>
      <c r="G16" s="99">
        <f>G12+G15</f>
        <v/>
      </c>
    </row>
    <row r="17">
      <c r="A17" s="181" t="n"/>
      <c r="B17" s="12" t="n"/>
      <c r="C17" s="181" t="n"/>
      <c r="D17" s="181" t="n"/>
      <c r="E17" s="181" t="n"/>
      <c r="F17" s="181" t="n"/>
      <c r="G17" s="181" t="n"/>
    </row>
    <row r="18" s="187">
      <c r="A18" s="179" t="inlineStr">
        <is>
          <t>Составил ______________________        Е.А. Князева</t>
        </is>
      </c>
      <c r="B18" s="180" t="n"/>
      <c r="C18" s="180" t="n"/>
      <c r="D18" s="181" t="n"/>
      <c r="E18" s="181" t="n"/>
      <c r="F18" s="181" t="n"/>
      <c r="G18" s="181" t="n"/>
    </row>
    <row r="19" s="187">
      <c r="A19" s="182" t="inlineStr">
        <is>
          <t xml:space="preserve">                         (подпись, инициалы, фамилия)</t>
        </is>
      </c>
      <c r="B19" s="180" t="n"/>
      <c r="C19" s="180" t="n"/>
      <c r="D19" s="181" t="n"/>
      <c r="E19" s="181" t="n"/>
      <c r="F19" s="181" t="n"/>
      <c r="G19" s="181" t="n"/>
    </row>
    <row r="20" s="187">
      <c r="A20" s="179" t="n"/>
      <c r="B20" s="180" t="n"/>
      <c r="C20" s="180" t="n"/>
      <c r="D20" s="181" t="n"/>
      <c r="E20" s="181" t="n"/>
      <c r="F20" s="181" t="n"/>
      <c r="G20" s="181" t="n"/>
    </row>
    <row r="21" s="187">
      <c r="A21" s="179" t="inlineStr">
        <is>
          <t>Проверил ______________________        А.В. Костянецкая</t>
        </is>
      </c>
      <c r="B21" s="180" t="n"/>
      <c r="C21" s="180" t="n"/>
      <c r="D21" s="181" t="n"/>
      <c r="E21" s="181" t="n"/>
      <c r="F21" s="181" t="n"/>
      <c r="G21" s="181" t="n"/>
    </row>
    <row r="22" s="187">
      <c r="A22" s="182" t="inlineStr">
        <is>
          <t xml:space="preserve">                        (подпись, инициалы, фамилия)</t>
        </is>
      </c>
      <c r="B22" s="180" t="n"/>
      <c r="C22" s="180" t="n"/>
      <c r="D22" s="181" t="n"/>
      <c r="E22" s="181" t="n"/>
      <c r="F22" s="181" t="n"/>
      <c r="G22" s="181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87" min="1" max="1"/>
    <col width="22.42578125" customWidth="1" style="187" min="2" max="2"/>
    <col width="37.140625" customWidth="1" style="187" min="3" max="3"/>
    <col width="49" customWidth="1" style="187" min="4" max="4"/>
    <col width="9.140625" customWidth="1" style="187" min="5" max="5"/>
  </cols>
  <sheetData>
    <row r="1" ht="15.75" customHeight="1" s="187">
      <c r="A1" s="189" t="n"/>
      <c r="B1" s="189" t="n"/>
      <c r="C1" s="189" t="n"/>
      <c r="D1" s="189" t="inlineStr">
        <is>
          <t>Приложение №7</t>
        </is>
      </c>
    </row>
    <row r="2" ht="15.75" customHeight="1" s="187">
      <c r="A2" s="189" t="n"/>
      <c r="B2" s="189" t="n"/>
      <c r="C2" s="189" t="n"/>
      <c r="D2" s="189" t="n"/>
    </row>
    <row r="3" ht="15.75" customHeight="1" s="187">
      <c r="A3" s="189" t="n"/>
      <c r="B3" s="173" t="inlineStr">
        <is>
          <t>Расчет показателя УНЦ</t>
        </is>
      </c>
      <c r="C3" s="189" t="n"/>
      <c r="D3" s="189" t="n"/>
    </row>
    <row r="4" ht="15.75" customHeight="1" s="187">
      <c r="A4" s="189" t="n"/>
      <c r="B4" s="189" t="n"/>
      <c r="C4" s="189" t="n"/>
      <c r="D4" s="189" t="n"/>
    </row>
    <row r="5" ht="31.5" customHeight="1" s="187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ОБ'!D6:J6</f>
        <v/>
      </c>
    </row>
    <row r="6" ht="15.75" customHeight="1" s="187">
      <c r="A6" s="189" t="inlineStr">
        <is>
          <t>Единица измерения  — 1 ед</t>
        </is>
      </c>
      <c r="B6" s="189" t="n"/>
      <c r="C6" s="189" t="n"/>
      <c r="D6" s="189" t="n"/>
    </row>
    <row r="7" ht="15.75" customHeight="1" s="187">
      <c r="A7" s="189" t="n"/>
      <c r="B7" s="189" t="n"/>
      <c r="C7" s="189" t="n"/>
      <c r="D7" s="189" t="n"/>
    </row>
    <row r="8">
      <c r="A8" s="210" t="inlineStr">
        <is>
          <t>Код показателя</t>
        </is>
      </c>
      <c r="B8" s="210" t="inlineStr">
        <is>
          <t>Наименование показателя</t>
        </is>
      </c>
      <c r="C8" s="210" t="inlineStr">
        <is>
          <t>Наименование РМ, входящих в состав показателя</t>
        </is>
      </c>
      <c r="D8" s="210" t="inlineStr">
        <is>
          <t>Норматив цены на 01.01.2023, тыс.руб.</t>
        </is>
      </c>
    </row>
    <row r="9">
      <c r="A9" s="255" t="n"/>
      <c r="B9" s="255" t="n"/>
      <c r="C9" s="255" t="n"/>
      <c r="D9" s="255" t="n"/>
    </row>
    <row r="10" ht="15.75" customHeight="1" s="187">
      <c r="A10" s="210" t="n">
        <v>1</v>
      </c>
      <c r="B10" s="210" t="n">
        <v>2</v>
      </c>
      <c r="C10" s="210" t="n">
        <v>3</v>
      </c>
      <c r="D10" s="210" t="n">
        <v>4</v>
      </c>
    </row>
    <row r="11" ht="63" customHeight="1" s="187">
      <c r="A11" s="210" t="inlineStr">
        <is>
          <t>И4-01</t>
        </is>
      </c>
      <c r="B11" s="210" t="inlineStr">
        <is>
          <t xml:space="preserve">УНЦ бакового выключателя 35 кВ с устройством фундаментов </t>
        </is>
      </c>
      <c r="C11" s="177">
        <f>D5</f>
        <v/>
      </c>
      <c r="D11" s="195">
        <f>'Прил.4 РМ'!C41/1000</f>
        <v/>
      </c>
    </row>
    <row r="13">
      <c r="A13" s="179" t="inlineStr">
        <is>
          <t>Составил ______________________        Е.А. Князева</t>
        </is>
      </c>
      <c r="B13" s="180" t="n"/>
      <c r="C13" s="180" t="n"/>
      <c r="D13" s="181" t="n"/>
    </row>
    <row r="14">
      <c r="A14" s="182" t="inlineStr">
        <is>
          <t xml:space="preserve">                         (подпись, инициалы, фамилия)</t>
        </is>
      </c>
      <c r="B14" s="180" t="n"/>
      <c r="C14" s="180" t="n"/>
      <c r="D14" s="181" t="n"/>
    </row>
    <row r="15">
      <c r="A15" s="179" t="n"/>
      <c r="B15" s="180" t="n"/>
      <c r="C15" s="180" t="n"/>
      <c r="D15" s="181" t="n"/>
    </row>
    <row r="16">
      <c r="A16" s="179" t="inlineStr">
        <is>
          <t>Проверил ______________________        А.В. Костянецкая</t>
        </is>
      </c>
      <c r="B16" s="180" t="n"/>
      <c r="C16" s="180" t="n"/>
      <c r="D16" s="181" t="n"/>
    </row>
    <row r="17" ht="20.25" customHeight="1" s="187">
      <c r="A17" s="182" t="inlineStr">
        <is>
          <t xml:space="preserve">                        (подпись, инициалы, фамилия)</t>
        </is>
      </c>
      <c r="B17" s="180" t="n"/>
      <c r="C17" s="180" t="n"/>
      <c r="D17" s="18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100" workbookViewId="0">
      <selection activeCell="C24" sqref="C24"/>
    </sheetView>
  </sheetViews>
  <sheetFormatPr baseColWidth="8" defaultRowHeight="15"/>
  <cols>
    <col width="40.7109375" customWidth="1" style="187" min="2" max="2"/>
    <col width="37" customWidth="1" style="187" min="3" max="3"/>
    <col width="32" customWidth="1" style="187" min="4" max="4"/>
  </cols>
  <sheetData>
    <row r="4" ht="15.75" customHeight="1" s="187">
      <c r="B4" s="206" t="inlineStr">
        <is>
          <t>Приложение № 10</t>
        </is>
      </c>
    </row>
    <row r="5" ht="18.75" customHeight="1" s="187">
      <c r="B5" s="22" t="n"/>
    </row>
    <row r="6" ht="15.75" customHeight="1" s="187">
      <c r="B6" s="207" t="inlineStr">
        <is>
          <t>Используемые индексы изменений сметной стоимости и нормы сопутствующих затрат</t>
        </is>
      </c>
    </row>
    <row r="7">
      <c r="B7" s="242" t="n"/>
    </row>
    <row r="8" ht="47.25" customHeight="1" s="187">
      <c r="B8" s="210" t="inlineStr">
        <is>
          <t>Наименование индекса / норм сопутствующих затрат</t>
        </is>
      </c>
      <c r="C8" s="210" t="inlineStr">
        <is>
          <t>Дата применения и обоснование индекса / норм сопутствующих затрат</t>
        </is>
      </c>
      <c r="D8" s="210" t="inlineStr">
        <is>
          <t>Размер индекса / норма сопутствующих затрат</t>
        </is>
      </c>
    </row>
    <row r="9" ht="15.75" customHeight="1" s="187">
      <c r="B9" s="210" t="n">
        <v>1</v>
      </c>
      <c r="C9" s="210" t="n">
        <v>2</v>
      </c>
      <c r="D9" s="210" t="n">
        <v>3</v>
      </c>
    </row>
    <row r="10" ht="31.5" customHeight="1" s="187">
      <c r="B10" s="210" t="inlineStr">
        <is>
          <t xml:space="preserve">Индекс изменения сметной стоимости на 1 квартал 2023 года. ОЗП </t>
        </is>
      </c>
      <c r="C10" s="210" t="inlineStr">
        <is>
          <t>Письмо Минстроя России от 30.03.2023г. №17106-ИФ/09  прил.1</t>
        </is>
      </c>
      <c r="D10" s="210" t="n">
        <v>44.29</v>
      </c>
    </row>
    <row r="11" ht="31.5" customHeight="1" s="187">
      <c r="B11" s="210" t="inlineStr">
        <is>
          <t>Индекс изменения сметной стоимости на 1 квартал 2023 года. ЭМ</t>
        </is>
      </c>
      <c r="C11" s="210" t="inlineStr">
        <is>
          <t>Письмо Минстроя России от 30.03.2023г. №17106-ИФ/09  прил.1</t>
        </is>
      </c>
      <c r="D11" s="210" t="n">
        <v>13.47</v>
      </c>
    </row>
    <row r="12" ht="31.5" customHeight="1" s="187">
      <c r="B12" s="210" t="inlineStr">
        <is>
          <t>Индекс изменения сметной стоимости на 1 квартал 2023 года. МАТ</t>
        </is>
      </c>
      <c r="C12" s="210" t="inlineStr">
        <is>
          <t>Письмо Минстроя России от 30.03.2023г. №17106-ИФ/09  прил.1</t>
        </is>
      </c>
      <c r="D12" s="210" t="n">
        <v>8.039999999999999</v>
      </c>
    </row>
    <row r="13" ht="31.5" customHeight="1" s="187">
      <c r="B13" s="210" t="inlineStr">
        <is>
          <t>Индекс изменения сметной стоимости на 1 квартал 2023 года. ОБ</t>
        </is>
      </c>
      <c r="C13" s="184" t="inlineStr">
        <is>
          <t>Письмо Минстроя России от 23.02.2023г. №9791-ИФ/09 прил.6</t>
        </is>
      </c>
      <c r="D13" s="210" t="n">
        <v>6.26</v>
      </c>
    </row>
    <row r="14" ht="78.75" customHeight="1" s="187">
      <c r="B14" s="210" t="inlineStr">
        <is>
          <t>Временные здания и сооружения</t>
        </is>
      </c>
      <c r="C14" s="210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85" t="n">
        <v>0.039</v>
      </c>
    </row>
    <row r="15" ht="78.75" customHeight="1" s="187">
      <c r="B15" s="210" t="inlineStr">
        <is>
          <t>Дополнительные затраты при производстве строительно-монтажных работ в зимнее время</t>
        </is>
      </c>
      <c r="C15" s="210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85" t="n">
        <v>0.021</v>
      </c>
    </row>
    <row r="16" ht="15.75" customHeight="1" s="187">
      <c r="B16" s="210" t="inlineStr">
        <is>
          <t>Пусконаладочные работы</t>
        </is>
      </c>
      <c r="C16" s="210" t="n"/>
      <c r="D16" s="210" t="inlineStr">
        <is>
          <t>расчет</t>
        </is>
      </c>
    </row>
    <row r="17" ht="31.5" customHeight="1" s="187">
      <c r="B17" s="210" t="inlineStr">
        <is>
          <t>Строительный контроль</t>
        </is>
      </c>
      <c r="C17" s="210" t="inlineStr">
        <is>
          <t>Постановление Правительства РФ от 21.06.10 г. № 468</t>
        </is>
      </c>
      <c r="D17" s="185" t="n">
        <v>0.0214</v>
      </c>
    </row>
    <row r="18" ht="31.5" customHeight="1" s="187">
      <c r="B18" s="210" t="inlineStr">
        <is>
          <t>Авторский надзор</t>
        </is>
      </c>
      <c r="C18" s="210" t="inlineStr">
        <is>
          <t>Приказ от 4.08.2020 № 421/пр п.173</t>
        </is>
      </c>
      <c r="D18" s="185" t="n">
        <v>0.002</v>
      </c>
    </row>
    <row r="19" ht="24" customHeight="1" s="187">
      <c r="B19" s="210" t="inlineStr">
        <is>
          <t>Непредвиденные расходы</t>
        </is>
      </c>
      <c r="C19" s="210" t="inlineStr">
        <is>
          <t>Приказ от 4.08.2020 № 421/пр п.179</t>
        </is>
      </c>
      <c r="D19" s="185" t="n">
        <v>0.03</v>
      </c>
    </row>
    <row r="20" ht="18.75" customHeight="1" s="187">
      <c r="B20" s="23" t="n"/>
    </row>
    <row r="21" ht="18.75" customHeight="1" s="187">
      <c r="B21" s="23" t="n"/>
    </row>
    <row r="22" ht="18.75" customHeight="1" s="187">
      <c r="B22" s="23" t="n"/>
    </row>
    <row r="23" ht="18.75" customHeight="1" s="187">
      <c r="B23" s="23" t="n"/>
    </row>
    <row r="26">
      <c r="B26" s="179" t="inlineStr">
        <is>
          <t>Составил ______________________        Е.А. Князева</t>
        </is>
      </c>
      <c r="C26" s="180" t="n"/>
    </row>
    <row r="27">
      <c r="B27" s="182" t="inlineStr">
        <is>
          <t xml:space="preserve">                         (подпись, инициалы, фамилия)</t>
        </is>
      </c>
      <c r="C27" s="180" t="n"/>
    </row>
    <row r="28">
      <c r="B28" s="179" t="n"/>
      <c r="C28" s="180" t="n"/>
    </row>
    <row r="29">
      <c r="B29" s="179" t="inlineStr">
        <is>
          <t>Проверил ______________________        А.В. Костянецкая</t>
        </is>
      </c>
      <c r="C29" s="180" t="n"/>
    </row>
    <row r="30">
      <c r="B30" s="182" t="inlineStr">
        <is>
          <t xml:space="preserve">                        (подпись, инициалы, фамилия)</t>
        </is>
      </c>
      <c r="C30" s="18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87" min="2" max="2"/>
    <col width="13" customWidth="1" style="187" min="3" max="3"/>
    <col width="22.85546875" customWidth="1" style="187" min="4" max="4"/>
    <col width="21.5703125" customWidth="1" style="187" min="5" max="5"/>
    <col width="53.7109375" bestFit="1" customWidth="1" style="187" min="6" max="6"/>
  </cols>
  <sheetData>
    <row r="1" s="187"/>
    <row r="2" ht="17.25" customHeight="1" s="187">
      <c r="A2" s="207" t="inlineStr">
        <is>
          <t>Расчет размера средств на оплату труда рабочих-строителей в текущем уровне цен (ФОТр.тек.)</t>
        </is>
      </c>
    </row>
    <row r="3" s="187"/>
    <row r="4" ht="18" customHeight="1" s="187">
      <c r="A4" s="188" t="inlineStr">
        <is>
          <t>Составлен в уровне цен на 01.01.2023 г.</t>
        </is>
      </c>
      <c r="B4" s="189" t="n"/>
      <c r="C4" s="189" t="n"/>
      <c r="D4" s="189" t="n"/>
      <c r="E4" s="189" t="n"/>
      <c r="F4" s="189" t="n"/>
      <c r="G4" s="189" t="n"/>
    </row>
    <row r="5" ht="15.75" customHeight="1" s="187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89" t="n"/>
    </row>
    <row r="6" ht="15.75" customHeight="1" s="187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89" t="n"/>
    </row>
    <row r="7" ht="110.25" customHeight="1" s="187">
      <c r="A7" s="191" t="inlineStr">
        <is>
          <t>1.1</t>
        </is>
      </c>
      <c r="B7" s="19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0" t="inlineStr">
        <is>
          <t>С1ср</t>
        </is>
      </c>
      <c r="D7" s="210" t="inlineStr">
        <is>
          <t>-</t>
        </is>
      </c>
      <c r="E7" s="194" t="n">
        <v>47872.94</v>
      </c>
      <c r="F7" s="19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9" t="n"/>
    </row>
    <row r="8" ht="31.5" customHeight="1" s="187">
      <c r="A8" s="191" t="inlineStr">
        <is>
          <t>1.2</t>
        </is>
      </c>
      <c r="B8" s="196" t="inlineStr">
        <is>
          <t>Среднегодовое нормативное число часов работы одного рабочего в месяц, часы (ч.)</t>
        </is>
      </c>
      <c r="C8" s="210" t="inlineStr">
        <is>
          <t>tср</t>
        </is>
      </c>
      <c r="D8" s="210" t="inlineStr">
        <is>
          <t>1973ч/12мес.</t>
        </is>
      </c>
      <c r="E8" s="195">
        <f>1973/12</f>
        <v/>
      </c>
      <c r="F8" s="196" t="inlineStr">
        <is>
          <t>Производственный календарь 2023 год
(40-часов.неделя)</t>
        </is>
      </c>
      <c r="G8" s="198" t="n"/>
    </row>
    <row r="9" ht="15.75" customHeight="1" s="187">
      <c r="A9" s="191" t="inlineStr">
        <is>
          <t>1.3</t>
        </is>
      </c>
      <c r="B9" s="196" t="inlineStr">
        <is>
          <t>Коэффициент увеличения</t>
        </is>
      </c>
      <c r="C9" s="210" t="inlineStr">
        <is>
          <t>Кув</t>
        </is>
      </c>
      <c r="D9" s="210" t="inlineStr">
        <is>
          <t>-</t>
        </is>
      </c>
      <c r="E9" s="195" t="n">
        <v>1</v>
      </c>
      <c r="F9" s="196" t="n"/>
      <c r="G9" s="198" t="n"/>
    </row>
    <row r="10" ht="15.75" customHeight="1" s="187">
      <c r="A10" s="191" t="inlineStr">
        <is>
          <t>1.4</t>
        </is>
      </c>
      <c r="B10" s="196" t="inlineStr">
        <is>
          <t>Средний разряд работ</t>
        </is>
      </c>
      <c r="C10" s="210" t="n"/>
      <c r="D10" s="210" t="n"/>
      <c r="E10" s="270" t="n">
        <v>3.9</v>
      </c>
      <c r="F10" s="196" t="inlineStr">
        <is>
          <t>РТМ</t>
        </is>
      </c>
      <c r="G10" s="198" t="n"/>
    </row>
    <row r="11" ht="78.75" customHeight="1" s="187">
      <c r="A11" s="191" t="inlineStr">
        <is>
          <t>1.5</t>
        </is>
      </c>
      <c r="B11" s="196" t="inlineStr">
        <is>
          <t>Тарифный коэффициент среднего разряда работ</t>
        </is>
      </c>
      <c r="C11" s="210" t="inlineStr">
        <is>
          <t>КТ</t>
        </is>
      </c>
      <c r="D11" s="210" t="inlineStr">
        <is>
          <t>-</t>
        </is>
      </c>
      <c r="E11" s="271" t="n">
        <v>1.324</v>
      </c>
      <c r="F11" s="19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9" t="n"/>
    </row>
    <row r="12" ht="78.75" customHeight="1" s="187">
      <c r="A12" s="201" t="inlineStr">
        <is>
          <t>1.6</t>
        </is>
      </c>
      <c r="B12" s="243" t="inlineStr">
        <is>
          <t>Коэффициент инфляции, определяемый поквартально</t>
        </is>
      </c>
      <c r="C12" s="202" t="inlineStr">
        <is>
          <t>Кинф</t>
        </is>
      </c>
      <c r="D12" s="202" t="inlineStr">
        <is>
          <t>-</t>
        </is>
      </c>
      <c r="E12" s="272" t="n">
        <v>1.139</v>
      </c>
      <c r="F12" s="24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7">
      <c r="A13" s="246" t="inlineStr">
        <is>
          <t>1.7</t>
        </is>
      </c>
      <c r="B13" s="247" t="inlineStr">
        <is>
          <t>Размер средств на оплату труда рабочих-строителей в текущем уровне цен (ФОТр.тек.), руб/чел.-ч</t>
        </is>
      </c>
      <c r="C13" s="248" t="inlineStr">
        <is>
          <t>ФОТр.тек.</t>
        </is>
      </c>
      <c r="D13" s="248" t="inlineStr">
        <is>
          <t>(С1ср/tср*КТ*Т*Кув)*Кинф</t>
        </is>
      </c>
      <c r="E13" s="249">
        <f>((E7*E9/E8)*E11)*E12</f>
        <v/>
      </c>
      <c r="F13" s="2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2025-01-24T12:02:05Z</dcterms:modified>
  <cp:lastModifiedBy>Николай Трофименко</cp:lastModifiedBy>
  <cp:lastPrinted>2023-11-29T14:16:22Z</cp:lastPrinted>
</cp:coreProperties>
</file>