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160" windowHeight="8760" tabRatio="856" firstSheet="5" autoFilterDateGrouping="1"/>
  </bookViews>
  <sheets>
    <sheet name="Прил.1 Сравнит табл " sheetId="1" state="visible" r:id="rId1"/>
    <sheet name="Прил.2 Расч стоим 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 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 '!n_3=1,'Прил.1 Сравнит табл '!n_2,'Прил.1 Сравнит табл '!n_3&amp;'Прил.1 Сравнит табл '!n_1)</definedName>
    <definedName name="n1x" localSheetId="0">IF('Прил.1 Сравнит табл '!n_3=1,'Прил.1 Сравнит табл '!n_2,'Прил.1 Сравнит табл '!n_3&amp;'Прил.1 Сравнит табл 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 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 '!n_3=1,'Прил.2 Расч стоим '!n_2,'Прил.2 Расч стоим '!n_3&amp;'Прил.2 Расч стоим '!n_1)</definedName>
    <definedName name="n1x" localSheetId="1">IF('Прил.2 Расч стоим '!n_3=1,'Прил.2 Расч стоим '!n_2,'Прил.2 Расч стоим '!n_3&amp;'Прил.2 Расч стоим 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4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00"/>
      <sz val="11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22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4" fontId="17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3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4" fillId="0" borderId="1" applyAlignment="1" pivotButton="0" quotePrefix="0" xfId="0">
      <alignment horizontal="center" vertical="center" wrapText="1"/>
    </xf>
    <xf numFmtId="2" fontId="24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4" fillId="0" borderId="1" applyAlignment="1" pivotButton="0" quotePrefix="0" xfId="0">
      <alignment vertical="center" wrapText="1"/>
    </xf>
    <xf numFmtId="0" fontId="25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0" borderId="5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8" fillId="0" borderId="1" applyAlignment="1" pivotButton="0" quotePrefix="0" xfId="0">
      <alignment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 wrapText="1"/>
    </xf>
    <xf numFmtId="0" fontId="15" fillId="5" borderId="6" applyAlignment="1" pivotButton="0" quotePrefix="0" xfId="0">
      <alignment horizontal="center" vertical="center" wrapText="1"/>
    </xf>
    <xf numFmtId="0" fontId="15" fillId="5" borderId="7" applyAlignment="1" pivotButton="0" quotePrefix="0" xfId="0">
      <alignment horizontal="center" vertical="center" wrapText="1"/>
    </xf>
    <xf numFmtId="0" fontId="15" fillId="5" borderId="8" applyAlignment="1" pivotButton="0" quotePrefix="0" xfId="0">
      <alignment horizontal="center" vertical="center" wrapText="1"/>
    </xf>
    <xf numFmtId="0" fontId="15" fillId="5" borderId="9" applyAlignment="1" pivotButton="0" quotePrefix="0" xfId="0">
      <alignment horizontal="center" vertical="center" wrapText="1"/>
    </xf>
    <xf numFmtId="0" fontId="15" fillId="5" borderId="0" applyAlignment="1" pivotButton="0" quotePrefix="0" xfId="0">
      <alignment horizontal="center" vertical="center" wrapText="1"/>
    </xf>
    <xf numFmtId="0" fontId="15" fillId="5" borderId="10" applyAlignment="1" pivotButton="0" quotePrefix="0" xfId="0">
      <alignment horizontal="center" vertical="center" wrapText="1"/>
    </xf>
    <xf numFmtId="0" fontId="15" fillId="5" borderId="3" applyAlignment="1" pivotButton="0" quotePrefix="0" xfId="0">
      <alignment horizontal="center" vertical="center" wrapText="1"/>
    </xf>
    <xf numFmtId="0" fontId="15" fillId="5" borderId="11" applyAlignment="1" pivotButton="0" quotePrefix="0" xfId="0">
      <alignment horizontal="center" vertical="center" wrapText="1"/>
    </xf>
    <xf numFmtId="0" fontId="15" fillId="5" borderId="12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11" applyAlignment="1" pivotButton="0" quotePrefix="0" xfId="0">
      <alignment horizontal="left" vertical="center" wrapText="1"/>
    </xf>
    <xf numFmtId="49" fontId="2" fillId="0" borderId="13" applyAlignment="1" pivotButton="0" quotePrefix="0" xfId="0">
      <alignment horizontal="left" vertical="center" wrapText="1"/>
    </xf>
    <xf numFmtId="49" fontId="2" fillId="0" borderId="14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5" zoomScale="70" zoomScaleNormal="70" zoomScaleSheetLayoutView="70" workbookViewId="0">
      <selection activeCell="D25" sqref="D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27" t="inlineStr">
        <is>
          <t>Приложение № 1</t>
        </is>
      </c>
    </row>
    <row r="4" ht="18.75" customHeight="1">
      <c r="B4" s="228" t="inlineStr">
        <is>
          <t>Сравнительная таблица отбора объекта-представителя</t>
        </is>
      </c>
    </row>
    <row r="5" ht="84" customHeight="1">
      <c r="B5" s="2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26" t="inlineStr">
        <is>
          <t>Наименование разрабатываемого показателя УНЦ — ТТ на три фазы с устройством фундамента напряжение 6-15 кВ</t>
        </is>
      </c>
    </row>
    <row r="8" ht="31.5" customHeight="1">
      <c r="B8" s="226" t="inlineStr">
        <is>
          <t>Сопоставимый уровень цен: 4 квартал 2016 г</t>
        </is>
      </c>
    </row>
    <row r="9" ht="15.75" customHeight="1">
      <c r="B9" s="226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</row>
    <row r="12" ht="41.25" customHeight="1">
      <c r="B12" s="241" t="n">
        <v>1</v>
      </c>
      <c r="C12" s="119" t="inlineStr">
        <is>
          <t>Наименование объекта-представителя</t>
        </is>
      </c>
      <c r="D12" s="241" t="inlineStr">
        <is>
          <t>ПС 500/220/110 кВ Бескудниково</t>
        </is>
      </c>
    </row>
    <row r="13" ht="31.5" customHeight="1">
      <c r="B13" s="241" t="n">
        <v>2</v>
      </c>
      <c r="C13" s="119" t="inlineStr">
        <is>
          <t>Наименование субъекта Российской Федерации</t>
        </is>
      </c>
      <c r="D13" s="241" t="inlineStr">
        <is>
          <t>Москва</t>
        </is>
      </c>
    </row>
    <row r="14" ht="15.75" customHeight="1">
      <c r="B14" s="241" t="n">
        <v>3</v>
      </c>
      <c r="C14" s="119" t="inlineStr">
        <is>
          <t>Климатический район и подрайон</t>
        </is>
      </c>
      <c r="D14" s="168" t="inlineStr">
        <is>
          <t>II</t>
        </is>
      </c>
    </row>
    <row r="15" ht="15.75" customHeight="1">
      <c r="B15" s="241" t="n">
        <v>4</v>
      </c>
      <c r="C15" s="119" t="inlineStr">
        <is>
          <t>Мощность объекта</t>
        </is>
      </c>
      <c r="D15" s="241" t="n">
        <v>2</v>
      </c>
    </row>
    <row r="16" ht="107.25" customHeight="1">
      <c r="B16" s="241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Трансформатор тока 10 кВ</t>
        </is>
      </c>
    </row>
    <row r="17" ht="95.25" customHeight="1">
      <c r="B17" s="241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'Прил.2 Расч стоим '!J12</f>
        <v/>
      </c>
    </row>
    <row r="18" ht="15.75" customHeight="1">
      <c r="B18" s="206" t="inlineStr">
        <is>
          <t>6.1</t>
        </is>
      </c>
      <c r="C18" s="119" t="inlineStr">
        <is>
          <t>строительно-монтажные работы</t>
        </is>
      </c>
      <c r="D18" s="200">
        <f>'Прил.2 Расч стоим '!G14</f>
        <v/>
      </c>
    </row>
    <row r="19" ht="15.75" customHeight="1">
      <c r="B19" s="206" t="inlineStr">
        <is>
          <t>6.2</t>
        </is>
      </c>
      <c r="C19" s="119" t="inlineStr">
        <is>
          <t>оборудование и инвентарь</t>
        </is>
      </c>
      <c r="D19" s="200">
        <f>'Прил.2 Расч стоим '!H14</f>
        <v/>
      </c>
    </row>
    <row r="20" ht="15.75" customHeight="1">
      <c r="B20" s="206" t="inlineStr">
        <is>
          <t>6.3</t>
        </is>
      </c>
      <c r="C20" s="119" t="inlineStr">
        <is>
          <t>пусконаладочные работы</t>
        </is>
      </c>
      <c r="D20" s="200">
        <f>D19*0.8*7%</f>
        <v/>
      </c>
    </row>
    <row r="21" ht="19.5" customHeight="1">
      <c r="B21" s="206" t="inlineStr">
        <is>
          <t>6.4</t>
        </is>
      </c>
      <c r="C21" s="119" t="inlineStr">
        <is>
          <t>прочие и лимитированные затраты</t>
        </is>
      </c>
      <c r="D21" s="200">
        <f>D17-D18-D19-D20</f>
        <v/>
      </c>
    </row>
    <row r="22" ht="15.75" customHeight="1">
      <c r="B22" s="241" t="n">
        <v>7</v>
      </c>
      <c r="C22" s="119" t="inlineStr">
        <is>
          <t>Сопоставимый уровень цен</t>
        </is>
      </c>
      <c r="D22" s="206" t="inlineStr">
        <is>
          <t>4 квартал 2016 г</t>
        </is>
      </c>
    </row>
    <row r="23" ht="125.25" customHeight="1">
      <c r="B23" s="241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</row>
    <row r="24" ht="61.5" customHeight="1">
      <c r="B24" s="241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0">
        <f>D23/2</f>
        <v/>
      </c>
    </row>
    <row r="25" ht="37.5" customHeight="1">
      <c r="B25" s="122" t="n"/>
      <c r="C25" s="123" t="n"/>
      <c r="D25" s="123" t="n"/>
    </row>
    <row r="26">
      <c r="B26" s="193" t="inlineStr">
        <is>
          <t>Составил ______________________        Е. М. Добровольская</t>
        </is>
      </c>
      <c r="C26" s="198" t="n"/>
    </row>
    <row r="27">
      <c r="B27" s="197" t="inlineStr">
        <is>
          <t xml:space="preserve">                         (подпись, инициалы, фамилия)</t>
        </is>
      </c>
      <c r="C27" s="198" t="n"/>
    </row>
    <row r="28">
      <c r="B28" s="193" t="n"/>
      <c r="C28" s="198" t="n"/>
    </row>
    <row r="29">
      <c r="B29" s="193" t="inlineStr">
        <is>
          <t>Проверил ______________________        А.В. Костянецкая</t>
        </is>
      </c>
      <c r="C29" s="198" t="n"/>
    </row>
    <row r="30">
      <c r="B30" s="197" t="inlineStr">
        <is>
          <t xml:space="preserve">                        (подпись, инициалы, фамилия)</t>
        </is>
      </c>
      <c r="C30" s="198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E20" sqref="E20"/>
    </sheetView>
  </sheetViews>
  <sheetFormatPr baseColWidth="8" defaultRowHeight="15"/>
  <cols>
    <col width="5.5703125" customWidth="1" min="1" max="1"/>
    <col width="35.28515625" customWidth="1" min="3" max="3"/>
    <col width="15.85546875" customWidth="1" min="4" max="4"/>
    <col width="31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27" t="inlineStr">
        <is>
          <t>Приложение № 2</t>
        </is>
      </c>
    </row>
    <row r="4" ht="15.75" customHeight="1">
      <c r="B4" s="240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26" t="inlineStr">
        <is>
          <t>Наименование разрабатываемого показателя УНЦ - ТТ на три фазы с устройством фундамента напряжение 6-15 кВ</t>
        </is>
      </c>
    </row>
    <row r="7" ht="15.75" customHeight="1">
      <c r="B7" s="226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>
      <c r="B10" s="322" t="n"/>
      <c r="C10" s="322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2016 г., тыс. руб.</t>
        </is>
      </c>
      <c r="G10" s="320" t="n"/>
      <c r="H10" s="320" t="n"/>
      <c r="I10" s="320" t="n"/>
      <c r="J10" s="321" t="n"/>
    </row>
    <row r="11" ht="31.5" customHeight="1">
      <c r="B11" s="323" t="n"/>
      <c r="C11" s="323" t="n"/>
      <c r="D11" s="323" t="n"/>
      <c r="E11" s="323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09.5" customFormat="1" customHeight="1" s="205">
      <c r="B12" s="201" t="n">
        <v>1</v>
      </c>
      <c r="C12" s="241" t="inlineStr">
        <is>
          <t>Трансформатор тока 10 кВ</t>
        </is>
      </c>
      <c r="D12" s="206" t="inlineStr">
        <is>
          <t>ЛС 02-01-04, 
ЛС 02-02-04,
ЛС 02-03-04</t>
        </is>
      </c>
      <c r="E12" s="207" t="inlineStr">
        <is>
          <t xml:space="preserve"> Монтаж оборудования в здании КРУЭ 500 кВ; Монтаж оборудования в здании КРУЭ 220-110 кВ; Монтаж  оборудования 20, 10  и 6,3 кВ в здании ЗРУ 20  и 10 кВ</t>
        </is>
      </c>
      <c r="F12" s="203" t="n"/>
      <c r="G12" s="203">
        <f>46286*6.91/1000</f>
        <v/>
      </c>
      <c r="H12" s="203">
        <f>97240*4.28/1000</f>
        <v/>
      </c>
      <c r="I12" s="203">
        <f>38.578*6.91</f>
        <v/>
      </c>
      <c r="J12" s="204">
        <f>SUM(F12:I12)</f>
        <v/>
      </c>
    </row>
    <row r="13" ht="15.75" customHeight="1">
      <c r="B13" s="239" t="inlineStr">
        <is>
          <t>Всего по объекту:</t>
        </is>
      </c>
      <c r="C13" s="320" t="n"/>
      <c r="D13" s="320" t="n"/>
      <c r="E13" s="321" t="n"/>
      <c r="F13" s="208">
        <f>F12</f>
        <v/>
      </c>
      <c r="G13" s="208">
        <f>G12</f>
        <v/>
      </c>
      <c r="H13" s="208">
        <f>H12</f>
        <v/>
      </c>
      <c r="I13" s="208">
        <f>I12</f>
        <v/>
      </c>
      <c r="J13" s="208">
        <f>J12</f>
        <v/>
      </c>
    </row>
    <row r="14" ht="28.5" customHeight="1">
      <c r="B14" s="239" t="inlineStr">
        <is>
          <t>Всего по объекту в сопоставимом уровне цен 4 кв. 2016 г:</t>
        </is>
      </c>
      <c r="C14" s="320" t="n"/>
      <c r="D14" s="320" t="n"/>
      <c r="E14" s="321" t="n"/>
      <c r="F14" s="208">
        <f>F13</f>
        <v/>
      </c>
      <c r="G14" s="208">
        <f>G13</f>
        <v/>
      </c>
      <c r="H14" s="208">
        <f>H13</f>
        <v/>
      </c>
      <c r="I14" s="208">
        <f>I13</f>
        <v/>
      </c>
      <c r="J14" s="208">
        <f>J13</f>
        <v/>
      </c>
    </row>
    <row r="15" ht="18.75" customHeight="1">
      <c r="B15" s="117" t="n"/>
    </row>
    <row r="18">
      <c r="C18" s="193" t="inlineStr">
        <is>
          <t>Составил ______________________        Е. М. Добровольская</t>
        </is>
      </c>
      <c r="D18" s="198" t="n"/>
    </row>
    <row r="19">
      <c r="C19" s="197" t="inlineStr">
        <is>
          <t xml:space="preserve">                         (подпись, инициалы, фамилия)</t>
        </is>
      </c>
      <c r="D19" s="198" t="n"/>
    </row>
    <row r="20">
      <c r="C20" s="193" t="n"/>
      <c r="D20" s="198" t="n"/>
    </row>
    <row r="21">
      <c r="C21" s="193" t="inlineStr">
        <is>
          <t>Проверил ______________________        А.В. Костянецкая</t>
        </is>
      </c>
      <c r="D21" s="198" t="n"/>
    </row>
    <row r="22">
      <c r="C22" s="197" t="inlineStr">
        <is>
          <t xml:space="preserve">                        (подпись, инициалы, фамилия)</t>
        </is>
      </c>
      <c r="D22" s="19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5"/>
  <sheetViews>
    <sheetView view="pageBreakPreview" topLeftCell="A61" zoomScale="70" zoomScaleNormal="100" zoomScaleSheetLayoutView="70" workbookViewId="0">
      <selection activeCell="C79" sqref="C79"/>
    </sheetView>
  </sheetViews>
  <sheetFormatPr baseColWidth="8" defaultRowHeight="15"/>
  <cols>
    <col width="8.5703125" customWidth="1" min="1" max="1"/>
    <col width="12.85546875" customWidth="1" min="2" max="2"/>
    <col width="20.7109375" customWidth="1" min="3" max="3"/>
    <col width="59" customWidth="1" min="4" max="4"/>
    <col width="12.28515625" customWidth="1" min="5" max="5"/>
    <col width="19.85546875" customWidth="1" min="6" max="6"/>
    <col width="17.85546875" customWidth="1" min="7" max="7"/>
    <col width="19.42578125" customWidth="1" style="178" min="8" max="8"/>
    <col hidden="1" width="12.7109375" customWidth="1" min="9" max="9"/>
    <col hidden="1" min="10" max="10"/>
    <col hidden="1" width="10.140625" customWidth="1" min="11" max="11"/>
    <col hidden="1" min="12" max="12"/>
  </cols>
  <sheetData>
    <row r="2" ht="15.75" customHeight="1">
      <c r="A2" s="227" t="inlineStr">
        <is>
          <t xml:space="preserve">Приложение № 3 </t>
        </is>
      </c>
      <c r="I2" s="122" t="n"/>
    </row>
    <row r="3" ht="18.75" customHeight="1">
      <c r="A3" s="228" t="inlineStr">
        <is>
          <t>Объектная ресурсная ведомость</t>
        </is>
      </c>
    </row>
    <row r="4" ht="25.5" customHeight="1">
      <c r="B4" s="177" t="n"/>
      <c r="C4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60" t="n"/>
      <c r="D5" s="160" t="n"/>
      <c r="E5" s="160" t="n"/>
      <c r="F5" s="160" t="n"/>
      <c r="G5" s="160" t="n"/>
      <c r="H5" s="161" t="n"/>
    </row>
    <row r="6" ht="15" customHeight="1">
      <c r="A6" s="251" t="inlineStr">
        <is>
          <t>Наименование разрабатываемого показателя УНЦ — ТТ на три фазы с устройством фундамента напряжение 6-15 кВ</t>
        </is>
      </c>
    </row>
    <row r="7" ht="14.25" customHeight="1"/>
    <row r="8" ht="15.75" customHeight="1">
      <c r="C8" s="162" t="n"/>
      <c r="D8" s="163" t="n"/>
      <c r="E8" s="164" t="n"/>
      <c r="F8" s="165" t="n"/>
      <c r="G8" s="166" t="n"/>
      <c r="H8" s="167" t="n"/>
    </row>
    <row r="9" ht="38.25" customHeight="1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1" t="n"/>
    </row>
    <row r="10" ht="40.5" customHeight="1">
      <c r="A10" s="323" t="n"/>
      <c r="B10" s="323" t="n"/>
      <c r="C10" s="323" t="n"/>
      <c r="D10" s="323" t="n"/>
      <c r="E10" s="323" t="n"/>
      <c r="F10" s="323" t="n"/>
      <c r="G10" s="241" t="inlineStr">
        <is>
          <t>на ед.изм.</t>
        </is>
      </c>
      <c r="H10" s="241" t="inlineStr">
        <is>
          <t>общая</t>
        </is>
      </c>
    </row>
    <row r="11" ht="15.75" customHeight="1">
      <c r="A11" s="241" t="n">
        <v>1</v>
      </c>
      <c r="B11" s="168" t="n"/>
      <c r="C11" s="241" t="n">
        <v>2</v>
      </c>
      <c r="D11" s="241" t="inlineStr">
        <is>
          <t>З</t>
        </is>
      </c>
      <c r="E11" s="241" t="n">
        <v>4</v>
      </c>
      <c r="F11" s="241" t="n">
        <v>5</v>
      </c>
      <c r="G11" s="168" t="n">
        <v>6</v>
      </c>
      <c r="H11" s="168" t="n">
        <v>7</v>
      </c>
      <c r="I11" s="174">
        <f>SUM(J13:J17)/F12</f>
        <v/>
      </c>
    </row>
    <row r="12" ht="15" customHeight="1">
      <c r="A12" s="247" t="inlineStr">
        <is>
          <t>Затраты труда рабочих</t>
        </is>
      </c>
      <c r="B12" s="320" t="n"/>
      <c r="C12" s="320" t="n"/>
      <c r="D12" s="321" t="n"/>
      <c r="E12" s="169" t="n"/>
      <c r="F12" s="184">
        <f>SUM(F13:F17)</f>
        <v/>
      </c>
      <c r="G12" s="169" t="n"/>
      <c r="H12" s="185">
        <f>SUM(H13:H17)</f>
        <v/>
      </c>
    </row>
    <row r="13">
      <c r="A13" s="151" t="inlineStr">
        <is>
          <t>3</t>
        </is>
      </c>
      <c r="B13" s="151" t="n"/>
      <c r="C13" s="151" t="inlineStr">
        <is>
          <t>1-4-1</t>
        </is>
      </c>
      <c r="D13" s="257" t="inlineStr">
        <is>
          <t>Затраты труда рабочих (ср 4,1)</t>
        </is>
      </c>
      <c r="E13" s="258" t="inlineStr">
        <is>
          <t>чел.-ч</t>
        </is>
      </c>
      <c r="F13" s="272" t="n">
        <v>15.6180416</v>
      </c>
      <c r="G13" s="272" t="n">
        <v>9.76</v>
      </c>
      <c r="H13" s="32">
        <f>ROUND(F13*G13,2)</f>
        <v/>
      </c>
      <c r="I13" t="n">
        <v>4.1</v>
      </c>
      <c r="J13" s="174">
        <f>F13*I13</f>
        <v/>
      </c>
      <c r="L13" s="173" t="n"/>
    </row>
    <row r="14">
      <c r="A14" s="151" t="inlineStr">
        <is>
          <t>4</t>
        </is>
      </c>
      <c r="B14" s="151" t="n"/>
      <c r="C14" s="151" t="inlineStr">
        <is>
          <t>1-4-0</t>
        </is>
      </c>
      <c r="D14" s="257" t="inlineStr">
        <is>
          <t>Затраты труда рабочих (ср 4)</t>
        </is>
      </c>
      <c r="E14" s="258" t="inlineStr">
        <is>
          <t>чел.-ч</t>
        </is>
      </c>
      <c r="F14" s="272" t="n">
        <v>47.42</v>
      </c>
      <c r="G14" s="272" t="n">
        <v>9.619999999999999</v>
      </c>
      <c r="H14" s="32">
        <f>ROUND(F14*G14,2)</f>
        <v/>
      </c>
      <c r="I14" t="n">
        <v>4</v>
      </c>
      <c r="J14" s="174">
        <f>F14*I14</f>
        <v/>
      </c>
      <c r="K14" s="173" t="n"/>
      <c r="L14" s="173" t="n"/>
    </row>
    <row r="15">
      <c r="A15" s="151" t="inlineStr">
        <is>
          <t>5</t>
        </is>
      </c>
      <c r="B15" s="151" t="n"/>
      <c r="C15" s="151" t="inlineStr">
        <is>
          <t>1-3-8</t>
        </is>
      </c>
      <c r="D15" s="257" t="inlineStr">
        <is>
          <t>Затраты труда рабочих (ср 3,8)</t>
        </is>
      </c>
      <c r="E15" s="258" t="inlineStr">
        <is>
          <t>чел.-ч</t>
        </is>
      </c>
      <c r="F15" s="272" t="n">
        <v>7.424</v>
      </c>
      <c r="G15" s="272" t="n">
        <v>9.4</v>
      </c>
      <c r="H15" s="32">
        <f>ROUND(F15*G15,2)</f>
        <v/>
      </c>
      <c r="I15" t="n">
        <v>3.8</v>
      </c>
      <c r="J15" s="174">
        <f>F15*I15</f>
        <v/>
      </c>
      <c r="K15" s="173" t="n"/>
      <c r="L15" s="173" t="n"/>
    </row>
    <row r="16">
      <c r="A16" s="151" t="inlineStr">
        <is>
          <t>6</t>
        </is>
      </c>
      <c r="B16" s="151" t="n"/>
      <c r="C16" s="151" t="inlineStr">
        <is>
          <t>1-3-6</t>
        </is>
      </c>
      <c r="D16" s="257" t="inlineStr">
        <is>
          <t>Затраты труда рабочих (ср 3,6)</t>
        </is>
      </c>
      <c r="E16" s="258" t="inlineStr">
        <is>
          <t>чел.-ч</t>
        </is>
      </c>
      <c r="F16" s="272" t="n">
        <v>1.024</v>
      </c>
      <c r="G16" s="272" t="n">
        <v>9.18</v>
      </c>
      <c r="H16" s="32">
        <f>ROUND(F16*G16,2)</f>
        <v/>
      </c>
      <c r="I16" t="n">
        <v>3.6</v>
      </c>
      <c r="J16" s="174">
        <f>F16*I16</f>
        <v/>
      </c>
      <c r="K16" s="173" t="n"/>
      <c r="L16" s="173" t="n"/>
    </row>
    <row r="17">
      <c r="A17" s="151" t="inlineStr">
        <is>
          <t>7</t>
        </is>
      </c>
      <c r="B17" s="151" t="n"/>
      <c r="C17" s="151" t="inlineStr">
        <is>
          <t>1-3-2</t>
        </is>
      </c>
      <c r="D17" s="257" t="inlineStr">
        <is>
          <t>Затраты труда рабочих (ср 3,2)</t>
        </is>
      </c>
      <c r="E17" s="258" t="inlineStr">
        <is>
          <t>чел.-ч</t>
        </is>
      </c>
      <c r="F17" s="272" t="n">
        <v>2.08</v>
      </c>
      <c r="G17" s="272" t="n">
        <v>8.74</v>
      </c>
      <c r="H17" s="32">
        <f>ROUND(F17*G17,2)</f>
        <v/>
      </c>
      <c r="I17" t="n">
        <v>3.2</v>
      </c>
      <c r="J17" s="174">
        <f>F17*I17</f>
        <v/>
      </c>
      <c r="K17" s="173" t="n"/>
      <c r="L17" s="173" t="n"/>
    </row>
    <row r="18">
      <c r="A18" s="324" t="inlineStr">
        <is>
          <t>Затраты труда машинистов</t>
        </is>
      </c>
      <c r="B18" s="325" t="n"/>
      <c r="C18" s="325" t="n"/>
      <c r="D18" s="326" t="n"/>
      <c r="E18" s="273" t="n"/>
      <c r="F18" s="272" t="n"/>
      <c r="G18" s="172" t="n"/>
      <c r="H18" s="186">
        <f>H19</f>
        <v/>
      </c>
      <c r="L18" s="173" t="n"/>
    </row>
    <row r="19">
      <c r="A19" s="183" t="inlineStr">
        <is>
          <t>8</t>
        </is>
      </c>
      <c r="B19" s="183" t="n"/>
      <c r="C19" s="151" t="n">
        <v>2</v>
      </c>
      <c r="D19" s="257" t="inlineStr">
        <is>
          <t>Затраты труда машинистов</t>
        </is>
      </c>
      <c r="E19" s="258" t="inlineStr">
        <is>
          <t>чел.час</t>
        </is>
      </c>
      <c r="F19" s="172" t="n">
        <v>17.6999972</v>
      </c>
      <c r="G19" s="272" t="n"/>
      <c r="H19" s="178">
        <f>916.24-H12</f>
        <v/>
      </c>
    </row>
    <row r="20" ht="15" customHeight="1">
      <c r="A20" s="247" t="inlineStr">
        <is>
          <t>Машины и механизмы</t>
        </is>
      </c>
      <c r="B20" s="320" t="n"/>
      <c r="C20" s="320" t="n"/>
      <c r="D20" s="321" t="n"/>
      <c r="E20" s="169" t="n"/>
      <c r="F20" s="272" t="n"/>
      <c r="G20" s="169" t="n"/>
      <c r="H20" s="187">
        <f>SUM(H21:H39)</f>
        <v/>
      </c>
      <c r="K20" s="173" t="n"/>
    </row>
    <row r="21" ht="25.5" customHeight="1">
      <c r="A21" s="151" t="inlineStr">
        <is>
          <t>9</t>
        </is>
      </c>
      <c r="B21" s="151" t="n"/>
      <c r="C21" s="151" t="inlineStr">
        <is>
          <t>91.05.05-015</t>
        </is>
      </c>
      <c r="D21" s="257" t="inlineStr">
        <is>
          <t>Краны на автомобильном ходу, грузоподъемность 16 т</t>
        </is>
      </c>
      <c r="E21" s="258" t="inlineStr">
        <is>
          <t>маш.час</t>
        </is>
      </c>
      <c r="F21" s="272" t="n">
        <v>7.1111676</v>
      </c>
      <c r="G21" s="272" t="n">
        <v>115.4</v>
      </c>
      <c r="H21" s="32">
        <f>ROUND(F21*G21,2)</f>
        <v/>
      </c>
      <c r="I21" s="175" t="n"/>
    </row>
    <row r="22" ht="25.5" customHeight="1">
      <c r="A22" s="151" t="inlineStr">
        <is>
          <t>10</t>
        </is>
      </c>
      <c r="B22" s="151" t="n"/>
      <c r="C22" s="151" t="inlineStr">
        <is>
          <t>91.04.01-031</t>
        </is>
      </c>
      <c r="D22" s="257" t="inlineStr">
        <is>
          <t>Машины бурильно-крановые на автомобиле, глубина бурения 3,5 м</t>
        </is>
      </c>
      <c r="E22" s="258" t="inlineStr">
        <is>
          <t>маш.час</t>
        </is>
      </c>
      <c r="F22" s="272" t="n">
        <v>2.14</v>
      </c>
      <c r="G22" s="272" t="n">
        <v>138.54</v>
      </c>
      <c r="H22" s="32">
        <f>ROUND(F22*G22,2)</f>
        <v/>
      </c>
      <c r="I22" s="175" t="n"/>
    </row>
    <row r="23" ht="25.5" customHeight="1">
      <c r="A23" s="151" t="inlineStr">
        <is>
          <t>11</t>
        </is>
      </c>
      <c r="B23" s="151" t="n"/>
      <c r="C23" s="151" t="inlineStr">
        <is>
          <t>91.18.01-007</t>
        </is>
      </c>
      <c r="D23" s="25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58" t="inlineStr">
        <is>
          <t>маш.час</t>
        </is>
      </c>
      <c r="F23" s="272" t="n">
        <v>1.504</v>
      </c>
      <c r="G23" s="272" t="n">
        <v>90</v>
      </c>
      <c r="H23" s="32">
        <f>ROUND(F23*G23,2)</f>
        <v/>
      </c>
      <c r="I23" s="175" t="n"/>
    </row>
    <row r="24">
      <c r="A24" s="151" t="inlineStr">
        <is>
          <t>12</t>
        </is>
      </c>
      <c r="B24" s="151" t="n"/>
      <c r="C24" s="151" t="inlineStr">
        <is>
          <t>91.06.06-042</t>
        </is>
      </c>
      <c r="D24" s="257" t="inlineStr">
        <is>
          <t>Подъемники гидравлические, высота подъема 10 м</t>
        </is>
      </c>
      <c r="E24" s="258" t="inlineStr">
        <is>
          <t>маш.час</t>
        </is>
      </c>
      <c r="F24" s="272" t="n">
        <v>4.53</v>
      </c>
      <c r="G24" s="272" t="n">
        <v>29.6</v>
      </c>
      <c r="H24" s="32">
        <f>ROUND(F24*G24,2)</f>
        <v/>
      </c>
      <c r="I24" s="175" t="n"/>
    </row>
    <row r="25" ht="25.5" customHeight="1">
      <c r="A25" s="151" t="inlineStr">
        <is>
          <t>13</t>
        </is>
      </c>
      <c r="B25" s="151" t="n"/>
      <c r="C25" s="151" t="inlineStr">
        <is>
          <t>91.14.02-001</t>
        </is>
      </c>
      <c r="D25" s="257" t="inlineStr">
        <is>
          <t>Автомобили бортовые, грузоподъемность до 5 т</t>
        </is>
      </c>
      <c r="E25" s="258" t="inlineStr">
        <is>
          <t>маш.час</t>
        </is>
      </c>
      <c r="F25" s="272" t="n">
        <v>1.612</v>
      </c>
      <c r="G25" s="272" t="n">
        <v>65.70999999999999</v>
      </c>
      <c r="H25" s="32">
        <f>ROUND(F25*G25,2)</f>
        <v/>
      </c>
      <c r="I25" s="175" t="n"/>
    </row>
    <row r="26">
      <c r="A26" s="151" t="inlineStr">
        <is>
          <t>14</t>
        </is>
      </c>
      <c r="B26" s="151" t="n"/>
      <c r="C26" s="151" t="inlineStr">
        <is>
          <t>91.05.06-012</t>
        </is>
      </c>
      <c r="D26" s="257" t="inlineStr">
        <is>
          <t>Краны на гусеничном ходу, грузоподъемность до 16 т</t>
        </is>
      </c>
      <c r="E26" s="258" t="inlineStr">
        <is>
          <t>маш.час</t>
        </is>
      </c>
      <c r="F26" s="272" t="n">
        <v>0.5600000000000001</v>
      </c>
      <c r="G26" s="272" t="n">
        <v>96.89</v>
      </c>
      <c r="H26" s="32">
        <f>ROUND(F26*G26,2)</f>
        <v/>
      </c>
      <c r="I26" s="175" t="n"/>
    </row>
    <row r="27" ht="25.5" customHeight="1">
      <c r="A27" s="151" t="inlineStr">
        <is>
          <t>15</t>
        </is>
      </c>
      <c r="B27" s="151" t="n"/>
      <c r="C27" s="151" t="inlineStr">
        <is>
          <t>91.17.04-036</t>
        </is>
      </c>
      <c r="D27" s="257" t="inlineStr">
        <is>
          <t>Агрегаты сварочные передвижные с дизельным двигателем, номинальный сварочный ток 250-400 А</t>
        </is>
      </c>
      <c r="E27" s="258" t="inlineStr">
        <is>
          <t>маш.час</t>
        </is>
      </c>
      <c r="F27" s="272" t="n">
        <v>1.9599944</v>
      </c>
      <c r="G27" s="272" t="n">
        <v>14</v>
      </c>
      <c r="H27" s="32">
        <f>ROUND(F27*G27,2)</f>
        <v/>
      </c>
      <c r="I27" s="175" t="n"/>
    </row>
    <row r="28" ht="38.25" customHeight="1">
      <c r="A28" s="151" t="inlineStr">
        <is>
          <t>16</t>
        </is>
      </c>
      <c r="B28" s="151" t="n"/>
      <c r="C28" s="151" t="inlineStr">
        <is>
          <t>91.17.04-233</t>
        </is>
      </c>
      <c r="D28" s="257" t="inlineStr">
        <is>
          <t>Установки для сварки ручной дуговой (постоянного тока)</t>
        </is>
      </c>
      <c r="E28" s="258" t="inlineStr">
        <is>
          <t>маш.час</t>
        </is>
      </c>
      <c r="F28" s="272" t="n">
        <v>1.4</v>
      </c>
      <c r="G28" s="272" t="n">
        <v>8.1</v>
      </c>
      <c r="H28" s="32">
        <f>ROUND(F28*G28,2)</f>
        <v/>
      </c>
      <c r="I28" s="175" t="n"/>
    </row>
    <row r="29" ht="25.5" customHeight="1">
      <c r="A29" s="151" t="inlineStr">
        <is>
          <t>17</t>
        </is>
      </c>
      <c r="B29" s="151" t="n"/>
      <c r="C29" s="151" t="inlineStr">
        <is>
          <t>91.19.06-011</t>
        </is>
      </c>
      <c r="D29" s="257" t="inlineStr">
        <is>
          <t>Насосы грязевые, подача 23,4-65,3 м3/ч, давление нагнетания 15,7-5,88 МПа (160-60 кгс/см2)</t>
        </is>
      </c>
      <c r="E29" s="258" t="inlineStr">
        <is>
          <t>маш.час</t>
        </is>
      </c>
      <c r="F29" s="272" t="n">
        <v>0.336</v>
      </c>
      <c r="G29" s="272" t="n">
        <v>32.71</v>
      </c>
      <c r="H29" s="32">
        <f>ROUND(F29*G29,2)</f>
        <v/>
      </c>
      <c r="I29" s="175" t="n"/>
    </row>
    <row r="30">
      <c r="A30" s="151" t="inlineStr">
        <is>
          <t>18</t>
        </is>
      </c>
      <c r="B30" s="151" t="n"/>
      <c r="C30" s="151" t="inlineStr">
        <is>
          <t>91.21.12-002</t>
        </is>
      </c>
      <c r="D30" s="257" t="inlineStr">
        <is>
          <t>Ножницы листовые кривошипные гильотинные</t>
        </is>
      </c>
      <c r="E30" s="258" t="inlineStr">
        <is>
          <t>маш.час</t>
        </is>
      </c>
      <c r="F30" s="272" t="n">
        <v>0.1</v>
      </c>
      <c r="G30" s="272" t="n">
        <v>70</v>
      </c>
      <c r="H30" s="32">
        <f>ROUND(F30*G30,2)</f>
        <v/>
      </c>
      <c r="I30" s="175" t="n"/>
    </row>
    <row r="31" ht="38.25" customHeight="1">
      <c r="A31" s="151" t="inlineStr">
        <is>
          <t>19</t>
        </is>
      </c>
      <c r="B31" s="151" t="n"/>
      <c r="C31" s="151" t="inlineStr">
        <is>
          <t>91.06.03-061</t>
        </is>
      </c>
      <c r="D31" s="257" t="inlineStr">
        <is>
          <t>Лебедки электрические тяговым усилием до 12,26 кН (1,25 т)</t>
        </is>
      </c>
      <c r="E31" s="258" t="inlineStr">
        <is>
          <t>маш.час</t>
        </is>
      </c>
      <c r="F31" s="272" t="n">
        <v>1.76</v>
      </c>
      <c r="G31" s="272" t="n">
        <v>3.28</v>
      </c>
      <c r="H31" s="32">
        <f>ROUND(F31*G31,2)</f>
        <v/>
      </c>
      <c r="I31" s="175" t="n"/>
    </row>
    <row r="32">
      <c r="A32" s="151" t="inlineStr">
        <is>
          <t>20</t>
        </is>
      </c>
      <c r="B32" s="151" t="n"/>
      <c r="C32" s="151" t="inlineStr">
        <is>
          <t>91.21.16-014</t>
        </is>
      </c>
      <c r="D32" s="257" t="inlineStr">
        <is>
          <t>Прессы листогибочные кривошипные 1000 кН (100 тс)</t>
        </is>
      </c>
      <c r="E32" s="258" t="inlineStr">
        <is>
          <t>маш.час</t>
        </is>
      </c>
      <c r="F32" s="272" t="n">
        <v>0.1</v>
      </c>
      <c r="G32" s="272" t="n">
        <v>56.24</v>
      </c>
      <c r="H32" s="32">
        <f>ROUND(F32*G32,2)</f>
        <v/>
      </c>
      <c r="I32" s="175" t="n"/>
    </row>
    <row r="33" ht="25.5" customHeight="1">
      <c r="A33" s="151" t="inlineStr">
        <is>
          <t>21</t>
        </is>
      </c>
      <c r="B33" s="151" t="n"/>
      <c r="C33" s="151" t="inlineStr">
        <is>
          <t>91.06.01-003</t>
        </is>
      </c>
      <c r="D33" s="257" t="inlineStr">
        <is>
          <t>Домкраты гидравлические, грузоподъемность 63-100 т</t>
        </is>
      </c>
      <c r="E33" s="258" t="inlineStr">
        <is>
          <t>маш.час</t>
        </is>
      </c>
      <c r="F33" s="272" t="n">
        <v>5.54</v>
      </c>
      <c r="G33" s="272" t="n">
        <v>0.9</v>
      </c>
      <c r="H33" s="32">
        <f>ROUND(F33*G33,2)</f>
        <v/>
      </c>
      <c r="I33" s="175" t="n"/>
    </row>
    <row r="34">
      <c r="A34" s="151" t="inlineStr">
        <is>
          <t>22</t>
        </is>
      </c>
      <c r="B34" s="151" t="n"/>
      <c r="C34" s="151" t="inlineStr">
        <is>
          <t>91.14.02-002</t>
        </is>
      </c>
      <c r="D34" s="257" t="inlineStr">
        <is>
          <t>Автомобили бортовые, грузоподъемность до 8 т</t>
        </is>
      </c>
      <c r="E34" s="258" t="inlineStr">
        <is>
          <t>маш.час</t>
        </is>
      </c>
      <c r="F34" s="272" t="n">
        <v>0.0428296</v>
      </c>
      <c r="G34" s="272" t="n">
        <v>85.84</v>
      </c>
      <c r="H34" s="32">
        <f>ROUND(F34*G34,2)</f>
        <v/>
      </c>
      <c r="I34" s="175" t="n"/>
    </row>
    <row r="35">
      <c r="A35" s="151" t="inlineStr">
        <is>
          <t>23</t>
        </is>
      </c>
      <c r="B35" s="151" t="n"/>
      <c r="C35" s="151" t="inlineStr">
        <is>
          <t>91.21.16-013</t>
        </is>
      </c>
      <c r="D35" s="257" t="inlineStr">
        <is>
          <t>Прессы кривошипные простого действия 25 кН (2,5 тс)</t>
        </is>
      </c>
      <c r="E35" s="258" t="inlineStr">
        <is>
          <t>маш.час</t>
        </is>
      </c>
      <c r="F35" s="272" t="n">
        <v>0.1</v>
      </c>
      <c r="G35" s="272" t="n">
        <v>16.92</v>
      </c>
      <c r="H35" s="32">
        <f>ROUND(F35*G35,2)</f>
        <v/>
      </c>
      <c r="I35" s="175" t="n"/>
    </row>
    <row r="36" ht="25.5" customHeight="1">
      <c r="A36" s="151" t="inlineStr">
        <is>
          <t>24</t>
        </is>
      </c>
      <c r="B36" s="151" t="n"/>
      <c r="C36" s="151" t="inlineStr">
        <is>
          <t>91.08.09-023</t>
        </is>
      </c>
      <c r="D36" s="257" t="inlineStr">
        <is>
          <t>Трамбовки пневматические при работе от передвижных компрессорных станций</t>
        </is>
      </c>
      <c r="E36" s="258" t="inlineStr">
        <is>
          <t>маш.час</t>
        </is>
      </c>
      <c r="F36" s="272" t="n">
        <v>3.008</v>
      </c>
      <c r="G36" s="272" t="n">
        <v>0.55</v>
      </c>
      <c r="H36" s="32">
        <f>ROUND(F36*G36,2)</f>
        <v/>
      </c>
      <c r="I36" s="175" t="n"/>
    </row>
    <row r="37" ht="25.5" customHeight="1">
      <c r="A37" s="151" t="inlineStr">
        <is>
          <t>25</t>
        </is>
      </c>
      <c r="B37" s="151" t="n"/>
      <c r="C37" s="151" t="inlineStr">
        <is>
          <t>91.21.01-012</t>
        </is>
      </c>
      <c r="D37" s="257" t="inlineStr">
        <is>
          <t>Агрегаты окрасочные высокого давления для окраски поверхностей конструкций, мощность 1 кВт</t>
        </is>
      </c>
      <c r="E37" s="258" t="inlineStr">
        <is>
          <t>маш.час</t>
        </is>
      </c>
      <c r="F37" s="272" t="n">
        <v>0.124</v>
      </c>
      <c r="G37" s="272" t="n">
        <v>6.82</v>
      </c>
      <c r="H37" s="32">
        <f>ROUND(F37*G37,2)</f>
        <v/>
      </c>
      <c r="I37" s="175" t="n"/>
    </row>
    <row r="38">
      <c r="A38" s="151" t="inlineStr">
        <is>
          <t>26</t>
        </is>
      </c>
      <c r="B38" s="151" t="n"/>
      <c r="C38" s="151" t="inlineStr">
        <is>
          <t>91.07.04-001</t>
        </is>
      </c>
      <c r="D38" s="257" t="inlineStr">
        <is>
          <t>Вибраторы глубинные</t>
        </is>
      </c>
      <c r="E38" s="258" t="inlineStr">
        <is>
          <t>маш.час</t>
        </is>
      </c>
      <c r="F38" s="272" t="n">
        <v>0.384</v>
      </c>
      <c r="G38" s="272" t="n">
        <v>1.9</v>
      </c>
      <c r="H38" s="32">
        <f>ROUND(F38*G38,2)</f>
        <v/>
      </c>
      <c r="I38" s="175" t="n"/>
    </row>
    <row r="39">
      <c r="A39" s="151" t="inlineStr">
        <is>
          <t>27</t>
        </is>
      </c>
      <c r="B39" s="151" t="n"/>
      <c r="C39" s="151" t="inlineStr">
        <is>
          <t>91.21.19-031</t>
        </is>
      </c>
      <c r="D39" s="257" t="inlineStr">
        <is>
          <t>Станки сверлильные</t>
        </is>
      </c>
      <c r="E39" s="258" t="inlineStr">
        <is>
          <t>маш.час</t>
        </is>
      </c>
      <c r="F39" s="272" t="n">
        <v>0.1</v>
      </c>
      <c r="G39" s="272" t="n">
        <v>2.36</v>
      </c>
      <c r="H39" s="32">
        <f>ROUND(F39*G39,2)</f>
        <v/>
      </c>
      <c r="I39" s="175" t="n"/>
    </row>
    <row r="40" ht="15" customHeight="1">
      <c r="A40" s="248" t="inlineStr">
        <is>
          <t>Оборудование</t>
        </is>
      </c>
      <c r="B40" s="320" t="n"/>
      <c r="C40" s="320" t="n"/>
      <c r="D40" s="321" t="n"/>
      <c r="E40" s="176" t="n"/>
      <c r="F40" s="272" t="n"/>
      <c r="G40" s="172" t="n"/>
      <c r="H40" s="187">
        <f>SUM(H41:H43)</f>
        <v/>
      </c>
      <c r="I40" s="175" t="n"/>
    </row>
    <row r="41" ht="27.75" customHeight="1">
      <c r="A41" s="151" t="inlineStr">
        <is>
          <t>28</t>
        </is>
      </c>
      <c r="B41" s="151" t="n"/>
      <c r="C41" s="189" t="inlineStr">
        <is>
          <t>Прайс из СД ОП</t>
        </is>
      </c>
      <c r="D41" s="170" t="inlineStr">
        <is>
          <t>Трансформатор тока ТОЛ-10 УХЛ1</t>
        </is>
      </c>
      <c r="E41" s="273" t="inlineStr">
        <is>
          <t>шт.</t>
        </is>
      </c>
      <c r="F41" s="272" t="n">
        <v>6</v>
      </c>
      <c r="G41" s="172">
        <f>'Прил.5 Расчет СМР и ОБ'!F43</f>
        <v/>
      </c>
      <c r="H41" s="32">
        <f>ROUND(F41*G41,2)</f>
        <v/>
      </c>
      <c r="I41" s="175" t="n"/>
    </row>
    <row r="42" ht="21.75" customHeight="1">
      <c r="A42" s="151" t="inlineStr">
        <is>
          <t>29</t>
        </is>
      </c>
      <c r="B42" s="151" t="n"/>
      <c r="C42" s="189" t="inlineStr">
        <is>
          <t>Прайс из СД ОП</t>
        </is>
      </c>
      <c r="D42" s="170" t="inlineStr">
        <is>
          <t>Шкаф промежуточных зажимов ШЗВ-60 УХЛ1</t>
        </is>
      </c>
      <c r="E42" s="273" t="inlineStr">
        <is>
          <t>шт.</t>
        </is>
      </c>
      <c r="F42" s="272" t="n">
        <v>2</v>
      </c>
      <c r="G42" s="172" t="n">
        <v>6790.9</v>
      </c>
      <c r="H42" s="32">
        <f>ROUND(F42*G42,2)</f>
        <v/>
      </c>
      <c r="I42" s="175" t="n"/>
    </row>
    <row r="43" ht="25.5" customHeight="1">
      <c r="A43" s="151" t="inlineStr">
        <is>
          <t>30</t>
        </is>
      </c>
      <c r="B43" s="151" t="n"/>
      <c r="C43" s="189" t="inlineStr">
        <is>
          <t>Прайс из СД ОП</t>
        </is>
      </c>
      <c r="D43" s="170" t="inlineStr">
        <is>
          <t>Коробка зажимов для цепей тока с (КИ-10) К3-11-АСКУЭ</t>
        </is>
      </c>
      <c r="E43" s="273" t="inlineStr">
        <is>
          <t>шт.</t>
        </is>
      </c>
      <c r="F43" s="272" t="n">
        <v>2</v>
      </c>
      <c r="G43" s="172" t="n">
        <v>921.63</v>
      </c>
      <c r="H43" s="32">
        <f>ROUND(F43*G43,2)</f>
        <v/>
      </c>
      <c r="I43" s="175" t="n"/>
    </row>
    <row r="44" ht="15" customHeight="1">
      <c r="A44" s="247" t="inlineStr">
        <is>
          <t>Материалы</t>
        </is>
      </c>
      <c r="B44" s="320" t="n"/>
      <c r="C44" s="320" t="n"/>
      <c r="D44" s="321" t="n"/>
      <c r="E44" s="182" t="n"/>
      <c r="F44" s="272" t="n"/>
      <c r="G44" s="169" t="n"/>
      <c r="H44" s="187">
        <f>SUM(H45:H75)</f>
        <v/>
      </c>
    </row>
    <row r="45" ht="33.75" customHeight="1">
      <c r="A45" s="151" t="inlineStr">
        <is>
          <t>31</t>
        </is>
      </c>
      <c r="B45" s="151" t="n"/>
      <c r="C45" s="151" t="inlineStr">
        <is>
          <t>22.2.02.07-0003</t>
        </is>
      </c>
      <c r="D45" s="257" t="inlineStr">
        <is>
          <t>Конструкции стальные порталов ОРУ</t>
        </is>
      </c>
      <c r="E45" s="258" t="inlineStr">
        <is>
          <t>т</t>
        </is>
      </c>
      <c r="F45" s="272" t="n">
        <v>0.40448</v>
      </c>
      <c r="G45" s="260" t="n">
        <v>12500</v>
      </c>
      <c r="H45" s="32">
        <f>ROUND(F45*G45,2)</f>
        <v/>
      </c>
      <c r="I45" s="175">
        <f>H45/$H$44</f>
        <v/>
      </c>
    </row>
    <row r="46" ht="25.5" customHeight="1">
      <c r="A46" s="151" t="inlineStr">
        <is>
          <t>32</t>
        </is>
      </c>
      <c r="B46" s="151" t="n"/>
      <c r="C46" s="259" t="inlineStr">
        <is>
          <t>07.2.07.13-0211</t>
        </is>
      </c>
      <c r="D46" s="257" t="inlineStr">
        <is>
          <t>Тяги, распорки, связи, стойки стальные оцинкованные</t>
        </is>
      </c>
      <c r="E46" s="258" t="inlineStr">
        <is>
          <t>т</t>
        </is>
      </c>
      <c r="F46" s="272" t="n">
        <v>0.1754</v>
      </c>
      <c r="G46" s="260" t="n">
        <v>22977.81</v>
      </c>
      <c r="H46" s="32">
        <f>ROUND(F46*G46,2)</f>
        <v/>
      </c>
      <c r="I46" s="175">
        <f>H46/$H$44</f>
        <v/>
      </c>
    </row>
    <row r="47" ht="25.5" customHeight="1">
      <c r="A47" s="151" t="inlineStr">
        <is>
          <t>33</t>
        </is>
      </c>
      <c r="B47" s="151" t="n"/>
      <c r="C47" s="259" t="inlineStr">
        <is>
          <t>05.1.02.07-0028</t>
        </is>
      </c>
      <c r="D47" s="257" t="inlineStr">
        <is>
          <t>Стойки железобетонные под оборудование подстанций УСО-1А, бетон B15, объем 0,32 м3, расход арматуры 66,53 кг</t>
        </is>
      </c>
      <c r="E47" s="258" t="inlineStr">
        <is>
          <t>шт</t>
        </is>
      </c>
      <c r="F47" s="272" t="n">
        <v>2</v>
      </c>
      <c r="G47" s="260" t="n">
        <v>1340.68</v>
      </c>
      <c r="H47" s="32">
        <f>ROUND(F47*G47,2)</f>
        <v/>
      </c>
      <c r="I47" s="175">
        <f>H47/$H$44</f>
        <v/>
      </c>
    </row>
    <row r="48">
      <c r="A48" s="151" t="inlineStr">
        <is>
          <t>34</t>
        </is>
      </c>
      <c r="B48" s="151" t="n"/>
      <c r="C48" s="259" t="inlineStr">
        <is>
          <t>20.1.01.02-0066</t>
        </is>
      </c>
      <c r="D48" s="257" t="inlineStr">
        <is>
          <t>Зажим аппаратный прессуемый: А4А-300-2</t>
        </is>
      </c>
      <c r="E48" s="258" t="inlineStr">
        <is>
          <t>100 шт</t>
        </is>
      </c>
      <c r="F48" s="272" t="n">
        <v>0.18</v>
      </c>
      <c r="G48" s="260" t="n">
        <v>6080</v>
      </c>
      <c r="H48" s="32">
        <f>ROUND(F48*G48,2)</f>
        <v/>
      </c>
      <c r="I48" s="175">
        <f>H48/$H$44</f>
        <v/>
      </c>
    </row>
    <row r="49" ht="36" customHeight="1">
      <c r="A49" s="151" t="inlineStr">
        <is>
          <t>35</t>
        </is>
      </c>
      <c r="B49" s="151" t="n"/>
      <c r="C49" s="259" t="inlineStr">
        <is>
          <t>21.2.01.02-0094</t>
        </is>
      </c>
      <c r="D49" s="257" t="inlineStr">
        <is>
          <t>Провод неизолированный для воздушных линий электропередачи АС 300/39</t>
        </is>
      </c>
      <c r="E49" s="258" t="inlineStr">
        <is>
          <t>т</t>
        </is>
      </c>
      <c r="F49" s="272" t="n">
        <v>0.0311753</v>
      </c>
      <c r="G49" s="260" t="n">
        <v>32758.86</v>
      </c>
      <c r="H49" s="32">
        <f>ROUND(F49*G49,2)</f>
        <v/>
      </c>
      <c r="I49" s="175">
        <f>H49/$H$44</f>
        <v/>
      </c>
    </row>
    <row r="50" ht="25.5" customHeight="1">
      <c r="A50" s="151" t="inlineStr">
        <is>
          <t>36</t>
        </is>
      </c>
      <c r="B50" s="151" t="n"/>
      <c r="C50" s="259" t="inlineStr">
        <is>
          <t>04.1.02.05-0003</t>
        </is>
      </c>
      <c r="D50" s="257" t="inlineStr">
        <is>
          <t>Смеси бетонные тяжелого бетона (БСТ), класс В7,5 (М100)</t>
        </is>
      </c>
      <c r="E50" s="258" t="inlineStr">
        <is>
          <t>м3</t>
        </is>
      </c>
      <c r="F50" s="272" t="n">
        <v>1.632</v>
      </c>
      <c r="G50" s="260" t="n">
        <v>560</v>
      </c>
      <c r="H50" s="32">
        <f>ROUND(F50*G50,2)</f>
        <v/>
      </c>
      <c r="I50" s="175">
        <f>H50/$H$44</f>
        <v/>
      </c>
    </row>
    <row r="51" ht="36" customHeight="1">
      <c r="A51" s="151" t="inlineStr">
        <is>
          <t>37</t>
        </is>
      </c>
      <c r="B51" s="151" t="n"/>
      <c r="C51" s="259" t="inlineStr">
        <is>
          <t>21.1.06.09-0177</t>
        </is>
      </c>
      <c r="D51" s="257" t="inlineStr">
        <is>
          <t>Кабель силовой с медными жилами ВВГнг(A)-LS 5х4-660</t>
        </is>
      </c>
      <c r="E51" s="258" t="inlineStr">
        <is>
          <t>1000 м</t>
        </is>
      </c>
      <c r="F51" s="272" t="n">
        <v>0.04</v>
      </c>
      <c r="G51" s="260" t="n">
        <v>18047.85</v>
      </c>
      <c r="H51" s="32">
        <f>ROUND(F51*G51,2)</f>
        <v/>
      </c>
      <c r="I51" s="175" t="n"/>
    </row>
    <row r="52" ht="25.5" customHeight="1">
      <c r="A52" s="151" t="inlineStr">
        <is>
          <t>38</t>
        </is>
      </c>
      <c r="B52" s="151" t="n"/>
      <c r="C52" s="259" t="inlineStr">
        <is>
          <t>01.7.17.11-0001</t>
        </is>
      </c>
      <c r="D52" s="257" t="inlineStr">
        <is>
          <t>Бумага шлифовальная</t>
        </is>
      </c>
      <c r="E52" s="258" t="inlineStr">
        <is>
          <t>кг</t>
        </is>
      </c>
      <c r="F52" s="272" t="n">
        <v>8</v>
      </c>
      <c r="G52" s="260" t="n">
        <v>50</v>
      </c>
      <c r="H52" s="32">
        <f>ROUND(F52*G52,2)</f>
        <v/>
      </c>
      <c r="I52" s="175" t="n"/>
    </row>
    <row r="53">
      <c r="A53" s="151" t="inlineStr">
        <is>
          <t>39</t>
        </is>
      </c>
      <c r="B53" s="151" t="n"/>
      <c r="C53" s="259" t="inlineStr">
        <is>
          <t>21.1.08.03-0693</t>
        </is>
      </c>
      <c r="D53" s="257" t="inlineStr">
        <is>
          <t>Кабель контрольный КВВГЭнг-LS 4х1,5</t>
        </is>
      </c>
      <c r="E53" s="258" t="inlineStr">
        <is>
          <t>1000 м</t>
        </is>
      </c>
      <c r="F53" s="272" t="n">
        <v>0.04</v>
      </c>
      <c r="G53" s="260" t="n">
        <v>8958.610000000001</v>
      </c>
      <c r="H53" s="32">
        <f>ROUND(F53*G53,2)</f>
        <v/>
      </c>
      <c r="I53" s="175" t="n"/>
    </row>
    <row r="54" ht="38.25" customHeight="1">
      <c r="A54" s="151" t="inlineStr">
        <is>
          <t>40</t>
        </is>
      </c>
      <c r="B54" s="151" t="n"/>
      <c r="C54" s="259" t="inlineStr">
        <is>
          <t>23.3.01.04-0074</t>
        </is>
      </c>
      <c r="D54" s="257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54" s="258" t="inlineStr">
        <is>
          <t>м</t>
        </is>
      </c>
      <c r="F54" s="272" t="n">
        <v>0.24</v>
      </c>
      <c r="G54" s="260" t="n">
        <v>1001.3</v>
      </c>
      <c r="H54" s="32">
        <f>ROUND(F54*G54,2)</f>
        <v/>
      </c>
      <c r="I54" s="175" t="n"/>
    </row>
    <row r="55">
      <c r="A55" s="151" t="inlineStr">
        <is>
          <t>41</t>
        </is>
      </c>
      <c r="B55" s="151" t="n"/>
      <c r="C55" s="259" t="inlineStr">
        <is>
          <t>01.7.15.03-0042</t>
        </is>
      </c>
      <c r="D55" s="257" t="inlineStr">
        <is>
          <t>Болты с гайками и шайбами строительные</t>
        </is>
      </c>
      <c r="E55" s="258" t="inlineStr">
        <is>
          <t>кг</t>
        </is>
      </c>
      <c r="F55" s="272" t="n">
        <v>15.94</v>
      </c>
      <c r="G55" s="260" t="n">
        <v>9.039999999999999</v>
      </c>
      <c r="H55" s="32">
        <f>ROUND(F55*G55,2)</f>
        <v/>
      </c>
      <c r="I55" s="175" t="n"/>
    </row>
    <row r="56" ht="25.5" customHeight="1">
      <c r="A56" s="151" t="inlineStr">
        <is>
          <t>42</t>
        </is>
      </c>
      <c r="B56" s="151" t="n"/>
      <c r="C56" s="259" t="inlineStr">
        <is>
          <t>08.3.07.01-0076</t>
        </is>
      </c>
      <c r="D56" s="257" t="inlineStr">
        <is>
          <t>Прокат полосовой, горячекатаный, марка стали Ст3сп, ширина 50-200 мм, толщина 4-5 мм</t>
        </is>
      </c>
      <c r="E56" s="258" t="inlineStr">
        <is>
          <t>т</t>
        </is>
      </c>
      <c r="F56" s="272" t="n">
        <v>0.02</v>
      </c>
      <c r="G56" s="260" t="n">
        <v>5000</v>
      </c>
      <c r="H56" s="32">
        <f>ROUND(F56*G56,2)</f>
        <v/>
      </c>
      <c r="I56" s="175" t="n"/>
    </row>
    <row r="57">
      <c r="A57" s="151" t="inlineStr">
        <is>
          <t>43</t>
        </is>
      </c>
      <c r="B57" s="151" t="n"/>
      <c r="C57" s="259" t="inlineStr">
        <is>
          <t>01.7.11.07-0032</t>
        </is>
      </c>
      <c r="D57" s="257" t="inlineStr">
        <is>
          <t>Электроды сварочные Э42, диаметр 4 мм</t>
        </is>
      </c>
      <c r="E57" s="258" t="inlineStr">
        <is>
          <t>т</t>
        </is>
      </c>
      <c r="F57" s="272" t="n">
        <v>0.0059588</v>
      </c>
      <c r="G57" s="260" t="n">
        <v>10315.01</v>
      </c>
      <c r="H57" s="32">
        <f>ROUND(F57*G57,2)</f>
        <v/>
      </c>
      <c r="I57" s="175" t="n"/>
    </row>
    <row r="58" ht="25.5" customHeight="1">
      <c r="A58" s="151" t="inlineStr">
        <is>
          <t>44</t>
        </is>
      </c>
      <c r="B58" s="151" t="n"/>
      <c r="C58" s="259" t="inlineStr">
        <is>
          <t>08.3.08.02-0091</t>
        </is>
      </c>
      <c r="D58" s="257" t="inlineStr">
        <is>
          <t>Уголок перфорированный, марка стали Ст3, размер 35х35 мм</t>
        </is>
      </c>
      <c r="E58" s="258" t="inlineStr">
        <is>
          <t>м</t>
        </is>
      </c>
      <c r="F58" s="272" t="n">
        <v>3.8</v>
      </c>
      <c r="G58" s="260" t="n">
        <v>15.13</v>
      </c>
      <c r="H58" s="32">
        <f>ROUND(F58*G58,2)</f>
        <v/>
      </c>
      <c r="I58" s="175" t="n"/>
    </row>
    <row r="59" ht="25.5" customHeight="1">
      <c r="A59" s="151" t="inlineStr">
        <is>
          <t>45</t>
        </is>
      </c>
      <c r="B59" s="151" t="n"/>
      <c r="C59" s="259" t="inlineStr">
        <is>
          <t>08.3.05.02-0052</t>
        </is>
      </c>
      <c r="D59" s="257" t="inlineStr">
        <is>
          <t>Прокат толстолистовой горячекатаный марка стали Ст3, толщина 2-6 мм</t>
        </is>
      </c>
      <c r="E59" s="258" t="inlineStr">
        <is>
          <t>т</t>
        </is>
      </c>
      <c r="F59" s="272" t="n">
        <v>0.004</v>
      </c>
      <c r="G59" s="260" t="n">
        <v>5941.89</v>
      </c>
      <c r="H59" s="32">
        <f>ROUND(F59*G59,2)</f>
        <v/>
      </c>
      <c r="I59" s="175" t="n"/>
    </row>
    <row r="60" ht="25.5" customHeight="1">
      <c r="A60" s="151" t="inlineStr">
        <is>
          <t>46</t>
        </is>
      </c>
      <c r="B60" s="151" t="n"/>
      <c r="C60" s="259" t="inlineStr">
        <is>
          <t>01.7.11.07-0034</t>
        </is>
      </c>
      <c r="D60" s="257" t="inlineStr">
        <is>
          <t>Электроды сварочные Э42А, диаметр 4 мм</t>
        </is>
      </c>
      <c r="E60" s="258" t="inlineStr">
        <is>
          <t>кг</t>
        </is>
      </c>
      <c r="F60" s="272" t="n">
        <v>2.1</v>
      </c>
      <c r="G60" s="260" t="n">
        <v>10.57</v>
      </c>
      <c r="H60" s="32">
        <f>ROUND(F60*G60,2)</f>
        <v/>
      </c>
      <c r="I60" s="175" t="n"/>
    </row>
    <row r="61">
      <c r="A61" s="151" t="inlineStr">
        <is>
          <t>47</t>
        </is>
      </c>
      <c r="B61" s="151" t="n"/>
      <c r="C61" s="259" t="inlineStr">
        <is>
          <t>14.4.02.09-0001</t>
        </is>
      </c>
      <c r="D61" s="257" t="inlineStr">
        <is>
          <t>Краска</t>
        </is>
      </c>
      <c r="E61" s="258" t="inlineStr">
        <is>
          <t>кг</t>
        </is>
      </c>
      <c r="F61" s="272" t="n">
        <v>0.6</v>
      </c>
      <c r="G61" s="260" t="n">
        <v>28.6</v>
      </c>
      <c r="H61" s="32">
        <f>ROUND(F61*G61,2)</f>
        <v/>
      </c>
      <c r="I61" s="175" t="n"/>
    </row>
    <row r="62">
      <c r="A62" s="151" t="inlineStr">
        <is>
          <t>48</t>
        </is>
      </c>
      <c r="B62" s="151" t="n"/>
      <c r="C62" s="151" t="inlineStr">
        <is>
          <t>01.3.01.06-0050</t>
        </is>
      </c>
      <c r="D62" s="257" t="inlineStr">
        <is>
          <t>Смазка универсальная тугоплавкая УТ (консталин жировой)</t>
        </is>
      </c>
      <c r="E62" s="258" t="inlineStr">
        <is>
          <t>т</t>
        </is>
      </c>
      <c r="F62" s="272" t="n">
        <v>0.00084</v>
      </c>
      <c r="G62" s="260" t="n">
        <v>17500</v>
      </c>
      <c r="H62" s="32">
        <f>ROUND(F62*G62,2)</f>
        <v/>
      </c>
      <c r="I62" s="175" t="n"/>
    </row>
    <row r="63" ht="25.5" customHeight="1">
      <c r="A63" s="151" t="inlineStr">
        <is>
          <t>49</t>
        </is>
      </c>
      <c r="B63" s="151" t="n"/>
      <c r="C63" s="259" t="inlineStr">
        <is>
          <t>10.3.02.03-0011</t>
        </is>
      </c>
      <c r="D63" s="257" t="inlineStr">
        <is>
          <t>Припои оловянно-свинцовые бессурьмянистые, марка ПОС30</t>
        </is>
      </c>
      <c r="E63" s="258" t="inlineStr">
        <is>
          <t>т</t>
        </is>
      </c>
      <c r="F63" s="272" t="n">
        <v>0.000208</v>
      </c>
      <c r="G63" s="260" t="n">
        <v>68050</v>
      </c>
      <c r="H63" s="32">
        <f>ROUND(F63*G63,2)</f>
        <v/>
      </c>
      <c r="I63" s="175" t="n"/>
    </row>
    <row r="64" ht="25.5" customHeight="1">
      <c r="A64" s="151" t="inlineStr">
        <is>
          <t>50</t>
        </is>
      </c>
      <c r="B64" s="151" t="n"/>
      <c r="C64" s="259" t="inlineStr">
        <is>
          <t>999-9950</t>
        </is>
      </c>
      <c r="D64" s="257" t="inlineStr">
        <is>
          <t>Вспомогательные ненормируемые ресурсы (2% от Оплаты труда рабочих)</t>
        </is>
      </c>
      <c r="E64" s="258" t="inlineStr">
        <is>
          <t>руб</t>
        </is>
      </c>
      <c r="F64" s="272" t="n">
        <v>10.462</v>
      </c>
      <c r="G64" s="260" t="n">
        <v>1</v>
      </c>
      <c r="H64" s="32">
        <f>ROUND(F64*G64,2)</f>
        <v/>
      </c>
      <c r="I64" s="175" t="n"/>
    </row>
    <row r="65">
      <c r="A65" s="151" t="inlineStr">
        <is>
          <t>51</t>
        </is>
      </c>
      <c r="B65" s="151" t="n"/>
      <c r="C65" s="259" t="inlineStr">
        <is>
          <t>01.7.20.08-0031</t>
        </is>
      </c>
      <c r="D65" s="257" t="inlineStr">
        <is>
          <t>Бязь суровая</t>
        </is>
      </c>
      <c r="E65" s="258" t="inlineStr">
        <is>
          <t>10 м2</t>
        </is>
      </c>
      <c r="F65" s="272" t="n">
        <v>0.114</v>
      </c>
      <c r="G65" s="260" t="n">
        <v>79.09999999999999</v>
      </c>
      <c r="H65" s="32">
        <f>ROUND(F65*G65,2)</f>
        <v/>
      </c>
      <c r="I65" s="175" t="n"/>
    </row>
    <row r="66" ht="25.5" customHeight="1">
      <c r="A66" s="151" t="inlineStr">
        <is>
          <t>52</t>
        </is>
      </c>
      <c r="B66" s="151" t="n"/>
      <c r="C66" s="259" t="inlineStr">
        <is>
          <t>02.2.05.04-1777</t>
        </is>
      </c>
      <c r="D66" s="257" t="inlineStr">
        <is>
          <t>Щебень М 800, фракция 20-40 мм, группа 2</t>
        </is>
      </c>
      <c r="E66" s="258" t="inlineStr">
        <is>
          <t>м3</t>
        </is>
      </c>
      <c r="F66" s="272" t="n">
        <v>0.06</v>
      </c>
      <c r="G66" s="260" t="n">
        <v>108.4</v>
      </c>
      <c r="H66" s="32">
        <f>ROUND(F66*G66,2)</f>
        <v/>
      </c>
      <c r="I66" s="175" t="n"/>
    </row>
    <row r="67">
      <c r="A67" s="151" t="inlineStr">
        <is>
          <t>53</t>
        </is>
      </c>
      <c r="B67" s="151" t="n"/>
      <c r="C67" s="259" t="inlineStr">
        <is>
          <t>14.4.03.03-0002</t>
        </is>
      </c>
      <c r="D67" s="257" t="inlineStr">
        <is>
          <t>Лак битумный БТ-123</t>
        </is>
      </c>
      <c r="E67" s="258" t="inlineStr">
        <is>
          <t>т</t>
        </is>
      </c>
      <c r="F67" s="272" t="n">
        <v>0.000576</v>
      </c>
      <c r="G67" s="260" t="n">
        <v>7826.9</v>
      </c>
      <c r="H67" s="32">
        <f>ROUND(F67*G67,2)</f>
        <v/>
      </c>
      <c r="I67" s="175" t="n"/>
    </row>
    <row r="68">
      <c r="A68" s="151" t="inlineStr">
        <is>
          <t>54</t>
        </is>
      </c>
      <c r="B68" s="151" t="n"/>
      <c r="C68" s="259" t="inlineStr">
        <is>
          <t>14.4.04.09-0017</t>
        </is>
      </c>
      <c r="D68" s="257" t="inlineStr">
        <is>
          <t>Эмаль ХВ-124, защитная, зеленая</t>
        </is>
      </c>
      <c r="E68" s="258" t="inlineStr">
        <is>
          <t>т</t>
        </is>
      </c>
      <c r="F68" s="272" t="n">
        <v>0.00012</v>
      </c>
      <c r="G68" s="260" t="n">
        <v>28300.4</v>
      </c>
      <c r="H68" s="32">
        <f>ROUND(F68*G68,2)</f>
        <v/>
      </c>
      <c r="I68" s="175" t="n"/>
    </row>
    <row r="69">
      <c r="A69" s="151" t="inlineStr">
        <is>
          <t>55</t>
        </is>
      </c>
      <c r="B69" s="151" t="n"/>
      <c r="C69" s="259" t="inlineStr">
        <is>
          <t>01.7.15.07-0007</t>
        </is>
      </c>
      <c r="D69" s="257" t="inlineStr">
        <is>
          <t>Дюбели пластмассовые, диаметр 14 мм</t>
        </is>
      </c>
      <c r="E69" s="258" t="inlineStr">
        <is>
          <t>100 шт</t>
        </is>
      </c>
      <c r="F69" s="272" t="n">
        <v>0.08</v>
      </c>
      <c r="G69" s="260" t="n">
        <v>26.6</v>
      </c>
      <c r="H69" s="32">
        <f>ROUND(F69*G69,2)</f>
        <v/>
      </c>
      <c r="I69" s="175" t="n"/>
    </row>
    <row r="70">
      <c r="A70" s="151" t="inlineStr">
        <is>
          <t>56</t>
        </is>
      </c>
      <c r="B70" s="151" t="n"/>
      <c r="C70" s="259" t="inlineStr">
        <is>
          <t>14.4.01.01-0003</t>
        </is>
      </c>
      <c r="D70" s="257" t="inlineStr">
        <is>
          <t>Грунтовка ГФ-021</t>
        </is>
      </c>
      <c r="E70" s="258" t="inlineStr">
        <is>
          <t>т</t>
        </is>
      </c>
      <c r="F70" s="272" t="n">
        <v>0.00012</v>
      </c>
      <c r="G70" s="260" t="n">
        <v>15620</v>
      </c>
      <c r="H70" s="32">
        <f>ROUND(F70*G70,2)</f>
        <v/>
      </c>
      <c r="I70" s="175" t="n"/>
    </row>
    <row r="71">
      <c r="A71" s="151" t="inlineStr">
        <is>
          <t>57</t>
        </is>
      </c>
      <c r="B71" s="151" t="n"/>
      <c r="C71" s="259" t="inlineStr">
        <is>
          <t>01.7.06.07-0002</t>
        </is>
      </c>
      <c r="D71" s="257" t="inlineStr">
        <is>
          <t>Лента монтажная, тип ЛМ-5</t>
        </is>
      </c>
      <c r="E71" s="258" t="inlineStr">
        <is>
          <t>10 м</t>
        </is>
      </c>
      <c r="F71" s="272" t="n">
        <v>0.196</v>
      </c>
      <c r="G71" s="260" t="n">
        <v>6.9</v>
      </c>
      <c r="H71" s="32">
        <f>ROUND(F71*G71,2)</f>
        <v/>
      </c>
      <c r="I71" s="175" t="n"/>
    </row>
    <row r="72">
      <c r="A72" s="151" t="inlineStr">
        <is>
          <t>58</t>
        </is>
      </c>
      <c r="B72" s="151" t="n"/>
      <c r="C72" s="259" t="inlineStr">
        <is>
          <t>01.7.15.03-0031</t>
        </is>
      </c>
      <c r="D72" s="257" t="inlineStr">
        <is>
          <t>Болты с гайками и шайбами оцинкованные, диаметр 6 мм</t>
        </is>
      </c>
      <c r="E72" s="258" t="inlineStr">
        <is>
          <t>кг</t>
        </is>
      </c>
      <c r="F72" s="272" t="n">
        <v>0.04</v>
      </c>
      <c r="G72" s="260" t="n">
        <v>28.22</v>
      </c>
      <c r="H72" s="32">
        <f>ROUND(F72*G72,2)</f>
        <v/>
      </c>
      <c r="I72" s="175" t="n"/>
    </row>
    <row r="73">
      <c r="A73" s="151" t="inlineStr">
        <is>
          <t>59</t>
        </is>
      </c>
      <c r="B73" s="151" t="n"/>
      <c r="C73" s="259" t="inlineStr">
        <is>
          <t>01.7.15.14-0165</t>
        </is>
      </c>
      <c r="D73" s="257" t="inlineStr">
        <is>
          <t>Шурупы с полукруглой головкой 4х40 мм</t>
        </is>
      </c>
      <c r="E73" s="258" t="inlineStr">
        <is>
          <t>т</t>
        </is>
      </c>
      <c r="F73" s="272" t="n">
        <v>8.8e-05</v>
      </c>
      <c r="G73" s="260" t="n">
        <v>12430</v>
      </c>
      <c r="H73" s="32">
        <f>ROUND(F73*G73,2)</f>
        <v/>
      </c>
      <c r="I73" s="175" t="n"/>
    </row>
    <row r="74">
      <c r="A74" s="151" t="inlineStr">
        <is>
          <t>60</t>
        </is>
      </c>
      <c r="B74" s="151" t="n"/>
      <c r="C74" s="259" t="inlineStr">
        <is>
          <t>14.5.09.07-0030</t>
        </is>
      </c>
      <c r="D74" s="257" t="inlineStr">
        <is>
          <t>Растворитель Р-4</t>
        </is>
      </c>
      <c r="E74" s="258" t="inlineStr">
        <is>
          <t>кг</t>
        </is>
      </c>
      <c r="F74" s="272" t="n">
        <v>0.08</v>
      </c>
      <c r="G74" s="260" t="n">
        <v>9.42</v>
      </c>
      <c r="H74" s="32">
        <f>ROUND(F74*G74,2)</f>
        <v/>
      </c>
      <c r="I74" s="175" t="n"/>
    </row>
    <row r="75" ht="25.5" customHeight="1">
      <c r="A75" s="151" t="inlineStr">
        <is>
          <t>61</t>
        </is>
      </c>
      <c r="B75" s="151" t="n"/>
      <c r="C75" s="151" t="inlineStr">
        <is>
          <t>14.5.09.11-0102</t>
        </is>
      </c>
      <c r="D75" s="257" t="inlineStr">
        <is>
          <t>Уайт-спирит</t>
        </is>
      </c>
      <c r="E75" s="258" t="inlineStr">
        <is>
          <t>кг</t>
        </is>
      </c>
      <c r="F75" s="272" t="n">
        <v>0.04</v>
      </c>
      <c r="G75" s="260" t="n">
        <v>6.67</v>
      </c>
      <c r="H75" s="32">
        <f>ROUND(F75*G75,2)</f>
        <v/>
      </c>
      <c r="I75" s="144">
        <f>H44+H20+H12</f>
        <v/>
      </c>
    </row>
    <row r="76">
      <c r="C76" s="165" t="n"/>
      <c r="D76" s="163" t="n"/>
      <c r="E76" s="164" t="n"/>
      <c r="F76" s="164" t="n"/>
      <c r="G76" s="166" t="n"/>
      <c r="H76" s="181" t="n"/>
    </row>
    <row r="77" ht="25.5" customHeight="1">
      <c r="B77" s="177" t="inlineStr">
        <is>
          <t xml:space="preserve">Примечание: </t>
        </is>
      </c>
      <c r="C77" s="252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78">
      <c r="I78" s="178" t="n"/>
    </row>
    <row r="81" ht="14.25" customFormat="1" customHeight="1" s="198">
      <c r="A81" s="193" t="inlineStr">
        <is>
          <t>Составил ______________________        Е. М. Добровольская</t>
        </is>
      </c>
    </row>
    <row r="82" ht="14.25" customFormat="1" customHeight="1" s="198">
      <c r="A82" s="197" t="inlineStr">
        <is>
          <t xml:space="preserve">                         (подпись, инициалы, фамилия)</t>
        </is>
      </c>
    </row>
    <row r="83" ht="14.25" customFormat="1" customHeight="1" s="198">
      <c r="A83" s="193" t="n"/>
    </row>
    <row r="84" ht="14.25" customFormat="1" customHeight="1" s="198">
      <c r="A84" s="193" t="inlineStr">
        <is>
          <t>Проверил ______________________        А.В. Костянецкая</t>
        </is>
      </c>
    </row>
    <row r="85" ht="14.25" customFormat="1" customHeight="1" s="198">
      <c r="A85" s="197" t="inlineStr">
        <is>
          <t xml:space="preserve">                        (подпись, инициалы, фамилия)</t>
        </is>
      </c>
    </row>
  </sheetData>
  <mergeCells count="17">
    <mergeCell ref="C9:C10"/>
    <mergeCell ref="A40:D40"/>
    <mergeCell ref="B9:B10"/>
    <mergeCell ref="A18:D18"/>
    <mergeCell ref="D9:D10"/>
    <mergeCell ref="E9:E10"/>
    <mergeCell ref="F9:F10"/>
    <mergeCell ref="A9:A10"/>
    <mergeCell ref="A12:D12"/>
    <mergeCell ref="A2:H2"/>
    <mergeCell ref="A20:D20"/>
    <mergeCell ref="A6:H7"/>
    <mergeCell ref="A3:I3"/>
    <mergeCell ref="C4:H4"/>
    <mergeCell ref="G9:H9"/>
    <mergeCell ref="C77:H77"/>
    <mergeCell ref="A44:D44"/>
  </mergeCells>
  <pageMargins left="0.7" right="0.7" top="0.75" bottom="0.75" header="0.3" footer="0.3"/>
  <pageSetup orientation="landscape" paperSize="9" scale="78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Normal="100" zoomScaleSheetLayoutView="100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3" t="n"/>
      <c r="C1" s="193" t="n"/>
      <c r="D1" s="193" t="n"/>
      <c r="E1" s="193" t="n"/>
    </row>
    <row r="2">
      <c r="B2" s="193" t="n"/>
      <c r="C2" s="193" t="n"/>
      <c r="D2" s="193" t="n"/>
      <c r="E2" s="268" t="inlineStr">
        <is>
          <t>Приложение № 4</t>
        </is>
      </c>
    </row>
    <row r="3">
      <c r="B3" s="193" t="n"/>
      <c r="C3" s="193" t="n"/>
      <c r="D3" s="193" t="n"/>
      <c r="E3" s="193" t="n"/>
    </row>
    <row r="4">
      <c r="B4" s="193" t="n"/>
      <c r="C4" s="193" t="n"/>
      <c r="D4" s="193" t="n"/>
      <c r="E4" s="193" t="n"/>
    </row>
    <row r="5">
      <c r="B5" s="219" t="inlineStr">
        <is>
          <t>Ресурсная модель</t>
        </is>
      </c>
    </row>
    <row r="6">
      <c r="B6" s="141" t="n"/>
      <c r="C6" s="193" t="n"/>
      <c r="D6" s="193" t="n"/>
      <c r="E6" s="193" t="n"/>
    </row>
    <row r="7" ht="25.5" customHeight="1">
      <c r="B7" s="255" t="inlineStr">
        <is>
          <t>Наименование разрабатываемого показателя УНЦ — ТТ на три фазы с устройством фундамента напряжение 6-15 кВ</t>
        </is>
      </c>
    </row>
    <row r="8">
      <c r="B8" s="256" t="inlineStr">
        <is>
          <t>Единица измерения  — 1 ед</t>
        </is>
      </c>
    </row>
    <row r="9">
      <c r="B9" s="141" t="n"/>
      <c r="C9" s="193" t="n"/>
      <c r="D9" s="193" t="n"/>
      <c r="E9" s="193" t="n"/>
    </row>
    <row r="10" ht="51" customHeight="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4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4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42">
        <f>'Прил.5 Расчет СМР и ОБ'!J39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4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4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42">
        <f>'Прил.5 Расчет СМР и ОБ'!J58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42">
        <f>'Прил.5 Расчет СМР и ОБ'!J84</f>
        <v/>
      </c>
      <c r="D17" s="27">
        <f>C17/$C$24</f>
        <v/>
      </c>
      <c r="E17" s="27">
        <f>C17/$C$40</f>
        <v/>
      </c>
      <c r="G17" s="143" t="n"/>
    </row>
    <row r="18">
      <c r="B18" s="25" t="inlineStr">
        <is>
          <t>МАТЕРИАЛЫ, ВСЕГО:</t>
        </is>
      </c>
      <c r="C18" s="14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4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4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ОБ'!D88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4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ОБ'!D87</f>
        <v/>
      </c>
      <c r="D23" s="27" t="n"/>
      <c r="E23" s="25" t="n"/>
    </row>
    <row r="24">
      <c r="B24" s="25" t="inlineStr">
        <is>
          <t>ВСЕГО СМР с НР и СП</t>
        </is>
      </c>
      <c r="C24" s="14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42">
        <f>'Прил.5 Расчет СМР и ОБ'!J48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4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36955.26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4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4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4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42">
        <f>C40/'Прил.5 Расчет СМР и ОБ'!E91</f>
        <v/>
      </c>
      <c r="D41" s="25" t="n"/>
      <c r="E41" s="25" t="n"/>
    </row>
    <row r="42">
      <c r="B42" s="195" t="n"/>
      <c r="C42" s="193" t="n"/>
      <c r="D42" s="193" t="n"/>
      <c r="E42" s="193" t="n"/>
    </row>
    <row r="43">
      <c r="B43" s="193" t="inlineStr">
        <is>
          <t>Составил ______________________        Е. М. Добровольская</t>
        </is>
      </c>
      <c r="C43" s="193" t="n"/>
      <c r="D43" s="193" t="n"/>
      <c r="E43" s="193" t="n"/>
    </row>
    <row r="44">
      <c r="B44" s="195" t="inlineStr">
        <is>
          <t xml:space="preserve">(должность, подпись, инициалы, фамилия) </t>
        </is>
      </c>
      <c r="C44" s="193" t="n"/>
      <c r="D44" s="193" t="n"/>
      <c r="E44" s="193" t="n"/>
    </row>
    <row r="45">
      <c r="B45" s="195" t="n"/>
      <c r="C45" s="193" t="n"/>
      <c r="D45" s="193" t="n"/>
      <c r="E45" s="193" t="n"/>
    </row>
    <row r="46">
      <c r="B46" s="195" t="inlineStr">
        <is>
          <t>Проверил ____________________________ А.В. Костянецкая</t>
        </is>
      </c>
      <c r="C46" s="193" t="n"/>
      <c r="D46" s="193" t="n"/>
      <c r="E46" s="193" t="n"/>
    </row>
    <row r="47">
      <c r="B47" s="256" t="inlineStr">
        <is>
          <t>(должность, подпись, инициалы, фамилия)</t>
        </is>
      </c>
      <c r="D47" s="193" t="n"/>
      <c r="E47" s="193" t="n"/>
    </row>
    <row r="49">
      <c r="B49" s="193" t="n"/>
      <c r="C49" s="193" t="n"/>
      <c r="D49" s="193" t="n"/>
      <c r="E49" s="193" t="n"/>
    </row>
    <row r="50">
      <c r="B50" s="193" t="n"/>
      <c r="C50" s="193" t="n"/>
      <c r="D50" s="193" t="n"/>
      <c r="E50" s="1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7"/>
  <sheetViews>
    <sheetView view="pageBreakPreview" topLeftCell="A73" zoomScale="85" zoomScaleNormal="100" zoomScaleSheetLayoutView="85" workbookViewId="0">
      <selection activeCell="C95" sqref="C95"/>
    </sheetView>
  </sheetViews>
  <sheetFormatPr baseColWidth="8" defaultColWidth="9.140625" defaultRowHeight="15" outlineLevelRow="1"/>
  <cols>
    <col width="9.14062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4.570312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>
      <c r="H2" s="263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3">
      <c r="A4" s="219" t="inlineStr">
        <is>
          <t>Расчет стоимости СМР и оборудования</t>
        </is>
      </c>
    </row>
    <row r="5" ht="12.75" customFormat="1" customHeight="1" s="193">
      <c r="A5" s="219" t="n"/>
      <c r="B5" s="219" t="n"/>
      <c r="C5" s="277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93">
      <c r="A6" s="222" t="inlineStr">
        <is>
          <t>Наименование разрабатываемого показателя УНЦ</t>
        </is>
      </c>
      <c r="D6" s="222" t="inlineStr">
        <is>
          <t>ТТ на три фазы с устройством фундамента напряжение 6-15 кВ</t>
        </is>
      </c>
    </row>
    <row r="7" ht="12.75" customFormat="1" customHeight="1" s="193">
      <c r="A7" s="222" t="inlineStr">
        <is>
          <t>Единица измерения  — 1 ед.</t>
        </is>
      </c>
      <c r="I7" s="255" t="n"/>
      <c r="J7" s="255" t="n"/>
    </row>
    <row r="8" ht="12.75" customFormat="1" customHeight="1" s="193">
      <c r="A8" s="222" t="n"/>
    </row>
    <row r="9" ht="32.25" customHeight="1">
      <c r="A9" s="258" t="inlineStr">
        <is>
          <t>№ пп.</t>
        </is>
      </c>
      <c r="B9" s="258" t="inlineStr">
        <is>
          <t>Код ресурса</t>
        </is>
      </c>
      <c r="C9" s="258" t="inlineStr">
        <is>
          <t>Наименование</t>
        </is>
      </c>
      <c r="D9" s="258" t="inlineStr">
        <is>
          <t>Ед. изм.</t>
        </is>
      </c>
      <c r="E9" s="258" t="inlineStr">
        <is>
          <t>Кол-во единиц по проектным данным</t>
        </is>
      </c>
      <c r="F9" s="258" t="inlineStr">
        <is>
          <t>Сметная стоимость в ценах на 01.01.2000 (руб.)</t>
        </is>
      </c>
      <c r="G9" s="321" t="n"/>
      <c r="H9" s="258" t="inlineStr">
        <is>
          <t>Удельный вес, %</t>
        </is>
      </c>
      <c r="I9" s="258" t="inlineStr">
        <is>
          <t>Сметная стоимость в ценах на 01.01.2023 (руб.)</t>
        </is>
      </c>
      <c r="J9" s="321" t="n"/>
      <c r="M9" s="198" t="n"/>
      <c r="N9" s="198" t="n"/>
    </row>
    <row r="10" ht="30.75" customHeight="1">
      <c r="A10" s="323" t="n"/>
      <c r="B10" s="323" t="n"/>
      <c r="C10" s="323" t="n"/>
      <c r="D10" s="323" t="n"/>
      <c r="E10" s="323" t="n"/>
      <c r="F10" s="258" t="inlineStr">
        <is>
          <t>на ед. изм.</t>
        </is>
      </c>
      <c r="G10" s="258" t="inlineStr">
        <is>
          <t>общая</t>
        </is>
      </c>
      <c r="H10" s="323" t="n"/>
      <c r="I10" s="258" t="inlineStr">
        <is>
          <t>на ед. изм.</t>
        </is>
      </c>
      <c r="J10" s="258" t="inlineStr">
        <is>
          <t>общая</t>
        </is>
      </c>
      <c r="M10" s="198" t="n"/>
      <c r="N10" s="198" t="n"/>
    </row>
    <row r="11">
      <c r="A11" s="258" t="n">
        <v>1</v>
      </c>
      <c r="B11" s="258" t="n">
        <v>2</v>
      </c>
      <c r="C11" s="258" t="n">
        <v>3</v>
      </c>
      <c r="D11" s="258" t="n">
        <v>4</v>
      </c>
      <c r="E11" s="258" t="n">
        <v>5</v>
      </c>
      <c r="F11" s="258" t="n">
        <v>6</v>
      </c>
      <c r="G11" s="258" t="n">
        <v>7</v>
      </c>
      <c r="H11" s="258" t="n">
        <v>8</v>
      </c>
      <c r="I11" s="266" t="n">
        <v>9</v>
      </c>
      <c r="J11" s="266" t="n">
        <v>10</v>
      </c>
      <c r="M11" s="198" t="n"/>
      <c r="N11" s="198" t="n"/>
    </row>
    <row r="12">
      <c r="A12" s="258" t="n"/>
      <c r="B12" s="262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50" t="n"/>
      <c r="J12" s="150" t="n"/>
    </row>
    <row r="13" ht="25.5" customHeight="1">
      <c r="A13" s="258" t="n">
        <v>1</v>
      </c>
      <c r="B13" s="151" t="inlineStr">
        <is>
          <t>1-4-0</t>
        </is>
      </c>
      <c r="C13" s="257" t="inlineStr">
        <is>
          <t>Затраты труда рабочих-строителей среднего разряда (4,0)</t>
        </is>
      </c>
      <c r="D13" s="258" t="inlineStr">
        <is>
          <t>чел.-ч.</t>
        </is>
      </c>
      <c r="E13" s="152">
        <f>G13/F13</f>
        <v/>
      </c>
      <c r="F13" s="32" t="n">
        <v>9.619999999999999</v>
      </c>
      <c r="G13" s="32">
        <f>'Прил. 3'!H12</f>
        <v/>
      </c>
      <c r="H13" s="154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98">
      <c r="A14" s="258" t="n"/>
      <c r="B14" s="258" t="n"/>
      <c r="C14" s="262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152">
        <f>SUM(E13:E13)</f>
        <v/>
      </c>
      <c r="F14" s="32" t="n"/>
      <c r="G14" s="32">
        <f>SUM(G13:G13)</f>
        <v/>
      </c>
      <c r="H14" s="261" t="n">
        <v>1</v>
      </c>
      <c r="I14" s="150" t="n"/>
      <c r="J14" s="32">
        <f>SUM(J13:J13)</f>
        <v/>
      </c>
    </row>
    <row r="15" ht="14.25" customFormat="1" customHeight="1" s="198">
      <c r="A15" s="258" t="n"/>
      <c r="B15" s="257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50" t="n"/>
      <c r="J15" s="150" t="n"/>
    </row>
    <row r="16" ht="14.25" customFormat="1" customHeight="1" s="198">
      <c r="A16" s="258" t="n">
        <v>4</v>
      </c>
      <c r="B16" s="258" t="n">
        <v>2</v>
      </c>
      <c r="C16" s="257" t="inlineStr">
        <is>
          <t>Затраты труда машинистов</t>
        </is>
      </c>
      <c r="D16" s="258" t="inlineStr">
        <is>
          <t>чел.-ч.</t>
        </is>
      </c>
      <c r="E16" s="152">
        <f>'Прил. 3'!F19</f>
        <v/>
      </c>
      <c r="F16" s="32">
        <f>G16/E16</f>
        <v/>
      </c>
      <c r="G16" s="32">
        <f>'Прил. 3'!H19</f>
        <v/>
      </c>
      <c r="H16" s="261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98">
      <c r="A17" s="258" t="n"/>
      <c r="B17" s="262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50" t="n"/>
      <c r="J17" s="150" t="n"/>
    </row>
    <row r="18" ht="14.25" customFormat="1" customHeight="1" s="198">
      <c r="A18" s="258" t="n"/>
      <c r="B18" s="257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50" t="n"/>
      <c r="J18" s="150" t="n"/>
    </row>
    <row r="19" ht="25.5" customFormat="1" customHeight="1" s="198">
      <c r="A19" s="258" t="n">
        <v>5</v>
      </c>
      <c r="B19" s="151" t="inlineStr">
        <is>
          <t>91.05.05-015</t>
        </is>
      </c>
      <c r="C19" s="191" t="inlineStr">
        <is>
          <t>Краны на автомобильном ходу, грузоподъемность 16 т</t>
        </is>
      </c>
      <c r="D19" s="151" t="inlineStr">
        <is>
          <t>маш.час</t>
        </is>
      </c>
      <c r="E19" s="258" t="n">
        <v>7.1111676</v>
      </c>
      <c r="F19" s="260" t="n">
        <v>115.4</v>
      </c>
      <c r="G19" s="32">
        <f>ROUND(E19*F19,2)</f>
        <v/>
      </c>
      <c r="H19" s="154">
        <f>G19/$G$40</f>
        <v/>
      </c>
      <c r="I19" s="32">
        <f>ROUND(F19*Прил.10!D12,2)</f>
        <v/>
      </c>
      <c r="J19" s="32">
        <f>ROUND(I19*E19,2)</f>
        <v/>
      </c>
    </row>
    <row r="20" ht="25.5" customFormat="1" customHeight="1" s="198">
      <c r="A20" s="258" t="n">
        <v>6</v>
      </c>
      <c r="B20" s="151" t="inlineStr">
        <is>
          <t>91.04.01-031</t>
        </is>
      </c>
      <c r="C20" s="191" t="inlineStr">
        <is>
          <t>Машины бурильно-крановые на автомобиле, глубина бурения 3,5 м</t>
        </is>
      </c>
      <c r="D20" s="151" t="inlineStr">
        <is>
          <t>маш.час</t>
        </is>
      </c>
      <c r="E20" s="258" t="n">
        <v>2.14</v>
      </c>
      <c r="F20" s="260" t="n">
        <v>138.54</v>
      </c>
      <c r="G20" s="32">
        <f>ROUND(E20*F20,2)</f>
        <v/>
      </c>
      <c r="H20" s="154">
        <f>G20/$G$40</f>
        <v/>
      </c>
      <c r="I20" s="32">
        <f>ROUND(F20*Прил.10!$D$12,2)</f>
        <v/>
      </c>
      <c r="J20" s="32">
        <f>ROUND(I20*E20,2)</f>
        <v/>
      </c>
    </row>
    <row r="21" ht="51" customFormat="1" customHeight="1" s="198">
      <c r="A21" s="258" t="n">
        <v>7</v>
      </c>
      <c r="B21" s="151" t="inlineStr">
        <is>
          <t>91.18.01-007</t>
        </is>
      </c>
      <c r="C21" s="1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51" t="inlineStr">
        <is>
          <t>маш.час</t>
        </is>
      </c>
      <c r="E21" s="258" t="n">
        <v>1.504</v>
      </c>
      <c r="F21" s="260" t="n">
        <v>90</v>
      </c>
      <c r="G21" s="32">
        <f>ROUND(E21*F21,2)</f>
        <v/>
      </c>
      <c r="H21" s="154">
        <f>G21/$G$40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98">
      <c r="A22" s="258" t="n">
        <v>8</v>
      </c>
      <c r="B22" s="151" t="inlineStr">
        <is>
          <t>91.06.06-042</t>
        </is>
      </c>
      <c r="C22" s="191" t="inlineStr">
        <is>
          <t>Подъемники гидравлические, высота подъема 10 м</t>
        </is>
      </c>
      <c r="D22" s="151" t="inlineStr">
        <is>
          <t>маш.час</t>
        </is>
      </c>
      <c r="E22" s="258" t="n">
        <v>4.53</v>
      </c>
      <c r="F22" s="260" t="n">
        <v>29.6</v>
      </c>
      <c r="G22" s="32">
        <f>ROUND(E22*F22,2)</f>
        <v/>
      </c>
      <c r="H22" s="154">
        <f>G22/$G$40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98">
      <c r="A23" s="258" t="n"/>
      <c r="B23" s="258" t="n"/>
      <c r="C23" s="257" t="inlineStr">
        <is>
          <t>Итого основные машины и механизмы</t>
        </is>
      </c>
      <c r="D23" s="258" t="n"/>
      <c r="E23" s="258" t="n"/>
      <c r="F23" s="32" t="n"/>
      <c r="G23" s="32">
        <f>SUM(G19:G22)</f>
        <v/>
      </c>
      <c r="H23" s="261">
        <f>G23/G40</f>
        <v/>
      </c>
      <c r="I23" s="153" t="n"/>
      <c r="J23" s="32">
        <f>SUM(J19:J22)</f>
        <v/>
      </c>
    </row>
    <row r="24" outlineLevel="1" ht="25.5" customFormat="1" customHeight="1" s="198">
      <c r="A24" s="258" t="n">
        <v>9</v>
      </c>
      <c r="B24" s="151" t="inlineStr">
        <is>
          <t>91.14.02-001</t>
        </is>
      </c>
      <c r="C24" s="191" t="inlineStr">
        <is>
          <t>Автомобили бортовые, грузоподъемность до 5 т</t>
        </is>
      </c>
      <c r="D24" s="151" t="inlineStr">
        <is>
          <t>маш.час</t>
        </is>
      </c>
      <c r="E24" s="258" t="n">
        <v>1.612</v>
      </c>
      <c r="F24" s="260" t="n">
        <v>65.70999999999999</v>
      </c>
      <c r="G24" s="32">
        <f>ROUND(E24*F24,2)</f>
        <v/>
      </c>
      <c r="H24" s="154">
        <f>G24/$G$40</f>
        <v/>
      </c>
      <c r="I24" s="32">
        <f>ROUND(F24*Прил.10!$D$12,2)</f>
        <v/>
      </c>
      <c r="J24" s="32">
        <f>ROUND(I24*E24,2)</f>
        <v/>
      </c>
    </row>
    <row r="25" outlineLevel="1" ht="25.5" customFormat="1" customHeight="1" s="198">
      <c r="A25" s="258" t="n">
        <v>10</v>
      </c>
      <c r="B25" s="151" t="inlineStr">
        <is>
          <t>91.05.06-012</t>
        </is>
      </c>
      <c r="C25" s="191" t="inlineStr">
        <is>
          <t>Краны на гусеничном ходу, грузоподъемность до 16 т</t>
        </is>
      </c>
      <c r="D25" s="151" t="inlineStr">
        <is>
          <t>маш.час</t>
        </is>
      </c>
      <c r="E25" s="258" t="n">
        <v>0.5600000000000001</v>
      </c>
      <c r="F25" s="260" t="n">
        <v>96.89</v>
      </c>
      <c r="G25" s="32">
        <f>ROUND(E25*F25,2)</f>
        <v/>
      </c>
      <c r="H25" s="154">
        <f>G25/$G$40</f>
        <v/>
      </c>
      <c r="I25" s="32">
        <f>ROUND(F25*Прил.10!$D$12,2)</f>
        <v/>
      </c>
      <c r="J25" s="32">
        <f>ROUND(I25*E25,2)</f>
        <v/>
      </c>
    </row>
    <row r="26" outlineLevel="1" ht="38.25" customFormat="1" customHeight="1" s="198">
      <c r="A26" s="258" t="n">
        <v>11</v>
      </c>
      <c r="B26" s="151" t="inlineStr">
        <is>
          <t>91.17.04-036</t>
        </is>
      </c>
      <c r="C26" s="191" t="inlineStr">
        <is>
          <t>Агрегаты сварочные передвижные с дизельным двигателем, номинальный сварочный ток 250-400 А</t>
        </is>
      </c>
      <c r="D26" s="151" t="inlineStr">
        <is>
          <t>маш.час</t>
        </is>
      </c>
      <c r="E26" s="258" t="n">
        <v>1.9599944</v>
      </c>
      <c r="F26" s="260" t="n">
        <v>14</v>
      </c>
      <c r="G26" s="32">
        <f>ROUND(E26*F26,2)</f>
        <v/>
      </c>
      <c r="H26" s="154">
        <f>G26/$G$40</f>
        <v/>
      </c>
      <c r="I26" s="32">
        <f>ROUND(F26*Прил.10!$D$12,2)</f>
        <v/>
      </c>
      <c r="J26" s="32">
        <f>ROUND(I26*E26,2)</f>
        <v/>
      </c>
    </row>
    <row r="27" outlineLevel="1" ht="25.5" customFormat="1" customHeight="1" s="198">
      <c r="A27" s="258" t="n">
        <v>12</v>
      </c>
      <c r="B27" s="151" t="inlineStr">
        <is>
          <t>91.17.04-233</t>
        </is>
      </c>
      <c r="C27" s="191" t="inlineStr">
        <is>
          <t>Установки для сварки ручной дуговой (постоянного тока)</t>
        </is>
      </c>
      <c r="D27" s="151" t="inlineStr">
        <is>
          <t>маш.час</t>
        </is>
      </c>
      <c r="E27" s="258" t="n">
        <v>1.4</v>
      </c>
      <c r="F27" s="260" t="n">
        <v>8.1</v>
      </c>
      <c r="G27" s="32">
        <f>ROUND(E27*F27,2)</f>
        <v/>
      </c>
      <c r="H27" s="154">
        <f>G27/$G$40</f>
        <v/>
      </c>
      <c r="I27" s="32">
        <f>ROUND(F27*Прил.10!$D$12,2)</f>
        <v/>
      </c>
      <c r="J27" s="32">
        <f>ROUND(I27*E27,2)</f>
        <v/>
      </c>
    </row>
    <row r="28" outlineLevel="1" ht="38.25" customFormat="1" customHeight="1" s="198">
      <c r="A28" s="258" t="n">
        <v>13</v>
      </c>
      <c r="B28" s="151" t="inlineStr">
        <is>
          <t>91.19.06-011</t>
        </is>
      </c>
      <c r="C28" s="191" t="inlineStr">
        <is>
          <t>Насосы грязевые, подача 23,4-65,3 м3/ч, давление нагнетания 15,7-5,88 МПа (160-60 кгс/см2)</t>
        </is>
      </c>
      <c r="D28" s="151" t="inlineStr">
        <is>
          <t>маш.час</t>
        </is>
      </c>
      <c r="E28" s="258" t="n">
        <v>0.336</v>
      </c>
      <c r="F28" s="260" t="n">
        <v>32.71</v>
      </c>
      <c r="G28" s="32">
        <f>ROUND(E28*F28,2)</f>
        <v/>
      </c>
      <c r="H28" s="154">
        <f>G28/$G$40</f>
        <v/>
      </c>
      <c r="I28" s="32">
        <f>ROUND(F28*Прил.10!$D$12,2)</f>
        <v/>
      </c>
      <c r="J28" s="32">
        <f>ROUND(I28*E28,2)</f>
        <v/>
      </c>
    </row>
    <row r="29" outlineLevel="1" ht="25.5" customFormat="1" customHeight="1" s="198">
      <c r="A29" s="258" t="n">
        <v>14</v>
      </c>
      <c r="B29" s="151" t="inlineStr">
        <is>
          <t>91.21.12-002</t>
        </is>
      </c>
      <c r="C29" s="191" t="inlineStr">
        <is>
          <t>Ножницы листовые кривошипные гильотинные</t>
        </is>
      </c>
      <c r="D29" s="151" t="inlineStr">
        <is>
          <t>маш.час</t>
        </is>
      </c>
      <c r="E29" s="258" t="n">
        <v>0.1</v>
      </c>
      <c r="F29" s="260" t="n">
        <v>70</v>
      </c>
      <c r="G29" s="32">
        <f>ROUND(E29*F29,2)</f>
        <v/>
      </c>
      <c r="H29" s="154">
        <f>G29/$G$40</f>
        <v/>
      </c>
      <c r="I29" s="32">
        <f>ROUND(F29*Прил.10!$D$12,2)</f>
        <v/>
      </c>
      <c r="J29" s="32">
        <f>ROUND(I29*E29,2)</f>
        <v/>
      </c>
    </row>
    <row r="30" outlineLevel="1" ht="25.5" customFormat="1" customHeight="1" s="198">
      <c r="A30" s="258" t="n">
        <v>15</v>
      </c>
      <c r="B30" s="151" t="inlineStr">
        <is>
          <t>91.06.03-061</t>
        </is>
      </c>
      <c r="C30" s="191" t="inlineStr">
        <is>
          <t>Лебедки электрические тяговым усилием до 12,26 кН (1,25 т)</t>
        </is>
      </c>
      <c r="D30" s="151" t="inlineStr">
        <is>
          <t>маш.час</t>
        </is>
      </c>
      <c r="E30" s="258" t="n">
        <v>1.76</v>
      </c>
      <c r="F30" s="260" t="n">
        <v>3.28</v>
      </c>
      <c r="G30" s="32">
        <f>ROUND(E30*F30,2)</f>
        <v/>
      </c>
      <c r="H30" s="154">
        <f>G30/$G$40</f>
        <v/>
      </c>
      <c r="I30" s="32">
        <f>ROUND(F30*Прил.10!$D$12,2)</f>
        <v/>
      </c>
      <c r="J30" s="32">
        <f>ROUND(I30*E30,2)</f>
        <v/>
      </c>
    </row>
    <row r="31" outlineLevel="1" ht="25.5" customFormat="1" customHeight="1" s="198">
      <c r="A31" s="258" t="n">
        <v>16</v>
      </c>
      <c r="B31" s="151" t="inlineStr">
        <is>
          <t>91.21.16-014</t>
        </is>
      </c>
      <c r="C31" s="191" t="inlineStr">
        <is>
          <t>Прессы листогибочные кривошипные 1000 кН (100 тс)</t>
        </is>
      </c>
      <c r="D31" s="151" t="inlineStr">
        <is>
          <t>маш.час</t>
        </is>
      </c>
      <c r="E31" s="258" t="n">
        <v>0.1</v>
      </c>
      <c r="F31" s="260" t="n">
        <v>56.24</v>
      </c>
      <c r="G31" s="32">
        <f>ROUND(E31*F31,2)</f>
        <v/>
      </c>
      <c r="H31" s="154">
        <f>G31/$G$40</f>
        <v/>
      </c>
      <c r="I31" s="32">
        <f>ROUND(F31*Прил.10!$D$12,2)</f>
        <v/>
      </c>
      <c r="J31" s="32">
        <f>ROUND(I31*E31,2)</f>
        <v/>
      </c>
    </row>
    <row r="32" outlineLevel="1" ht="25.5" customFormat="1" customHeight="1" s="198">
      <c r="A32" s="258" t="n">
        <v>17</v>
      </c>
      <c r="B32" s="151" t="inlineStr">
        <is>
          <t>91.06.01-003</t>
        </is>
      </c>
      <c r="C32" s="191" t="inlineStr">
        <is>
          <t>Домкраты гидравлические, грузоподъемность 63-100 т</t>
        </is>
      </c>
      <c r="D32" s="151" t="inlineStr">
        <is>
          <t>маш.час</t>
        </is>
      </c>
      <c r="E32" s="258" t="n">
        <v>5.54</v>
      </c>
      <c r="F32" s="260" t="n">
        <v>0.9</v>
      </c>
      <c r="G32" s="32">
        <f>ROUND(E32*F32,2)</f>
        <v/>
      </c>
      <c r="H32" s="154">
        <f>G32/$G$40</f>
        <v/>
      </c>
      <c r="I32" s="32">
        <f>ROUND(F32*Прил.10!$D$12,2)</f>
        <v/>
      </c>
      <c r="J32" s="32">
        <f>ROUND(I32*E32,2)</f>
        <v/>
      </c>
    </row>
    <row r="33" outlineLevel="1" ht="25.5" customFormat="1" customHeight="1" s="198">
      <c r="A33" s="258" t="n">
        <v>18</v>
      </c>
      <c r="B33" s="151" t="inlineStr">
        <is>
          <t>91.14.02-002</t>
        </is>
      </c>
      <c r="C33" s="191" t="inlineStr">
        <is>
          <t>Автомобили бортовые, грузоподъемность до 8 т</t>
        </is>
      </c>
      <c r="D33" s="151" t="inlineStr">
        <is>
          <t>маш.час</t>
        </is>
      </c>
      <c r="E33" s="258" t="n">
        <v>0.0428296</v>
      </c>
      <c r="F33" s="260" t="n">
        <v>85.84</v>
      </c>
      <c r="G33" s="32">
        <f>ROUND(E33*F33,2)</f>
        <v/>
      </c>
      <c r="H33" s="154">
        <f>G33/$G$40</f>
        <v/>
      </c>
      <c r="I33" s="32">
        <f>ROUND(F33*Прил.10!$D$12,2)</f>
        <v/>
      </c>
      <c r="J33" s="32">
        <f>ROUND(I33*E33,2)</f>
        <v/>
      </c>
    </row>
    <row r="34" outlineLevel="1" ht="25.5" customFormat="1" customHeight="1" s="198">
      <c r="A34" s="258" t="n">
        <v>19</v>
      </c>
      <c r="B34" s="151" t="inlineStr">
        <is>
          <t>91.21.16-013</t>
        </is>
      </c>
      <c r="C34" s="191" t="inlineStr">
        <is>
          <t>Прессы кривошипные простого действия 25 кН (2,5 тс)</t>
        </is>
      </c>
      <c r="D34" s="151" t="inlineStr">
        <is>
          <t>маш.час</t>
        </is>
      </c>
      <c r="E34" s="258" t="n">
        <v>0.1</v>
      </c>
      <c r="F34" s="260" t="n">
        <v>16.92</v>
      </c>
      <c r="G34" s="32">
        <f>ROUND(E34*F34,2)</f>
        <v/>
      </c>
      <c r="H34" s="154">
        <f>G34/$G$40</f>
        <v/>
      </c>
      <c r="I34" s="32">
        <f>ROUND(F34*Прил.10!$D$12,2)</f>
        <v/>
      </c>
      <c r="J34" s="32">
        <f>ROUND(I34*E34,2)</f>
        <v/>
      </c>
    </row>
    <row r="35" outlineLevel="1" ht="25.5" customFormat="1" customHeight="1" s="198">
      <c r="A35" s="258" t="n">
        <v>20</v>
      </c>
      <c r="B35" s="151" t="inlineStr">
        <is>
          <t>91.08.09-023</t>
        </is>
      </c>
      <c r="C35" s="191" t="inlineStr">
        <is>
          <t>Трамбовки пневматические при работе от передвижных компрессорных станций</t>
        </is>
      </c>
      <c r="D35" s="151" t="inlineStr">
        <is>
          <t>маш.час</t>
        </is>
      </c>
      <c r="E35" s="258" t="n">
        <v>3.008</v>
      </c>
      <c r="F35" s="260" t="n">
        <v>0.55</v>
      </c>
      <c r="G35" s="32">
        <f>ROUND(E35*F35,2)</f>
        <v/>
      </c>
      <c r="H35" s="154">
        <f>G35/$G$40</f>
        <v/>
      </c>
      <c r="I35" s="32">
        <f>ROUND(F35*Прил.10!$D$12,2)</f>
        <v/>
      </c>
      <c r="J35" s="32">
        <f>ROUND(I35*E35,2)</f>
        <v/>
      </c>
    </row>
    <row r="36" outlineLevel="1" ht="38.25" customFormat="1" customHeight="1" s="198">
      <c r="A36" s="258" t="n">
        <v>21</v>
      </c>
      <c r="B36" s="151" t="inlineStr">
        <is>
          <t>91.21.01-012</t>
        </is>
      </c>
      <c r="C36" s="191" t="inlineStr">
        <is>
          <t>Агрегаты окрасочные высокого давления для окраски поверхностей конструкций, мощность 1 кВт</t>
        </is>
      </c>
      <c r="D36" s="151" t="inlineStr">
        <is>
          <t>маш.час</t>
        </is>
      </c>
      <c r="E36" s="258" t="n">
        <v>0.124</v>
      </c>
      <c r="F36" s="260" t="n">
        <v>6.82</v>
      </c>
      <c r="G36" s="32">
        <f>ROUND(E36*F36,2)</f>
        <v/>
      </c>
      <c r="H36" s="154">
        <f>G36/$G$40</f>
        <v/>
      </c>
      <c r="I36" s="32">
        <f>ROUND(F36*Прил.10!$D$12,2)</f>
        <v/>
      </c>
      <c r="J36" s="32">
        <f>ROUND(I36*E36,2)</f>
        <v/>
      </c>
    </row>
    <row r="37" outlineLevel="1" ht="14.25" customFormat="1" customHeight="1" s="198">
      <c r="A37" s="258" t="n">
        <v>22</v>
      </c>
      <c r="B37" s="151" t="inlineStr">
        <is>
          <t>91.07.04-001</t>
        </is>
      </c>
      <c r="C37" s="191" t="inlineStr">
        <is>
          <t>Вибраторы глубинные</t>
        </is>
      </c>
      <c r="D37" s="151" t="inlineStr">
        <is>
          <t>маш.час</t>
        </is>
      </c>
      <c r="E37" s="258" t="n">
        <v>0.384</v>
      </c>
      <c r="F37" s="260" t="n">
        <v>1.9</v>
      </c>
      <c r="G37" s="32">
        <f>ROUND(E37*F37,2)</f>
        <v/>
      </c>
      <c r="H37" s="154">
        <f>G37/$G$40</f>
        <v/>
      </c>
      <c r="I37" s="32">
        <f>ROUND(F37*Прил.10!$D$12,2)</f>
        <v/>
      </c>
      <c r="J37" s="32">
        <f>ROUND(I37*E37,2)</f>
        <v/>
      </c>
    </row>
    <row r="38" outlineLevel="1" ht="14.25" customFormat="1" customHeight="1" s="198">
      <c r="A38" s="258" t="n">
        <v>23</v>
      </c>
      <c r="B38" s="151" t="inlineStr">
        <is>
          <t>91.21.19-031</t>
        </is>
      </c>
      <c r="C38" s="191" t="inlineStr">
        <is>
          <t>Станки сверлильные</t>
        </is>
      </c>
      <c r="D38" s="151" t="inlineStr">
        <is>
          <t>маш.час</t>
        </is>
      </c>
      <c r="E38" s="258" t="n">
        <v>0.1</v>
      </c>
      <c r="F38" s="260" t="n">
        <v>2.36</v>
      </c>
      <c r="G38" s="32">
        <f>ROUND(E38*F38,2)</f>
        <v/>
      </c>
      <c r="H38" s="154">
        <f>G38/$G$40</f>
        <v/>
      </c>
      <c r="I38" s="32">
        <f>ROUND(F38*Прил.10!$D$12,2)</f>
        <v/>
      </c>
      <c r="J38" s="32">
        <f>ROUND(I38*E38,2)</f>
        <v/>
      </c>
    </row>
    <row r="39" ht="14.25" customFormat="1" customHeight="1" s="198">
      <c r="A39" s="258" t="n"/>
      <c r="B39" s="258" t="n"/>
      <c r="C39" s="257" t="inlineStr">
        <is>
          <t>Итого прочие машины и механизмы</t>
        </is>
      </c>
      <c r="D39" s="258" t="n"/>
      <c r="E39" s="258" t="n"/>
      <c r="F39" s="32" t="n"/>
      <c r="G39" s="153">
        <f>SUM(G24:G38)</f>
        <v/>
      </c>
      <c r="H39" s="154">
        <f>G39/G40</f>
        <v/>
      </c>
      <c r="I39" s="32" t="n"/>
      <c r="J39" s="32">
        <f>SUM(J24:J38)</f>
        <v/>
      </c>
    </row>
    <row r="40" ht="25.5" customFormat="1" customHeight="1" s="198">
      <c r="A40" s="258" t="n"/>
      <c r="B40" s="258" t="n"/>
      <c r="C40" s="262" t="inlineStr">
        <is>
          <t>Итого по разделу «Машины и механизмы»</t>
        </is>
      </c>
      <c r="D40" s="258" t="n"/>
      <c r="E40" s="259" t="n"/>
      <c r="F40" s="32" t="n"/>
      <c r="G40" s="32">
        <f>G39+G23</f>
        <v/>
      </c>
      <c r="H40" s="155" t="n">
        <v>1</v>
      </c>
      <c r="I40" s="156" t="n"/>
      <c r="J40" s="157">
        <f>J39+J23</f>
        <v/>
      </c>
    </row>
    <row r="41">
      <c r="A41" s="258" t="n"/>
      <c r="B41" s="262" t="inlineStr">
        <is>
          <t xml:space="preserve">Оборудование </t>
        </is>
      </c>
      <c r="C41" s="320" t="n"/>
      <c r="D41" s="320" t="n"/>
      <c r="E41" s="320" t="n"/>
      <c r="F41" s="320" t="n"/>
      <c r="G41" s="320" t="n"/>
      <c r="H41" s="320" t="n"/>
      <c r="I41" s="320" t="n"/>
      <c r="J41" s="321" t="n"/>
    </row>
    <row r="42">
      <c r="A42" s="258" t="n"/>
      <c r="B42" s="257" t="inlineStr">
        <is>
          <t>Основное оборудование</t>
        </is>
      </c>
      <c r="C42" s="320" t="n"/>
      <c r="D42" s="320" t="n"/>
      <c r="E42" s="320" t="n"/>
      <c r="F42" s="320" t="n"/>
      <c r="G42" s="320" t="n"/>
      <c r="H42" s="321" t="n"/>
      <c r="I42" s="150" t="n"/>
      <c r="J42" s="150" t="n"/>
    </row>
    <row r="43">
      <c r="A43" s="258" t="n">
        <v>30</v>
      </c>
      <c r="B43" s="151" t="inlineStr">
        <is>
          <t>БЦ.14.102</t>
        </is>
      </c>
      <c r="C43" s="257" t="inlineStr">
        <is>
          <t>Трансформатор тока 10 кВ, 800 А, 40 кА</t>
        </is>
      </c>
      <c r="D43" s="258" t="inlineStr">
        <is>
          <t>шт.</t>
        </is>
      </c>
      <c r="E43" s="158" t="n">
        <v>6</v>
      </c>
      <c r="F43" s="260">
        <f>ROUND(I43/Прил.10!D14,2)</f>
        <v/>
      </c>
      <c r="G43" s="32">
        <f>ROUND(E43*F43,2)</f>
        <v/>
      </c>
      <c r="H43" s="261">
        <f>G43/$G$48</f>
        <v/>
      </c>
      <c r="I43" s="32" t="n">
        <v>39000</v>
      </c>
      <c r="J43" s="190">
        <f>ROUND(I43*E43,2)</f>
        <v/>
      </c>
    </row>
    <row r="44">
      <c r="A44" s="258" t="n"/>
      <c r="B44" s="258" t="n"/>
      <c r="C44" s="257" t="inlineStr">
        <is>
          <t>Итого основное оборудование</t>
        </is>
      </c>
      <c r="D44" s="258" t="n"/>
      <c r="E44" s="259" t="n"/>
      <c r="F44" s="260" t="n"/>
      <c r="G44" s="32">
        <f>G43</f>
        <v/>
      </c>
      <c r="H44" s="261">
        <f>G44/$G$48</f>
        <v/>
      </c>
      <c r="I44" s="153" t="n"/>
      <c r="J44" s="32">
        <f>J43</f>
        <v/>
      </c>
    </row>
    <row r="45" outlineLevel="1" ht="25.5" customHeight="1">
      <c r="A45" s="258" t="n">
        <v>31</v>
      </c>
      <c r="B45" s="189" t="inlineStr">
        <is>
          <t>БЦ.30_1.149</t>
        </is>
      </c>
      <c r="C45" s="257" t="inlineStr">
        <is>
          <t>Шкаф промежуточных зажимов ШЗВ-60 УХЛ1</t>
        </is>
      </c>
      <c r="D45" s="258" t="inlineStr">
        <is>
          <t>шт.</t>
        </is>
      </c>
      <c r="E45" s="158" t="n">
        <v>2</v>
      </c>
      <c r="F45" s="260" t="n">
        <v>6790.9</v>
      </c>
      <c r="G45" s="32">
        <f>ROUND('Прил.6 Расчет ОБ'!E13*'Прил.6 Расчет ОБ'!F13,2)</f>
        <v/>
      </c>
      <c r="H45" s="261">
        <f>G45/$G$48</f>
        <v/>
      </c>
      <c r="I45" s="32" t="n">
        <v>138000</v>
      </c>
      <c r="J45" s="190">
        <f>ROUND(I45*'Прил.6 Расчет ОБ'!E13,2)</f>
        <v/>
      </c>
    </row>
    <row r="46" outlineLevel="1" ht="25.5" customHeight="1">
      <c r="A46" s="258" t="n">
        <v>32</v>
      </c>
      <c r="B46" s="189" t="inlineStr">
        <is>
          <t>Прайс из СД ОП</t>
        </is>
      </c>
      <c r="C46" s="257" t="inlineStr">
        <is>
          <t>Коробка зажимов для цепей тока с (КИ-10) К3-11-АСКУЭ</t>
        </is>
      </c>
      <c r="D46" s="258" t="inlineStr">
        <is>
          <t>шт.</t>
        </is>
      </c>
      <c r="E46" s="158" t="n">
        <v>2</v>
      </c>
      <c r="F46" s="260" t="n">
        <v>921.63</v>
      </c>
      <c r="G46" s="32">
        <f>ROUND('Прил.6 Расчет ОБ'!E14*'Прил.6 Расчет ОБ'!F14,2)</f>
        <v/>
      </c>
      <c r="H46" s="261">
        <f>G46/$G$48</f>
        <v/>
      </c>
      <c r="I46" s="32">
        <f>ROUND('Прил.6 Расчет ОБ'!F14*Прил.10!$D$14,2)</f>
        <v/>
      </c>
      <c r="J46" s="190">
        <f>ROUND(I46*'Прил.6 Расчет ОБ'!E14,2)</f>
        <v/>
      </c>
    </row>
    <row r="47">
      <c r="A47" s="258" t="n"/>
      <c r="B47" s="258" t="n"/>
      <c r="C47" s="257" t="inlineStr">
        <is>
          <t>Итого прочее оборудование</t>
        </is>
      </c>
      <c r="D47" s="258" t="n"/>
      <c r="E47" s="259" t="n"/>
      <c r="F47" s="260" t="n"/>
      <c r="G47" s="32">
        <f>SUM(G45:G46)</f>
        <v/>
      </c>
      <c r="H47" s="261">
        <f>G47/$G$48</f>
        <v/>
      </c>
      <c r="I47" s="153" t="n"/>
      <c r="J47" s="32">
        <f>SUM(J45:J46)</f>
        <v/>
      </c>
    </row>
    <row r="48">
      <c r="A48" s="258" t="n"/>
      <c r="B48" s="258" t="n"/>
      <c r="C48" s="262" t="inlineStr">
        <is>
          <t>Итого по разделу «Оборудование»</t>
        </is>
      </c>
      <c r="D48" s="258" t="n"/>
      <c r="E48" s="259" t="n"/>
      <c r="F48" s="260" t="n"/>
      <c r="G48" s="32">
        <f>G47+G44</f>
        <v/>
      </c>
      <c r="H48" s="261">
        <f>G48/$G$48</f>
        <v/>
      </c>
      <c r="I48" s="153" t="n"/>
      <c r="J48" s="32">
        <f>J47+J44</f>
        <v/>
      </c>
    </row>
    <row r="49" ht="25.5" customHeight="1">
      <c r="A49" s="258" t="n"/>
      <c r="B49" s="258" t="n"/>
      <c r="C49" s="257" t="inlineStr">
        <is>
          <t>в том числе технологическое оборудование</t>
        </is>
      </c>
      <c r="D49" s="258" t="n"/>
      <c r="E49" s="158" t="n"/>
      <c r="F49" s="260" t="n"/>
      <c r="G49" s="32">
        <f>G48</f>
        <v/>
      </c>
      <c r="H49" s="261" t="n"/>
      <c r="I49" s="153" t="n"/>
      <c r="J49" s="32">
        <f>J48</f>
        <v/>
      </c>
    </row>
    <row r="50" ht="14.25" customFormat="1" customHeight="1" s="198">
      <c r="A50" s="258" t="n"/>
      <c r="B50" s="262" t="inlineStr">
        <is>
          <t xml:space="preserve">Материалы </t>
        </is>
      </c>
      <c r="C50" s="320" t="n"/>
      <c r="D50" s="320" t="n"/>
      <c r="E50" s="320" t="n"/>
      <c r="F50" s="320" t="n"/>
      <c r="G50" s="320" t="n"/>
      <c r="H50" s="320" t="n"/>
      <c r="I50" s="320" t="n"/>
      <c r="J50" s="321" t="n"/>
    </row>
    <row r="51" ht="14.25" customFormat="1" customHeight="1" s="198">
      <c r="A51" s="258" t="n"/>
      <c r="B51" s="257" t="inlineStr">
        <is>
          <t>Основные материалы</t>
        </is>
      </c>
      <c r="C51" s="320" t="n"/>
      <c r="D51" s="320" t="n"/>
      <c r="E51" s="320" t="n"/>
      <c r="F51" s="320" t="n"/>
      <c r="G51" s="320" t="n"/>
      <c r="H51" s="321" t="n"/>
      <c r="I51" s="150" t="n"/>
      <c r="J51" s="150" t="n"/>
    </row>
    <row r="52" ht="14.25" customFormat="1" customHeight="1" s="198">
      <c r="A52" s="258" t="n">
        <v>33</v>
      </c>
      <c r="B52" s="151" t="inlineStr">
        <is>
          <t>22.2.02.07-0003</t>
        </is>
      </c>
      <c r="C52" s="191" t="inlineStr">
        <is>
          <t>Конструкции стальные порталов ОРУ</t>
        </is>
      </c>
      <c r="D52" s="151" t="inlineStr">
        <is>
          <t>т</t>
        </is>
      </c>
      <c r="E52" s="258" t="n">
        <v>0.40448</v>
      </c>
      <c r="F52" s="260" t="n">
        <v>12500</v>
      </c>
      <c r="G52" s="32">
        <f>ROUND(E52*F52,2)</f>
        <v/>
      </c>
      <c r="H52" s="154">
        <f>G52/$G$85</f>
        <v/>
      </c>
      <c r="I52" s="32">
        <f>ROUND(F52*Прил.10!$D$13,2)</f>
        <v/>
      </c>
      <c r="J52" s="32">
        <f>ROUND(I52*E52,2)</f>
        <v/>
      </c>
    </row>
    <row r="53" ht="25.5" customFormat="1" customHeight="1" s="198">
      <c r="A53" s="258" t="n">
        <v>34</v>
      </c>
      <c r="B53" s="151" t="inlineStr">
        <is>
          <t>07.2.07.13-0211</t>
        </is>
      </c>
      <c r="C53" s="191" t="inlineStr">
        <is>
          <t>Тяги, распорки, связи, стойки стальные оцинкованные</t>
        </is>
      </c>
      <c r="D53" s="151" t="inlineStr">
        <is>
          <t>т</t>
        </is>
      </c>
      <c r="E53" s="258" t="n">
        <v>0.1754</v>
      </c>
      <c r="F53" s="260" t="n">
        <v>22977.81</v>
      </c>
      <c r="G53" s="32">
        <f>ROUND(E53*F53,2)</f>
        <v/>
      </c>
      <c r="H53" s="154">
        <f>G53/$G$85</f>
        <v/>
      </c>
      <c r="I53" s="32">
        <f>ROUND(F53*Прил.10!$D$13,2)</f>
        <v/>
      </c>
      <c r="J53" s="32">
        <f>ROUND(I53*E53,2)</f>
        <v/>
      </c>
    </row>
    <row r="54" ht="38.25" customFormat="1" customHeight="1" s="198">
      <c r="A54" s="258" t="n">
        <v>35</v>
      </c>
      <c r="B54" s="151" t="inlineStr">
        <is>
          <t>05.1.02.07-0028</t>
        </is>
      </c>
      <c r="C54" s="191" t="inlineStr">
        <is>
          <t>Стойки железобетонные под оборудование подстанций УСО-1А, бетон B15, объем 0,32 м3, расход арматуры 66,53 кг</t>
        </is>
      </c>
      <c r="D54" s="151" t="inlineStr">
        <is>
          <t>шт</t>
        </is>
      </c>
      <c r="E54" s="258" t="n">
        <v>2</v>
      </c>
      <c r="F54" s="260" t="n">
        <v>1340.68</v>
      </c>
      <c r="G54" s="32">
        <f>ROUND(E54*F54,2)</f>
        <v/>
      </c>
      <c r="H54" s="154">
        <f>G54/$G$85</f>
        <v/>
      </c>
      <c r="I54" s="32">
        <f>ROUND(F54*Прил.10!$D$13,2)</f>
        <v/>
      </c>
      <c r="J54" s="32">
        <f>ROUND(I54*E54,2)</f>
        <v/>
      </c>
    </row>
    <row r="55" ht="25.5" customFormat="1" customHeight="1" s="198">
      <c r="A55" s="258" t="n">
        <v>36</v>
      </c>
      <c r="B55" s="151" t="inlineStr">
        <is>
          <t>20.1.01.02-0066</t>
        </is>
      </c>
      <c r="C55" s="191" t="inlineStr">
        <is>
          <t>Зажим аппаратный прессуемый: А4А-300-2</t>
        </is>
      </c>
      <c r="D55" s="151" t="inlineStr">
        <is>
          <t>100 шт</t>
        </is>
      </c>
      <c r="E55" s="258" t="n">
        <v>0.18</v>
      </c>
      <c r="F55" s="260" t="n">
        <v>6080</v>
      </c>
      <c r="G55" s="32">
        <f>ROUND(E55*F55,2)</f>
        <v/>
      </c>
      <c r="H55" s="154">
        <f>G55/$G$85</f>
        <v/>
      </c>
      <c r="I55" s="32">
        <f>ROUND(F55*Прил.10!$D$13,2)</f>
        <v/>
      </c>
      <c r="J55" s="32">
        <f>ROUND(I55*E55,2)</f>
        <v/>
      </c>
    </row>
    <row r="56" ht="25.5" customFormat="1" customHeight="1" s="198">
      <c r="A56" s="258" t="n">
        <v>37</v>
      </c>
      <c r="B56" s="151" t="inlineStr">
        <is>
          <t>21.2.01.02-0094</t>
        </is>
      </c>
      <c r="C56" s="191" t="inlineStr">
        <is>
          <t>Провод неизолированный для воздушных линий электропередачи АС 300/39</t>
        </is>
      </c>
      <c r="D56" s="151" t="inlineStr">
        <is>
          <t>т</t>
        </is>
      </c>
      <c r="E56" s="258" t="n">
        <v>0.0311753</v>
      </c>
      <c r="F56" s="260" t="n">
        <v>32758.86</v>
      </c>
      <c r="G56" s="32">
        <f>ROUND(E56*F56,2)</f>
        <v/>
      </c>
      <c r="H56" s="154">
        <f>G56/$G$85</f>
        <v/>
      </c>
      <c r="I56" s="32">
        <f>ROUND(F56*Прил.10!$D$13,2)</f>
        <v/>
      </c>
      <c r="J56" s="32">
        <f>ROUND(I56*E56,2)</f>
        <v/>
      </c>
    </row>
    <row r="57" ht="25.5" customFormat="1" customHeight="1" s="198">
      <c r="A57" s="258" t="n">
        <v>38</v>
      </c>
      <c r="B57" s="151" t="inlineStr">
        <is>
          <t>04.1.02.05-0003</t>
        </is>
      </c>
      <c r="C57" s="191" t="inlineStr">
        <is>
          <t>Смеси бетонные тяжелого бетона (БСТ), класс В7,5 (М100)</t>
        </is>
      </c>
      <c r="D57" s="151" t="inlineStr">
        <is>
          <t>м3</t>
        </is>
      </c>
      <c r="E57" s="258" t="n">
        <v>1.632</v>
      </c>
      <c r="F57" s="260" t="n">
        <v>560</v>
      </c>
      <c r="G57" s="32">
        <f>ROUND(E57*F57,2)</f>
        <v/>
      </c>
      <c r="H57" s="154">
        <f>G57/$G$85</f>
        <v/>
      </c>
      <c r="I57" s="32">
        <f>ROUND(F57*Прил.10!$D$13,2)</f>
        <v/>
      </c>
      <c r="J57" s="32">
        <f>ROUND(I57*E57,2)</f>
        <v/>
      </c>
    </row>
    <row r="58" ht="14.25" customFormat="1" customHeight="1" s="198">
      <c r="A58" s="258" t="n"/>
      <c r="B58" s="258" t="n"/>
      <c r="C58" s="257" t="inlineStr">
        <is>
          <t>Итого основные материалы</t>
        </is>
      </c>
      <c r="D58" s="258" t="n"/>
      <c r="E58" s="258" t="n"/>
      <c r="F58" s="260" t="n"/>
      <c r="G58" s="32">
        <f>SUM(G52:G57)</f>
        <v/>
      </c>
      <c r="H58" s="261">
        <f>G58/$G$85</f>
        <v/>
      </c>
      <c r="I58" s="153" t="n"/>
      <c r="J58" s="32">
        <f>SUM(J52:J57)</f>
        <v/>
      </c>
    </row>
    <row r="59" outlineLevel="1" ht="25.5" customFormat="1" customHeight="1" s="198">
      <c r="A59" s="258" t="n">
        <v>41</v>
      </c>
      <c r="B59" s="259" t="inlineStr">
        <is>
          <t>21.1.06.09-0177</t>
        </is>
      </c>
      <c r="C59" s="192" t="inlineStr">
        <is>
          <t>Кабель силовой с медными жилами ВВГнг(A)-LS 5х4-660</t>
        </is>
      </c>
      <c r="D59" s="259" t="inlineStr">
        <is>
          <t>1000 м</t>
        </is>
      </c>
      <c r="E59" s="259" t="n">
        <v>0.04</v>
      </c>
      <c r="F59" s="260" t="n">
        <v>18047.85</v>
      </c>
      <c r="G59" s="32">
        <f>E59*F59</f>
        <v/>
      </c>
      <c r="H59" s="154">
        <f>G59/$G$85</f>
        <v/>
      </c>
      <c r="I59" s="32">
        <f>ROUND(F59*Прил.10!$D$13,2)</f>
        <v/>
      </c>
      <c r="J59" s="32">
        <f>ROUND(I59*E59,2)</f>
        <v/>
      </c>
    </row>
    <row r="60" outlineLevel="1" ht="14.25" customFormat="1" customHeight="1" s="198">
      <c r="A60" s="258" t="n">
        <v>42</v>
      </c>
      <c r="B60" s="259" t="inlineStr">
        <is>
          <t>01.7.17.11-0001</t>
        </is>
      </c>
      <c r="C60" s="192" t="inlineStr">
        <is>
          <t>Бумага шлифовальная</t>
        </is>
      </c>
      <c r="D60" s="259" t="inlineStr">
        <is>
          <t>кг</t>
        </is>
      </c>
      <c r="E60" s="259" t="n">
        <v>8</v>
      </c>
      <c r="F60" s="260" t="n">
        <v>50</v>
      </c>
      <c r="G60" s="32">
        <f>E60*F60</f>
        <v/>
      </c>
      <c r="H60" s="154">
        <f>G60/$G$85</f>
        <v/>
      </c>
      <c r="I60" s="32">
        <f>ROUND(F60*Прил.10!$D$13,2)</f>
        <v/>
      </c>
      <c r="J60" s="32">
        <f>ROUND(I60*E60,2)</f>
        <v/>
      </c>
    </row>
    <row r="61" outlineLevel="1" ht="14.25" customFormat="1" customHeight="1" s="198">
      <c r="A61" s="258" t="n">
        <v>43</v>
      </c>
      <c r="B61" s="259" t="inlineStr">
        <is>
          <t>21.1.08.03-0693</t>
        </is>
      </c>
      <c r="C61" s="192" t="inlineStr">
        <is>
          <t>Кабель контрольный КВВГЭнг-LS 4х1,5</t>
        </is>
      </c>
      <c r="D61" s="259" t="inlineStr">
        <is>
          <t>1000 м</t>
        </is>
      </c>
      <c r="E61" s="259" t="n">
        <v>0.04</v>
      </c>
      <c r="F61" s="260" t="n">
        <v>8958.610000000001</v>
      </c>
      <c r="G61" s="32">
        <f>ROUND(E61*F61,2)</f>
        <v/>
      </c>
      <c r="H61" s="154">
        <f>G61/$G$85</f>
        <v/>
      </c>
      <c r="I61" s="32">
        <f>ROUND(F61*Прил.10!$D$13,2)</f>
        <v/>
      </c>
      <c r="J61" s="32">
        <f>ROUND(I61*E61,2)</f>
        <v/>
      </c>
    </row>
    <row r="62" outlineLevel="1" ht="51" customFormat="1" customHeight="1" s="198">
      <c r="A62" s="258" t="n">
        <v>44</v>
      </c>
      <c r="B62" s="259" t="inlineStr">
        <is>
          <t>23.3.01.04-0074</t>
        </is>
      </c>
      <c r="C62" s="192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62" s="259" t="inlineStr">
        <is>
          <t>м</t>
        </is>
      </c>
      <c r="E62" s="259" t="n">
        <v>0.24</v>
      </c>
      <c r="F62" s="260" t="n">
        <v>1001.3</v>
      </c>
      <c r="G62" s="32">
        <f>ROUND(E62*F62,2)</f>
        <v/>
      </c>
      <c r="H62" s="154">
        <f>G62/$G$85</f>
        <v/>
      </c>
      <c r="I62" s="32">
        <f>ROUND(F62*Прил.10!$D$13,2)</f>
        <v/>
      </c>
      <c r="J62" s="32">
        <f>ROUND(I62*E62,2)</f>
        <v/>
      </c>
    </row>
    <row r="63" outlineLevel="1" ht="14.25" customFormat="1" customHeight="1" s="198">
      <c r="A63" s="258" t="n">
        <v>45</v>
      </c>
      <c r="B63" s="259" t="inlineStr">
        <is>
          <t>01.7.15.03-0042</t>
        </is>
      </c>
      <c r="C63" s="192" t="inlineStr">
        <is>
          <t>Болты с гайками и шайбами строительные</t>
        </is>
      </c>
      <c r="D63" s="259" t="inlineStr">
        <is>
          <t>кг</t>
        </is>
      </c>
      <c r="E63" s="259" t="n">
        <v>15.94</v>
      </c>
      <c r="F63" s="260" t="n">
        <v>9.039999999999999</v>
      </c>
      <c r="G63" s="32">
        <f>ROUND(E63*F63,2)</f>
        <v/>
      </c>
      <c r="H63" s="154">
        <f>G63/$G$85</f>
        <v/>
      </c>
      <c r="I63" s="32">
        <f>ROUND(F63*Прил.10!$D$13,2)</f>
        <v/>
      </c>
      <c r="J63" s="32">
        <f>ROUND(I63*E63,2)</f>
        <v/>
      </c>
    </row>
    <row r="64" outlineLevel="1" ht="38.25" customFormat="1" customHeight="1" s="198">
      <c r="A64" s="258" t="n">
        <v>46</v>
      </c>
      <c r="B64" s="259" t="inlineStr">
        <is>
          <t>08.3.07.01-0076</t>
        </is>
      </c>
      <c r="C64" s="192" t="inlineStr">
        <is>
          <t>Прокат полосовой, горячекатаный, марка стали Ст3сп, ширина 50-200 мм, толщина 4-5 мм</t>
        </is>
      </c>
      <c r="D64" s="259" t="inlineStr">
        <is>
          <t>т</t>
        </is>
      </c>
      <c r="E64" s="259" t="n">
        <v>0.02</v>
      </c>
      <c r="F64" s="260" t="n">
        <v>5000</v>
      </c>
      <c r="G64" s="32">
        <f>ROUND(E64*F64,2)</f>
        <v/>
      </c>
      <c r="H64" s="154">
        <f>G64/$G$85</f>
        <v/>
      </c>
      <c r="I64" s="32">
        <f>ROUND(F64*Прил.10!$D$13,2)</f>
        <v/>
      </c>
      <c r="J64" s="32">
        <f>ROUND(I64*E64,2)</f>
        <v/>
      </c>
    </row>
    <row r="65" outlineLevel="1" ht="14.25" customFormat="1" customHeight="1" s="198">
      <c r="A65" s="258" t="n">
        <v>47</v>
      </c>
      <c r="B65" s="259" t="inlineStr">
        <is>
          <t>01.7.11.07-0032</t>
        </is>
      </c>
      <c r="C65" s="192" t="inlineStr">
        <is>
          <t>Электроды сварочные Э42, диаметр 4 мм</t>
        </is>
      </c>
      <c r="D65" s="259" t="inlineStr">
        <is>
          <t>т</t>
        </is>
      </c>
      <c r="E65" s="259" t="n">
        <v>0.0059588</v>
      </c>
      <c r="F65" s="260" t="n">
        <v>10315.01</v>
      </c>
      <c r="G65" s="32">
        <f>ROUND(E65*F65,2)</f>
        <v/>
      </c>
      <c r="H65" s="154">
        <f>G65/$G$85</f>
        <v/>
      </c>
      <c r="I65" s="32">
        <f>ROUND(F65*Прил.10!$D$13,2)</f>
        <v/>
      </c>
      <c r="J65" s="32">
        <f>ROUND(I65*E65,2)</f>
        <v/>
      </c>
    </row>
    <row r="66" outlineLevel="1" ht="25.5" customFormat="1" customHeight="1" s="198">
      <c r="A66" s="258" t="n">
        <v>48</v>
      </c>
      <c r="B66" s="259" t="inlineStr">
        <is>
          <t>08.3.08.02-0091</t>
        </is>
      </c>
      <c r="C66" s="192" t="inlineStr">
        <is>
          <t>Уголок перфорированный, марка стали Ст3, размер 35х35 мм</t>
        </is>
      </c>
      <c r="D66" s="259" t="inlineStr">
        <is>
          <t>м</t>
        </is>
      </c>
      <c r="E66" s="259" t="n">
        <v>3.8</v>
      </c>
      <c r="F66" s="260" t="n">
        <v>15.13</v>
      </c>
      <c r="G66" s="32">
        <f>ROUND(E66*F66,2)</f>
        <v/>
      </c>
      <c r="H66" s="154">
        <f>G66/$G$85</f>
        <v/>
      </c>
      <c r="I66" s="32">
        <f>ROUND(F66*Прил.10!$D$13,2)</f>
        <v/>
      </c>
      <c r="J66" s="32">
        <f>ROUND(I66*E66,2)</f>
        <v/>
      </c>
    </row>
    <row r="67" outlineLevel="1" ht="25.5" customFormat="1" customHeight="1" s="198">
      <c r="A67" s="258" t="n">
        <v>49</v>
      </c>
      <c r="B67" s="259" t="inlineStr">
        <is>
          <t>08.3.05.02-0052</t>
        </is>
      </c>
      <c r="C67" s="192" t="inlineStr">
        <is>
          <t>Прокат толстолистовой горячекатаный марка стали Ст3, толщина 2-6 мм</t>
        </is>
      </c>
      <c r="D67" s="259" t="inlineStr">
        <is>
          <t>т</t>
        </is>
      </c>
      <c r="E67" s="259" t="n">
        <v>0.004</v>
      </c>
      <c r="F67" s="260" t="n">
        <v>5941.89</v>
      </c>
      <c r="G67" s="32">
        <f>ROUND(E67*F67,2)</f>
        <v/>
      </c>
      <c r="H67" s="154">
        <f>G67/$G$85</f>
        <v/>
      </c>
      <c r="I67" s="32">
        <f>ROUND(F67*Прил.10!$D$13,2)</f>
        <v/>
      </c>
      <c r="J67" s="32">
        <f>ROUND(I67*E67,2)</f>
        <v/>
      </c>
    </row>
    <row r="68" outlineLevel="1" ht="25.5" customFormat="1" customHeight="1" s="198">
      <c r="A68" s="258" t="n">
        <v>50</v>
      </c>
      <c r="B68" s="259" t="inlineStr">
        <is>
          <t>01.7.11.07-0034</t>
        </is>
      </c>
      <c r="C68" s="192" t="inlineStr">
        <is>
          <t>Электроды сварочные Э42А, диаметр 4 мм</t>
        </is>
      </c>
      <c r="D68" s="259" t="inlineStr">
        <is>
          <t>кг</t>
        </is>
      </c>
      <c r="E68" s="259" t="n">
        <v>2.1</v>
      </c>
      <c r="F68" s="260" t="n">
        <v>10.57</v>
      </c>
      <c r="G68" s="32">
        <f>ROUND(E68*F68,2)</f>
        <v/>
      </c>
      <c r="H68" s="154">
        <f>G68/$G$85</f>
        <v/>
      </c>
      <c r="I68" s="32">
        <f>ROUND(F68*Прил.10!$D$13,2)</f>
        <v/>
      </c>
      <c r="J68" s="32">
        <f>ROUND(I68*E68,2)</f>
        <v/>
      </c>
    </row>
    <row r="69" outlineLevel="1" ht="14.25" customFormat="1" customHeight="1" s="198">
      <c r="A69" s="258" t="n">
        <v>51</v>
      </c>
      <c r="B69" s="259" t="inlineStr">
        <is>
          <t>14.4.02.09-0001</t>
        </is>
      </c>
      <c r="C69" s="192" t="inlineStr">
        <is>
          <t>Краска</t>
        </is>
      </c>
      <c r="D69" s="259" t="inlineStr">
        <is>
          <t>кг</t>
        </is>
      </c>
      <c r="E69" s="259" t="n">
        <v>0.6</v>
      </c>
      <c r="F69" s="260" t="n">
        <v>28.6</v>
      </c>
      <c r="G69" s="32">
        <f>ROUND(E69*F69,2)</f>
        <v/>
      </c>
      <c r="H69" s="154">
        <f>G69/$G$85</f>
        <v/>
      </c>
      <c r="I69" s="32">
        <f>ROUND(F69*Прил.10!$D$13,2)</f>
        <v/>
      </c>
      <c r="J69" s="32">
        <f>ROUND(I69*E69,2)</f>
        <v/>
      </c>
    </row>
    <row r="70" outlineLevel="1" ht="25.5" customFormat="1" customHeight="1" s="198">
      <c r="A70" s="258" t="n">
        <v>52</v>
      </c>
      <c r="B70" s="259" t="inlineStr">
        <is>
          <t>01.3.01.06-0050</t>
        </is>
      </c>
      <c r="C70" s="192" t="inlineStr">
        <is>
          <t>Смазка универсальная тугоплавкая УТ (консталин жировой)</t>
        </is>
      </c>
      <c r="D70" s="259" t="inlineStr">
        <is>
          <t>т</t>
        </is>
      </c>
      <c r="E70" s="259" t="n">
        <v>0.00084</v>
      </c>
      <c r="F70" s="260" t="n">
        <v>17500</v>
      </c>
      <c r="G70" s="32">
        <f>ROUND(E70*F70,2)</f>
        <v/>
      </c>
      <c r="H70" s="154">
        <f>G70/$G$85</f>
        <v/>
      </c>
      <c r="I70" s="32">
        <f>ROUND(F70*Прил.10!$D$13,2)</f>
        <v/>
      </c>
      <c r="J70" s="32">
        <f>ROUND(I70*E70,2)</f>
        <v/>
      </c>
    </row>
    <row r="71" outlineLevel="1" ht="25.5" customFormat="1" customHeight="1" s="198">
      <c r="A71" s="258" t="n">
        <v>53</v>
      </c>
      <c r="B71" s="259" t="inlineStr">
        <is>
          <t>10.3.02.03-0011</t>
        </is>
      </c>
      <c r="C71" s="192" t="inlineStr">
        <is>
          <t>Припои оловянно-свинцовые бессурьмянистые, марка ПОС30</t>
        </is>
      </c>
      <c r="D71" s="259" t="inlineStr">
        <is>
          <t>т</t>
        </is>
      </c>
      <c r="E71" s="259" t="n">
        <v>0.000208</v>
      </c>
      <c r="F71" s="260" t="n">
        <v>68050</v>
      </c>
      <c r="G71" s="32">
        <f>E71*F71</f>
        <v/>
      </c>
      <c r="H71" s="154">
        <f>G71/$G$85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98">
      <c r="A72" s="258" t="n">
        <v>54</v>
      </c>
      <c r="B72" s="259" t="inlineStr">
        <is>
          <t>999-9950</t>
        </is>
      </c>
      <c r="C72" s="192" t="inlineStr">
        <is>
          <t>Вспомогательные ненормируемые ресурсы (2% от Оплаты труда рабочих)</t>
        </is>
      </c>
      <c r="D72" s="259" t="inlineStr">
        <is>
          <t>руб</t>
        </is>
      </c>
      <c r="E72" s="259" t="n">
        <v>10.462</v>
      </c>
      <c r="F72" s="260" t="n">
        <v>1</v>
      </c>
      <c r="G72" s="32">
        <f>ROUND(E72*F72,2)</f>
        <v/>
      </c>
      <c r="H72" s="154">
        <f>G72/$G$85</f>
        <v/>
      </c>
      <c r="I72" s="32">
        <f>ROUND(F72*Прил.10!$D$13,2)</f>
        <v/>
      </c>
      <c r="J72" s="32">
        <f>ROUND(I72*E72,2)</f>
        <v/>
      </c>
    </row>
    <row r="73" outlineLevel="1" ht="14.25" customFormat="1" customHeight="1" s="198">
      <c r="A73" s="258" t="n">
        <v>55</v>
      </c>
      <c r="B73" s="259" t="inlineStr">
        <is>
          <t>01.7.20.08-0031</t>
        </is>
      </c>
      <c r="C73" s="192" t="inlineStr">
        <is>
          <t>Бязь суровая</t>
        </is>
      </c>
      <c r="D73" s="259" t="inlineStr">
        <is>
          <t>10 м2</t>
        </is>
      </c>
      <c r="E73" s="259" t="n">
        <v>0.114</v>
      </c>
      <c r="F73" s="260" t="n">
        <v>79.09999999999999</v>
      </c>
      <c r="G73" s="32">
        <f>ROUND(E73*F73,2)</f>
        <v/>
      </c>
      <c r="H73" s="154">
        <f>G73/$G$85</f>
        <v/>
      </c>
      <c r="I73" s="32">
        <f>ROUND(F73*Прил.10!$D$13,2)</f>
        <v/>
      </c>
      <c r="J73" s="32">
        <f>ROUND(I73*E73,2)</f>
        <v/>
      </c>
    </row>
    <row r="74" outlineLevel="1" ht="25.5" customFormat="1" customHeight="1" s="198">
      <c r="A74" s="258" t="n">
        <v>56</v>
      </c>
      <c r="B74" s="259" t="inlineStr">
        <is>
          <t>02.2.05.04-1777</t>
        </is>
      </c>
      <c r="C74" s="192" t="inlineStr">
        <is>
          <t>Щебень М 800, фракция 20-40 мм, группа 2</t>
        </is>
      </c>
      <c r="D74" s="259" t="inlineStr">
        <is>
          <t>м3</t>
        </is>
      </c>
      <c r="E74" s="259" t="n">
        <v>0.06</v>
      </c>
      <c r="F74" s="260" t="n">
        <v>108.4</v>
      </c>
      <c r="G74" s="32">
        <f>ROUND(E74*F74,2)</f>
        <v/>
      </c>
      <c r="H74" s="154">
        <f>G74/$G$85</f>
        <v/>
      </c>
      <c r="I74" s="32">
        <f>ROUND(F74*Прил.10!$D$13,2)</f>
        <v/>
      </c>
      <c r="J74" s="32">
        <f>ROUND(I74*E74,2)</f>
        <v/>
      </c>
    </row>
    <row r="75" outlineLevel="1" ht="14.25" customFormat="1" customHeight="1" s="198">
      <c r="A75" s="258" t="n">
        <v>57</v>
      </c>
      <c r="B75" s="259" t="inlineStr">
        <is>
          <t>14.4.03.03-0002</t>
        </is>
      </c>
      <c r="C75" s="192" t="inlineStr">
        <is>
          <t>Лак битумный БТ-123</t>
        </is>
      </c>
      <c r="D75" s="259" t="inlineStr">
        <is>
          <t>т</t>
        </is>
      </c>
      <c r="E75" s="259" t="n">
        <v>0.000576</v>
      </c>
      <c r="F75" s="260" t="n">
        <v>7826.9</v>
      </c>
      <c r="G75" s="32">
        <f>ROUND(E75*F75,2)</f>
        <v/>
      </c>
      <c r="H75" s="154">
        <f>G75/$G$85</f>
        <v/>
      </c>
      <c r="I75" s="32">
        <f>ROUND(F75*Прил.10!$D$13,2)</f>
        <v/>
      </c>
      <c r="J75" s="32">
        <f>ROUND(I75*E75,2)</f>
        <v/>
      </c>
    </row>
    <row r="76" outlineLevel="1" ht="14.25" customFormat="1" customHeight="1" s="198">
      <c r="A76" s="258" t="n">
        <v>58</v>
      </c>
      <c r="B76" s="259" t="inlineStr">
        <is>
          <t>14.4.04.09-0017</t>
        </is>
      </c>
      <c r="C76" s="192" t="inlineStr">
        <is>
          <t>Эмаль ХВ-124, защитная, зеленая</t>
        </is>
      </c>
      <c r="D76" s="259" t="inlineStr">
        <is>
          <t>т</t>
        </is>
      </c>
      <c r="E76" s="259" t="n">
        <v>0.00012</v>
      </c>
      <c r="F76" s="260" t="n">
        <v>28300.4</v>
      </c>
      <c r="G76" s="32">
        <f>ROUND(E76*F76,2)</f>
        <v/>
      </c>
      <c r="H76" s="154">
        <f>G76/$G$85</f>
        <v/>
      </c>
      <c r="I76" s="32">
        <f>ROUND(F76*Прил.10!$D$13,2)</f>
        <v/>
      </c>
      <c r="J76" s="32">
        <f>ROUND(I76*E76,2)</f>
        <v/>
      </c>
    </row>
    <row r="77" outlineLevel="1" ht="14.25" customFormat="1" customHeight="1" s="198">
      <c r="A77" s="258" t="n">
        <v>59</v>
      </c>
      <c r="B77" s="259" t="inlineStr">
        <is>
          <t>01.7.15.07-0007</t>
        </is>
      </c>
      <c r="C77" s="192" t="inlineStr">
        <is>
          <t>Дюбели пластмассовые, диаметр 14 мм</t>
        </is>
      </c>
      <c r="D77" s="259" t="inlineStr">
        <is>
          <t>100 шт</t>
        </is>
      </c>
      <c r="E77" s="259" t="n">
        <v>0.08</v>
      </c>
      <c r="F77" s="260" t="n">
        <v>26.6</v>
      </c>
      <c r="G77" s="32">
        <f>ROUND(E77*F77,2)</f>
        <v/>
      </c>
      <c r="H77" s="154">
        <f>G77/$G$85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98">
      <c r="A78" s="258" t="n">
        <v>60</v>
      </c>
      <c r="B78" s="259" t="inlineStr">
        <is>
          <t>14.4.01.01-0003</t>
        </is>
      </c>
      <c r="C78" s="192" t="inlineStr">
        <is>
          <t>Грунтовка ГФ-021</t>
        </is>
      </c>
      <c r="D78" s="259" t="inlineStr">
        <is>
          <t>т</t>
        </is>
      </c>
      <c r="E78" s="259" t="n">
        <v>0.00012</v>
      </c>
      <c r="F78" s="260" t="n">
        <v>15620</v>
      </c>
      <c r="G78" s="32">
        <f>ROUND(E78*F78,2)</f>
        <v/>
      </c>
      <c r="H78" s="154">
        <f>G78/$G$85</f>
        <v/>
      </c>
      <c r="I78" s="32">
        <f>ROUND(F78*Прил.10!$D$13,2)</f>
        <v/>
      </c>
      <c r="J78" s="32">
        <f>ROUND(I78*E78,2)</f>
        <v/>
      </c>
    </row>
    <row r="79" outlineLevel="1" ht="14.25" customFormat="1" customHeight="1" s="198">
      <c r="A79" s="258" t="n">
        <v>61</v>
      </c>
      <c r="B79" s="259" t="inlineStr">
        <is>
          <t>01.7.06.07-0002</t>
        </is>
      </c>
      <c r="C79" s="192" t="inlineStr">
        <is>
          <t>Лента монтажная, тип ЛМ-5</t>
        </is>
      </c>
      <c r="D79" s="259" t="inlineStr">
        <is>
          <t>10 м</t>
        </is>
      </c>
      <c r="E79" s="259" t="n">
        <v>0.196</v>
      </c>
      <c r="F79" s="260" t="n">
        <v>6.9</v>
      </c>
      <c r="G79" s="32">
        <f>ROUND(E79*F79,2)</f>
        <v/>
      </c>
      <c r="H79" s="154">
        <f>G79/$G$85</f>
        <v/>
      </c>
      <c r="I79" s="32">
        <f>ROUND(F79*Прил.10!$D$13,2)</f>
        <v/>
      </c>
      <c r="J79" s="32">
        <f>ROUND(I79*E79,2)</f>
        <v/>
      </c>
    </row>
    <row r="80" outlineLevel="1" ht="25.5" customFormat="1" customHeight="1" s="198">
      <c r="A80" s="258" t="n">
        <v>62</v>
      </c>
      <c r="B80" s="259" t="inlineStr">
        <is>
          <t>01.7.15.03-0031</t>
        </is>
      </c>
      <c r="C80" s="192" t="inlineStr">
        <is>
          <t>Болты с гайками и шайбами оцинкованные, диаметр 6 мм</t>
        </is>
      </c>
      <c r="D80" s="259" t="inlineStr">
        <is>
          <t>кг</t>
        </is>
      </c>
      <c r="E80" s="259" t="n">
        <v>0.04</v>
      </c>
      <c r="F80" s="260" t="n">
        <v>28.22</v>
      </c>
      <c r="G80" s="32">
        <f>ROUND(E80*F80,2)</f>
        <v/>
      </c>
      <c r="H80" s="154">
        <f>G80/$G$85</f>
        <v/>
      </c>
      <c r="I80" s="32">
        <f>ROUND(F80*Прил.10!$D$13,2)</f>
        <v/>
      </c>
      <c r="J80" s="32">
        <f>ROUND(I80*E80,2)</f>
        <v/>
      </c>
    </row>
    <row r="81" outlineLevel="1" ht="14.25" customFormat="1" customHeight="1" s="198">
      <c r="A81" s="258" t="n">
        <v>63</v>
      </c>
      <c r="B81" s="259" t="inlineStr">
        <is>
          <t>01.7.15.14-0165</t>
        </is>
      </c>
      <c r="C81" s="192" t="inlineStr">
        <is>
          <t>Шурупы с полукруглой головкой 4х40 мм</t>
        </is>
      </c>
      <c r="D81" s="259" t="inlineStr">
        <is>
          <t>т</t>
        </is>
      </c>
      <c r="E81" s="259" t="n">
        <v>8.8e-05</v>
      </c>
      <c r="F81" s="260" t="n">
        <v>12430</v>
      </c>
      <c r="G81" s="32">
        <f>ROUND(E81*F81,2)</f>
        <v/>
      </c>
      <c r="H81" s="154">
        <f>G81/$G$85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98">
      <c r="A82" s="258" t="n">
        <v>64</v>
      </c>
      <c r="B82" s="259" t="inlineStr">
        <is>
          <t>14.5.09.07-0030</t>
        </is>
      </c>
      <c r="C82" s="192" t="inlineStr">
        <is>
          <t>Растворитель Р-4</t>
        </is>
      </c>
      <c r="D82" s="259" t="inlineStr">
        <is>
          <t>кг</t>
        </is>
      </c>
      <c r="E82" s="259" t="n">
        <v>0.08</v>
      </c>
      <c r="F82" s="260" t="n">
        <v>9.42</v>
      </c>
      <c r="G82" s="32">
        <f>ROUND(E82*F82,2)</f>
        <v/>
      </c>
      <c r="H82" s="154">
        <f>G82/$G$85</f>
        <v/>
      </c>
      <c r="I82" s="32">
        <f>ROUND(F82*Прил.10!$D$13,2)</f>
        <v/>
      </c>
      <c r="J82" s="32">
        <f>ROUND(I82*E82,2)</f>
        <v/>
      </c>
    </row>
    <row r="83" outlineLevel="1" ht="14.25" customFormat="1" customHeight="1" s="198">
      <c r="A83" s="258" t="n">
        <v>65</v>
      </c>
      <c r="B83" s="259" t="inlineStr">
        <is>
          <t>14.5.09.11-0102</t>
        </is>
      </c>
      <c r="C83" s="192" t="inlineStr">
        <is>
          <t>Уайт-спирит</t>
        </is>
      </c>
      <c r="D83" s="259" t="inlineStr">
        <is>
          <t>кг</t>
        </is>
      </c>
      <c r="E83" s="259" t="n">
        <v>0.04</v>
      </c>
      <c r="F83" s="260" t="n">
        <v>6.67</v>
      </c>
      <c r="G83" s="32">
        <f>ROUND(E83*F83,2)</f>
        <v/>
      </c>
      <c r="H83" s="154">
        <f>G83/$G$85</f>
        <v/>
      </c>
      <c r="I83" s="32">
        <f>ROUND(F83*Прил.10!$D$13,2)</f>
        <v/>
      </c>
      <c r="J83" s="32">
        <f>ROUND(I83*E83,2)</f>
        <v/>
      </c>
    </row>
    <row r="84" ht="14.25" customFormat="1" customHeight="1" s="198">
      <c r="A84" s="258" t="n"/>
      <c r="B84" s="258" t="n"/>
      <c r="C84" s="257" t="inlineStr">
        <is>
          <t>Итого прочие материалы</t>
        </is>
      </c>
      <c r="D84" s="258" t="n"/>
      <c r="E84" s="259" t="n"/>
      <c r="F84" s="260" t="n"/>
      <c r="G84" s="32">
        <f>SUM(G59:G83)</f>
        <v/>
      </c>
      <c r="H84" s="261">
        <f>G84/G85</f>
        <v/>
      </c>
      <c r="I84" s="32" t="n"/>
      <c r="J84" s="32">
        <f>SUM(J59:J83)</f>
        <v/>
      </c>
    </row>
    <row r="85" ht="14.25" customFormat="1" customHeight="1" s="198">
      <c r="A85" s="258" t="n"/>
      <c r="B85" s="258" t="n"/>
      <c r="C85" s="262" t="inlineStr">
        <is>
          <t>Итого по разделу «Материалы»</t>
        </is>
      </c>
      <c r="D85" s="258" t="n"/>
      <c r="E85" s="259" t="n"/>
      <c r="F85" s="260" t="n"/>
      <c r="G85" s="32">
        <f>G58+G84</f>
        <v/>
      </c>
      <c r="H85" s="261" t="n">
        <v>1</v>
      </c>
      <c r="I85" s="32" t="n"/>
      <c r="J85" s="32">
        <f>J58+J84</f>
        <v/>
      </c>
    </row>
    <row r="86" ht="14.25" customFormat="1" customHeight="1" s="198">
      <c r="A86" s="258" t="n"/>
      <c r="B86" s="258" t="n"/>
      <c r="C86" s="257" t="inlineStr">
        <is>
          <t>ИТОГО ПО РМ</t>
        </is>
      </c>
      <c r="D86" s="258" t="n"/>
      <c r="E86" s="259" t="n"/>
      <c r="F86" s="260" t="n"/>
      <c r="G86" s="32">
        <f>G14+G40+G85</f>
        <v/>
      </c>
      <c r="H86" s="261" t="n"/>
      <c r="I86" s="32" t="n"/>
      <c r="J86" s="32">
        <f>J14+J40+J85</f>
        <v/>
      </c>
    </row>
    <row r="87" ht="14.25" customFormat="1" customHeight="1" s="198">
      <c r="A87" s="258" t="n"/>
      <c r="B87" s="258" t="n"/>
      <c r="C87" s="257" t="inlineStr">
        <is>
          <t>Накладные расходы</t>
        </is>
      </c>
      <c r="D87" s="159">
        <f>ROUND(G87/(G14+G16),2)</f>
        <v/>
      </c>
      <c r="E87" s="259" t="n"/>
      <c r="F87" s="260" t="n"/>
      <c r="G87" s="32" t="n">
        <v>907.04</v>
      </c>
      <c r="H87" s="261" t="n"/>
      <c r="I87" s="32" t="n"/>
      <c r="J87" s="32">
        <f>ROUND(D87*(J14+J16),2)</f>
        <v/>
      </c>
    </row>
    <row r="88" ht="14.25" customFormat="1" customHeight="1" s="198">
      <c r="A88" s="258" t="n"/>
      <c r="B88" s="258" t="n"/>
      <c r="C88" s="257" t="inlineStr">
        <is>
          <t>Сметная прибыль</t>
        </is>
      </c>
      <c r="D88" s="159">
        <f>ROUND(G88/(G14+G16),2)</f>
        <v/>
      </c>
      <c r="E88" s="259" t="n"/>
      <c r="F88" s="260" t="n"/>
      <c r="G88" s="32" t="n">
        <v>493.8</v>
      </c>
      <c r="H88" s="261" t="n"/>
      <c r="I88" s="32" t="n"/>
      <c r="J88" s="32">
        <f>ROUND(D88*(J14+J16),2)</f>
        <v/>
      </c>
    </row>
    <row r="89" ht="14.25" customFormat="1" customHeight="1" s="198">
      <c r="A89" s="258" t="n"/>
      <c r="B89" s="258" t="n"/>
      <c r="C89" s="257" t="inlineStr">
        <is>
          <t>Итого СМР (с НР и СП)</t>
        </is>
      </c>
      <c r="D89" s="258" t="n"/>
      <c r="E89" s="259" t="n"/>
      <c r="F89" s="260" t="n"/>
      <c r="G89" s="32">
        <f>G14+G40+G85+G87+G88</f>
        <v/>
      </c>
      <c r="H89" s="261" t="n"/>
      <c r="I89" s="32" t="n"/>
      <c r="J89" s="32">
        <f>J14+J40+J85+J87+J88</f>
        <v/>
      </c>
    </row>
    <row r="90" ht="14.25" customFormat="1" customHeight="1" s="198">
      <c r="A90" s="258" t="n"/>
      <c r="B90" s="258" t="n"/>
      <c r="C90" s="257" t="inlineStr">
        <is>
          <t>ВСЕГО СМР + ОБОРУДОВАНИЕ</t>
        </is>
      </c>
      <c r="D90" s="258" t="n"/>
      <c r="E90" s="259" t="n"/>
      <c r="F90" s="260" t="n"/>
      <c r="G90" s="32">
        <f>G89+G48</f>
        <v/>
      </c>
      <c r="H90" s="261" t="n"/>
      <c r="I90" s="32" t="n"/>
      <c r="J90" s="32">
        <f>J89+J48</f>
        <v/>
      </c>
    </row>
    <row r="91" ht="14.25" customFormat="1" customHeight="1" s="198">
      <c r="A91" s="258" t="n"/>
      <c r="B91" s="258" t="n"/>
      <c r="C91" s="257" t="inlineStr">
        <is>
          <t>ИТОГО ПОКАЗАТЕЛЬ НА ЕД. ИЗМ.</t>
        </is>
      </c>
      <c r="D91" s="258" t="inlineStr">
        <is>
          <t>ед.</t>
        </is>
      </c>
      <c r="E91" s="259" t="n">
        <v>2</v>
      </c>
      <c r="F91" s="260" t="n"/>
      <c r="G91" s="32">
        <f>G90/E91</f>
        <v/>
      </c>
      <c r="H91" s="261" t="n"/>
      <c r="I91" s="32" t="n"/>
      <c r="J91" s="32">
        <f>J90/E91</f>
        <v/>
      </c>
    </row>
    <row r="93" ht="14.25" customFormat="1" customHeight="1" s="198">
      <c r="A93" s="193" t="inlineStr">
        <is>
          <t>Составил ______________________        Е. М. Добровольская</t>
        </is>
      </c>
    </row>
    <row r="94" ht="14.25" customFormat="1" customHeight="1" s="198">
      <c r="A94" s="197" t="inlineStr">
        <is>
          <t xml:space="preserve">                         (подпись, инициалы, фамилия)</t>
        </is>
      </c>
    </row>
    <row r="95" ht="14.25" customFormat="1" customHeight="1" s="198">
      <c r="A95" s="193" t="n"/>
    </row>
    <row r="96" ht="14.25" customFormat="1" customHeight="1" s="198">
      <c r="A96" s="193" t="inlineStr">
        <is>
          <t>Проверил ______________________        А.В. Костянецкая</t>
        </is>
      </c>
    </row>
    <row r="97" ht="14.25" customFormat="1" customHeight="1" s="198">
      <c r="A97" s="197" t="inlineStr">
        <is>
          <t xml:space="preserve">                        (подпись, инициалы, фамилия)</t>
        </is>
      </c>
    </row>
  </sheetData>
  <mergeCells count="22">
    <mergeCell ref="H9:H10"/>
    <mergeCell ref="A4:J4"/>
    <mergeCell ref="B15:H15"/>
    <mergeCell ref="H2:J2"/>
    <mergeCell ref="B51:H51"/>
    <mergeCell ref="C9:C10"/>
    <mergeCell ref="E9:E10"/>
    <mergeCell ref="A7:H7"/>
    <mergeCell ref="B9:B10"/>
    <mergeCell ref="D9:D10"/>
    <mergeCell ref="B18:H18"/>
    <mergeCell ref="B12:H12"/>
    <mergeCell ref="B50:J50"/>
    <mergeCell ref="D6:J6"/>
    <mergeCell ref="B41:J41"/>
    <mergeCell ref="B42:H42"/>
    <mergeCell ref="A8:H8"/>
    <mergeCell ref="F9:G9"/>
    <mergeCell ref="B17:H17"/>
    <mergeCell ref="A9:A10"/>
    <mergeCell ref="A6:C6"/>
    <mergeCell ref="I9:J9"/>
  </mergeCells>
  <pageMargins left="0.7" right="0.7" top="0.75" bottom="0.75" header="0.3" footer="0.3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zoomScaleNormal="100" zoomScaleSheetLayoutView="100" workbookViewId="0">
      <selection activeCell="B20" sqref="B20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8" t="inlineStr">
        <is>
          <t>Приложение №6</t>
        </is>
      </c>
    </row>
    <row r="2" ht="21.75" customHeight="1">
      <c r="A2" s="268" t="n"/>
      <c r="B2" s="268" t="n"/>
      <c r="C2" s="268" t="n"/>
      <c r="D2" s="268" t="n"/>
      <c r="E2" s="268" t="n"/>
      <c r="F2" s="268" t="n"/>
      <c r="G2" s="268" t="n"/>
    </row>
    <row r="3">
      <c r="A3" s="219" t="inlineStr">
        <is>
          <t>Расчет стоимости оборудования</t>
        </is>
      </c>
    </row>
    <row r="4" ht="25.5" customHeight="1">
      <c r="A4" s="222" t="inlineStr">
        <is>
          <t>Наименование разрабатываемого показателя УНЦ — ТТ на три фазы с устройством фундамента напряжение 6-15 кВ</t>
        </is>
      </c>
    </row>
    <row r="5">
      <c r="A5" s="193" t="n"/>
      <c r="B5" s="193" t="n"/>
      <c r="C5" s="193" t="n"/>
      <c r="D5" s="193" t="n"/>
      <c r="E5" s="193" t="n"/>
      <c r="F5" s="193" t="n"/>
      <c r="G5" s="193" t="n"/>
    </row>
    <row r="6" ht="30" customHeight="1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58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>
      <c r="A9" s="25" t="n"/>
      <c r="B9" s="257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>
      <c r="A10" s="258" t="n"/>
      <c r="B10" s="262" t="n"/>
      <c r="C10" s="257" t="inlineStr">
        <is>
          <t>ИТОГО ИНЖЕНЕРНОЕ ОБОРУДОВАНИЕ</t>
        </is>
      </c>
      <c r="D10" s="262" t="n"/>
      <c r="E10" s="105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>
      <c r="A12" s="258" t="n">
        <v>1</v>
      </c>
      <c r="B12" s="151">
        <f>'Прил.5 Расчет СМР и ОБ'!B43</f>
        <v/>
      </c>
      <c r="C12" s="257">
        <f>'Прил.5 Расчет СМР и ОБ'!C43</f>
        <v/>
      </c>
      <c r="D12" s="258" t="inlineStr">
        <is>
          <t>шт.</t>
        </is>
      </c>
      <c r="E12" s="158" t="n">
        <v>6</v>
      </c>
      <c r="F12" s="259">
        <f>'Прил.5 Расчет СМР и ОБ'!F43</f>
        <v/>
      </c>
      <c r="G12" s="32">
        <f>E12*F12</f>
        <v/>
      </c>
    </row>
    <row r="13" ht="25.5" customHeight="1">
      <c r="A13" s="258" t="n">
        <v>2</v>
      </c>
      <c r="B13" s="189" t="inlineStr">
        <is>
          <t>БЦ.30_1.149</t>
        </is>
      </c>
      <c r="C13" s="257" t="inlineStr">
        <is>
          <t>Шкаф промежуточных зажимов ШЗВ-60 УХЛ1</t>
        </is>
      </c>
      <c r="D13" s="258" t="inlineStr">
        <is>
          <t>шт.</t>
        </is>
      </c>
      <c r="E13" s="158" t="n">
        <v>2</v>
      </c>
      <c r="F13" s="258" t="n">
        <v>6790.9</v>
      </c>
      <c r="G13" s="32">
        <f>E13*F13</f>
        <v/>
      </c>
    </row>
    <row r="14" ht="25.5" customHeight="1">
      <c r="A14" s="258" t="n">
        <v>3</v>
      </c>
      <c r="B14" s="189" t="inlineStr">
        <is>
          <t>Прайс из СД ОП</t>
        </is>
      </c>
      <c r="C14" s="257" t="inlineStr">
        <is>
          <t>Коробка зажимов для цепей тока с (КИ-10) К3-11-АСКУЭ</t>
        </is>
      </c>
      <c r="D14" s="258" t="inlineStr">
        <is>
          <t>шт.</t>
        </is>
      </c>
      <c r="E14" s="158" t="n">
        <v>2</v>
      </c>
      <c r="F14" s="258" t="n">
        <v>921.63</v>
      </c>
      <c r="G14" s="32">
        <f>E14*F14</f>
        <v/>
      </c>
    </row>
    <row r="15" ht="25.5" customHeight="1">
      <c r="A15" s="258" t="n"/>
      <c r="B15" s="257" t="n"/>
      <c r="C15" s="257" t="inlineStr">
        <is>
          <t>ИТОГО ТЕХНОЛОГИЧЕСКОЕ ОБОРУДОВАНИЕ</t>
        </is>
      </c>
      <c r="D15" s="257" t="n"/>
      <c r="E15" s="272" t="n"/>
      <c r="F15" s="260" t="n"/>
      <c r="G15" s="32">
        <f>G14+G13+G12</f>
        <v/>
      </c>
    </row>
    <row r="16" ht="19.5" customHeight="1">
      <c r="A16" s="258" t="n"/>
      <c r="B16" s="257" t="n"/>
      <c r="C16" s="257" t="inlineStr">
        <is>
          <t>Всего по разделу «Оборудование»</t>
        </is>
      </c>
      <c r="D16" s="257" t="n"/>
      <c r="E16" s="272" t="n"/>
      <c r="F16" s="260" t="n"/>
      <c r="G16" s="32">
        <f>G10+G15</f>
        <v/>
      </c>
    </row>
    <row r="17">
      <c r="A17" s="196" t="n"/>
      <c r="B17" s="106" t="n"/>
      <c r="C17" s="196" t="n"/>
      <c r="D17" s="196" t="n"/>
      <c r="E17" s="196" t="n"/>
      <c r="F17" s="196" t="n"/>
      <c r="G17" s="196" t="n"/>
    </row>
    <row r="18">
      <c r="A18" s="193" t="inlineStr">
        <is>
          <t>Составил ______________________        Е. М. Добровольская</t>
        </is>
      </c>
      <c r="B18" s="198" t="n"/>
      <c r="C18" s="198" t="n"/>
      <c r="D18" s="196" t="n"/>
      <c r="E18" s="196" t="n"/>
      <c r="F18" s="196" t="n"/>
      <c r="G18" s="196" t="n"/>
    </row>
    <row r="19">
      <c r="A19" s="197" t="inlineStr">
        <is>
          <t xml:space="preserve">                         (подпись, инициалы, фамилия)</t>
        </is>
      </c>
      <c r="B19" s="198" t="n"/>
      <c r="C19" s="198" t="n"/>
      <c r="D19" s="196" t="n"/>
      <c r="E19" s="196" t="n"/>
      <c r="F19" s="196" t="n"/>
      <c r="G19" s="196" t="n"/>
    </row>
    <row r="20">
      <c r="A20" s="193" t="n"/>
      <c r="B20" s="198" t="n"/>
      <c r="C20" s="198" t="n"/>
      <c r="D20" s="196" t="n"/>
      <c r="E20" s="196" t="n"/>
      <c r="F20" s="196" t="n"/>
      <c r="G20" s="196" t="n"/>
    </row>
    <row r="21">
      <c r="A21" s="193" t="inlineStr">
        <is>
          <t>Проверил ______________________        А.В. Костянецкая</t>
        </is>
      </c>
      <c r="B21" s="198" t="n"/>
      <c r="C21" s="198" t="n"/>
      <c r="D21" s="196" t="n"/>
      <c r="E21" s="196" t="n"/>
      <c r="F21" s="196" t="n"/>
      <c r="G21" s="196" t="n"/>
    </row>
    <row r="22">
      <c r="A22" s="197" t="inlineStr">
        <is>
          <t xml:space="preserve">                        (подпись, инициалы, фамилия)</t>
        </is>
      </c>
      <c r="B22" s="198" t="n"/>
      <c r="C22" s="198" t="n"/>
      <c r="D22" s="196" t="n"/>
      <c r="E22" s="196" t="n"/>
      <c r="F22" s="196" t="n"/>
      <c r="G22" s="1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Normal="100" zoomScaleSheetLayoutView="100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3" t="n"/>
      <c r="C1" s="193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>
      <c r="A3" s="219" t="inlineStr">
        <is>
          <t>Расчет показателя УНЦ</t>
        </is>
      </c>
    </row>
    <row r="4" ht="24.75" customHeight="1">
      <c r="A4" s="209" t="n"/>
      <c r="B4" s="209" t="n"/>
      <c r="C4" s="209" t="n"/>
      <c r="D4" s="209" t="n"/>
    </row>
    <row r="5" ht="47.25" customHeight="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>
      <c r="A6" s="274" t="inlineStr">
        <is>
          <t>Единица измерения  — 1 ед</t>
        </is>
      </c>
      <c r="D6" s="274" t="n"/>
    </row>
    <row r="7">
      <c r="A7" s="211" t="n"/>
      <c r="B7" s="211" t="n"/>
      <c r="C7" s="211" t="n"/>
      <c r="D7" s="211" t="n"/>
    </row>
    <row r="8" ht="14.45" customHeight="1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>
      <c r="A9" s="323" t="n"/>
      <c r="B9" s="323" t="n"/>
      <c r="C9" s="323" t="n"/>
      <c r="D9" s="323" t="n"/>
    </row>
    <row r="10">
      <c r="A10" s="212" t="n">
        <v>1</v>
      </c>
      <c r="B10" s="212" t="n">
        <v>2</v>
      </c>
      <c r="C10" s="212" t="n">
        <v>3</v>
      </c>
      <c r="D10" s="212" t="n">
        <v>4</v>
      </c>
    </row>
    <row r="11" ht="41.45" customHeight="1">
      <c r="A11" s="212" t="inlineStr">
        <is>
          <t>И5-01-1</t>
        </is>
      </c>
      <c r="B11" s="212" t="inlineStr">
        <is>
          <t xml:space="preserve">УНЦ элементов ПС с устройством фундаментов </t>
        </is>
      </c>
      <c r="C11" s="213">
        <f>D5</f>
        <v/>
      </c>
      <c r="D11" s="214">
        <f>'Прил.4 РМ'!C41/1000</f>
        <v/>
      </c>
      <c r="E11" s="195" t="n"/>
    </row>
    <row r="12">
      <c r="A12" s="215" t="n"/>
      <c r="B12" s="216" t="n"/>
      <c r="C12" s="215" t="n"/>
      <c r="D12" s="215" t="n"/>
    </row>
    <row r="13">
      <c r="A13" s="193" t="inlineStr">
        <is>
          <t>Составил ______________________        Е. М. Добровольская</t>
        </is>
      </c>
      <c r="B13" s="217" t="n"/>
      <c r="C13" s="217" t="n"/>
      <c r="D13" s="215" t="n"/>
    </row>
    <row r="14">
      <c r="A14" s="218" t="inlineStr">
        <is>
          <t xml:space="preserve">                         (подпись, инициалы, фамилия)</t>
        </is>
      </c>
      <c r="B14" s="217" t="n"/>
      <c r="C14" s="217" t="n"/>
      <c r="D14" s="215" t="n"/>
    </row>
    <row r="15">
      <c r="A15" s="211" t="n"/>
      <c r="B15" s="217" t="n"/>
      <c r="C15" s="217" t="n"/>
      <c r="D15" s="215" t="n"/>
    </row>
    <row r="16">
      <c r="A16" s="211" t="inlineStr">
        <is>
          <t>Проверил ______________________        А.В. Костянецкая</t>
        </is>
      </c>
      <c r="B16" s="217" t="n"/>
      <c r="C16" s="217" t="n"/>
      <c r="D16" s="215" t="n"/>
    </row>
    <row r="17">
      <c r="A17" s="197" t="inlineStr">
        <is>
          <t xml:space="preserve">                        (подпись, инициалы, фамилия)</t>
        </is>
      </c>
      <c r="B17" s="198" t="n"/>
      <c r="C17" s="198" t="n"/>
      <c r="D17" s="19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8"/>
  <sheetViews>
    <sheetView tabSelected="1" view="pageBreakPreview" topLeftCell="A16" zoomScale="60" zoomScaleNormal="85" workbookViewId="0">
      <selection activeCell="C24" sqref="C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7" t="inlineStr">
        <is>
          <t>Приложение № 10</t>
        </is>
      </c>
    </row>
    <row r="5" ht="18.75" customHeight="1">
      <c r="B5" s="139" t="n"/>
    </row>
    <row r="6" ht="15.75" customHeight="1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>
      <c r="B10" s="241" t="n">
        <v>1</v>
      </c>
      <c r="C10" s="241" t="n">
        <v>2</v>
      </c>
      <c r="D10" s="241" t="n">
        <v>3</v>
      </c>
    </row>
    <row r="11" ht="45" customHeight="1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>
      <c r="B14" s="241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1" t="n">
        <v>6.26</v>
      </c>
    </row>
    <row r="15" ht="89.25" customHeight="1">
      <c r="B15" s="241" t="inlineStr">
        <is>
          <t>Временные здания и сооружения</t>
        </is>
      </c>
      <c r="C15" s="24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40" t="n">
        <v>0.025</v>
      </c>
    </row>
    <row r="16" ht="78.75" customHeight="1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40" t="n">
        <v>0.021</v>
      </c>
    </row>
    <row r="17" ht="34.5" customHeight="1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5" customHeight="1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40" t="n">
        <v>0.0214</v>
      </c>
    </row>
    <row r="19" ht="31.5" customHeight="1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40" t="n">
        <v>0.002</v>
      </c>
    </row>
    <row r="20" ht="24" customHeight="1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40" t="n">
        <v>0.03</v>
      </c>
    </row>
    <row r="21" ht="18.75" customHeight="1">
      <c r="B21" s="117" t="n"/>
    </row>
    <row r="24">
      <c r="B24" s="193" t="inlineStr">
        <is>
          <t>Составил ______________________        Е. М. Добровольская</t>
        </is>
      </c>
      <c r="C24" s="198" t="n"/>
    </row>
    <row r="25">
      <c r="B25" s="197" t="inlineStr">
        <is>
          <t xml:space="preserve">                         (подпись, инициалы, фамилия)</t>
        </is>
      </c>
      <c r="C25" s="198" t="n"/>
    </row>
    <row r="26">
      <c r="B26" s="193" t="n"/>
      <c r="C26" s="198" t="n"/>
    </row>
    <row r="27">
      <c r="B27" s="193" t="inlineStr">
        <is>
          <t>Проверил ______________________        А.В. Костянецкая</t>
        </is>
      </c>
      <c r="C27" s="198" t="n"/>
    </row>
    <row r="28">
      <c r="B28" s="197" t="inlineStr">
        <is>
          <t xml:space="preserve">                        (подпись, инициалы, фамилия)</t>
        </is>
      </c>
      <c r="C28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3" zoomScaleNormal="100" zoomScaleSheetLayoutView="100" workbookViewId="0">
      <selection activeCell="D43" sqref="D43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6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>
      <c r="A5" s="128" t="inlineStr">
        <is>
          <t>№ пп.</t>
        </is>
      </c>
      <c r="B5" s="128" t="inlineStr">
        <is>
          <t>Наименование элемента</t>
        </is>
      </c>
      <c r="C5" s="128" t="inlineStr">
        <is>
          <t>Обозначение</t>
        </is>
      </c>
      <c r="D5" s="128" t="inlineStr">
        <is>
          <t>Формула</t>
        </is>
      </c>
      <c r="E5" s="128" t="inlineStr">
        <is>
          <t>Величина элемента</t>
        </is>
      </c>
      <c r="F5" s="128" t="inlineStr">
        <is>
          <t>Наименования обосновывающих документов</t>
        </is>
      </c>
      <c r="G5" s="205" t="n"/>
    </row>
    <row r="6" ht="15.75" customHeight="1">
      <c r="A6" s="128" t="n">
        <v>1</v>
      </c>
      <c r="B6" s="128" t="n">
        <v>2</v>
      </c>
      <c r="C6" s="128" t="n">
        <v>3</v>
      </c>
      <c r="D6" s="128" t="n">
        <v>4</v>
      </c>
      <c r="E6" s="128" t="n">
        <v>5</v>
      </c>
      <c r="F6" s="128" t="n">
        <v>6</v>
      </c>
      <c r="G6" s="205" t="n"/>
    </row>
    <row r="7" ht="110.25" customHeight="1">
      <c r="A7" s="129" t="inlineStr">
        <is>
          <t>1.1</t>
        </is>
      </c>
      <c r="B7" s="2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61" t="n">
        <v>47872.94</v>
      </c>
      <c r="F7" s="2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>
      <c r="A8" s="129" t="inlineStr">
        <is>
          <t>1.2</t>
        </is>
      </c>
      <c r="B8" s="207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131">
        <f>1973/12</f>
        <v/>
      </c>
      <c r="F8" s="207" t="inlineStr">
        <is>
          <t>Производственный календарь 2023 год
(40-часов.неделя)</t>
        </is>
      </c>
      <c r="G8" s="132" t="n"/>
    </row>
    <row r="9" ht="15.75" customHeight="1">
      <c r="A9" s="129" t="inlineStr">
        <is>
          <t>1.3</t>
        </is>
      </c>
      <c r="B9" s="207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131" t="n">
        <v>1</v>
      </c>
      <c r="F9" s="207" t="n"/>
      <c r="G9" s="132" t="n"/>
    </row>
    <row r="10" ht="15.75" customHeight="1">
      <c r="A10" s="129" t="inlineStr">
        <is>
          <t>1.4</t>
        </is>
      </c>
      <c r="B10" s="207" t="inlineStr">
        <is>
          <t>Средний разряд работ</t>
        </is>
      </c>
      <c r="C10" s="241" t="n"/>
      <c r="D10" s="241" t="n"/>
      <c r="E10" s="133" t="n">
        <v>4</v>
      </c>
      <c r="F10" s="207" t="inlineStr">
        <is>
          <t>РТМ</t>
        </is>
      </c>
      <c r="G10" s="132" t="n"/>
    </row>
    <row r="11" ht="78.75" customHeight="1">
      <c r="A11" s="129" t="inlineStr">
        <is>
          <t>1.5</t>
        </is>
      </c>
      <c r="B11" s="207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134" t="n">
        <v>1.34</v>
      </c>
      <c r="F11" s="2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>
      <c r="A12" s="12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135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9" t="inlineStr">
        <is>
          <t>1.7</t>
        </is>
      </c>
      <c r="B13" s="137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138">
        <f>((E7*E9/E8)*E11)*E12</f>
        <v/>
      </c>
      <c r="F13" s="20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2025-01-24T12:02:05Z</dcterms:modified>
  <cp:lastModifiedBy>Danil</cp:lastModifiedBy>
  <cp:lastPrinted>2023-11-27T11:30:55Z</cp:lastPrinted>
</cp:coreProperties>
</file>