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3'!$A$1:$H$133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ОБ'!$A$1:$J$139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b val="1"/>
      <color rgb="FF000000"/>
      <sz val="11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8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14" fillId="0" borderId="1" applyAlignment="1" pivotButton="0" quotePrefix="0" xfId="0">
      <alignment vertical="center" wrapText="1"/>
    </xf>
    <xf numFmtId="4" fontId="1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2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vertical="top" wrapText="1"/>
    </xf>
    <xf numFmtId="168" fontId="24" fillId="0" borderId="1" applyAlignment="1" pivotButton="0" quotePrefix="0" xfId="0">
      <alignment horizontal="center" vertical="center" wrapText="1"/>
    </xf>
    <xf numFmtId="2" fontId="24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/>
    </xf>
    <xf numFmtId="170" fontId="0" fillId="0" borderId="0" pivotButton="0" quotePrefix="0" xfId="0"/>
    <xf numFmtId="49" fontId="0" fillId="0" borderId="0" pivotButton="0" quotePrefix="0" xfId="0"/>
    <xf numFmtId="0" fontId="1" fillId="0" borderId="1" applyAlignment="1" pivotButton="0" quotePrefix="0" xfId="0">
      <alignment horizontal="right" vertical="top" wrapText="1"/>
    </xf>
    <xf numFmtId="171" fontId="2" fillId="0" borderId="1" applyAlignment="1" pivotButton="0" quotePrefix="0" xfId="0">
      <alignment horizontal="right" vertical="center" wrapText="1"/>
    </xf>
    <xf numFmtId="49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171" fontId="24" fillId="0" borderId="1" applyAlignment="1" pivotButton="0" quotePrefix="0" xfId="0">
      <alignment vertical="center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23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4" fontId="17" fillId="0" borderId="1" applyAlignment="1" pivotButton="0" quotePrefix="0" xfId="0">
      <alignment horizontal="center" vertical="center" wrapText="1"/>
    </xf>
    <xf numFmtId="2" fontId="25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center" vertical="center" wrapText="1"/>
    </xf>
    <xf numFmtId="4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26" t="inlineStr">
        <is>
          <t>Приложение № 1</t>
        </is>
      </c>
    </row>
    <row r="4" ht="18.75" customHeight="1">
      <c r="B4" s="227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5" t="n"/>
      <c r="C6" s="115" t="n"/>
      <c r="D6" s="115" t="n"/>
    </row>
    <row r="7" ht="42" customHeight="1">
      <c r="B7" s="225" t="inlineStr">
        <is>
          <t>Наименование разрабатываемого показателя УНЦ — ТТ на три фазы с устройством фундамента напряжение 110 кВ</t>
        </is>
      </c>
    </row>
    <row r="8" ht="31.5" customHeight="1">
      <c r="B8" s="225" t="inlineStr">
        <is>
          <t>Сопоставимый уровень цен: 4 квартал 2016 г</t>
        </is>
      </c>
    </row>
    <row r="9" ht="15.75" customHeight="1">
      <c r="B9" s="225" t="inlineStr">
        <is>
          <t>Единица измерения  — 1 ед</t>
        </is>
      </c>
    </row>
    <row r="10" ht="18.75" customHeight="1">
      <c r="B10" s="116" t="n"/>
    </row>
    <row r="11" ht="15.75" customHeight="1">
      <c r="B11" s="231" t="inlineStr">
        <is>
          <t>№ п/п</t>
        </is>
      </c>
      <c r="C11" s="231" t="inlineStr">
        <is>
          <t>Параметр</t>
        </is>
      </c>
      <c r="D11" s="231" t="inlineStr">
        <is>
          <t xml:space="preserve">Объект-представитель </t>
        </is>
      </c>
    </row>
    <row r="12" ht="41.25" customHeight="1">
      <c r="B12" s="231" t="n">
        <v>1</v>
      </c>
      <c r="C12" s="118" t="inlineStr">
        <is>
          <t>Наименование объекта-представителя</t>
        </is>
      </c>
      <c r="D12" s="231" t="inlineStr">
        <is>
          <t>ПС 500/220/110 кВ Бескудниково</t>
        </is>
      </c>
    </row>
    <row r="13" ht="31.5" customHeight="1">
      <c r="B13" s="231" t="n">
        <v>2</v>
      </c>
      <c r="C13" s="118" t="inlineStr">
        <is>
          <t>Наименование субъекта Российской Федерации</t>
        </is>
      </c>
      <c r="D13" s="231" t="inlineStr">
        <is>
          <t>Москва</t>
        </is>
      </c>
    </row>
    <row r="14" ht="15.75" customHeight="1">
      <c r="B14" s="231" t="n">
        <v>3</v>
      </c>
      <c r="C14" s="118" t="inlineStr">
        <is>
          <t>Климатический район и подрайон</t>
        </is>
      </c>
      <c r="D14" s="183" t="inlineStr">
        <is>
          <t>II</t>
        </is>
      </c>
    </row>
    <row r="15" ht="15.75" customHeight="1">
      <c r="B15" s="231" t="n">
        <v>4</v>
      </c>
      <c r="C15" s="118" t="inlineStr">
        <is>
          <t>Мощность объекта</t>
        </is>
      </c>
      <c r="D15" s="167" t="n">
        <v>7</v>
      </c>
    </row>
    <row r="16" ht="107.25" customHeight="1">
      <c r="B16" s="231" t="n">
        <v>5</v>
      </c>
      <c r="C16" s="11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7" t="inlineStr">
        <is>
          <t>Трансформатор тока 110 кВ</t>
        </is>
      </c>
    </row>
    <row r="17" ht="95.25" customHeight="1">
      <c r="B17" s="231" t="n">
        <v>6</v>
      </c>
      <c r="C17" s="11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'Прил.2 Расч стоим'!J12</f>
        <v/>
      </c>
    </row>
    <row r="18" ht="15.75" customHeight="1">
      <c r="B18" s="201" t="inlineStr">
        <is>
          <t>6.1</t>
        </is>
      </c>
      <c r="C18" s="118" t="inlineStr">
        <is>
          <t>строительно-монтажные работы</t>
        </is>
      </c>
      <c r="D18" s="207">
        <f>'Прил.2 Расч стоим'!G14</f>
        <v/>
      </c>
    </row>
    <row r="19" ht="15.75" customHeight="1">
      <c r="B19" s="201" t="inlineStr">
        <is>
          <t>6.2</t>
        </is>
      </c>
      <c r="C19" s="118" t="inlineStr">
        <is>
          <t>оборудование и инвентарь</t>
        </is>
      </c>
      <c r="D19" s="207">
        <f>'Прил.2 Расч стоим'!H14</f>
        <v/>
      </c>
    </row>
    <row r="20" ht="15.75" customHeight="1">
      <c r="B20" s="201" t="inlineStr">
        <is>
          <t>6.3</t>
        </is>
      </c>
      <c r="C20" s="118" t="inlineStr">
        <is>
          <t>пусконаладочные работы</t>
        </is>
      </c>
      <c r="D20" s="207">
        <f>D19*0.8*7%</f>
        <v/>
      </c>
    </row>
    <row r="21" ht="19.5" customHeight="1">
      <c r="B21" s="201" t="inlineStr">
        <is>
          <t>6.4</t>
        </is>
      </c>
      <c r="C21" s="118" t="inlineStr">
        <is>
          <t>прочие и лимитированные затраты</t>
        </is>
      </c>
      <c r="D21" s="207">
        <f>D17-D18-D19-D20</f>
        <v/>
      </c>
    </row>
    <row r="22" ht="15.75" customHeight="1">
      <c r="B22" s="231" t="n">
        <v>7</v>
      </c>
      <c r="C22" s="118" t="inlineStr">
        <is>
          <t>Сопоставимый уровень цен</t>
        </is>
      </c>
      <c r="D22" s="201" t="inlineStr">
        <is>
          <t>4 квартал 2016 г</t>
        </is>
      </c>
    </row>
    <row r="23" ht="125.25" customHeight="1">
      <c r="B23" s="231" t="n">
        <v>8</v>
      </c>
      <c r="C23" s="1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61.5" customHeight="1">
      <c r="B24" s="231" t="n">
        <v>9</v>
      </c>
      <c r="C24" s="119" t="inlineStr">
        <is>
          <t>Приведенная сметная стоимость на единицу мощности, тыс. руб. (строка 8/строку 4)</t>
        </is>
      </c>
      <c r="D24" s="207">
        <f>D23/D15</f>
        <v/>
      </c>
    </row>
    <row r="25" ht="37.5" customHeight="1">
      <c r="B25" s="121" t="n"/>
      <c r="C25" s="122" t="n"/>
      <c r="D25" s="122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2" t="n"/>
      <c r="C31" s="122" t="n"/>
      <c r="D31" s="122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7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C28" sqref="C28"/>
    </sheetView>
  </sheetViews>
  <sheetFormatPr baseColWidth="8" defaultRowHeight="15"/>
  <cols>
    <col width="5.5703125" customWidth="1" min="1" max="1"/>
    <col width="35.28515625" customWidth="1" min="3" max="3"/>
    <col width="16.5703125" customWidth="1" min="4" max="4"/>
    <col width="33.5703125" customWidth="1" min="5" max="5"/>
    <col width="15.4257812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26" t="inlineStr">
        <is>
          <t>Приложение № 2</t>
        </is>
      </c>
    </row>
    <row r="4" ht="15.75" customHeight="1">
      <c r="B4" s="23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3" t="n"/>
      <c r="C5" s="123" t="n"/>
      <c r="D5" s="123" t="n"/>
      <c r="E5" s="123" t="n"/>
      <c r="F5" s="123" t="n"/>
      <c r="G5" s="123" t="n"/>
      <c r="H5" s="123" t="n"/>
      <c r="I5" s="123" t="n"/>
      <c r="J5" s="123" t="n"/>
      <c r="K5" s="123" t="n"/>
    </row>
    <row r="6" ht="15.75" customHeight="1">
      <c r="B6" s="225" t="inlineStr">
        <is>
          <t>Наименование разрабатываемого показателя УНЦ - ТТ на три фазы с устройством фундамента напряжение 110 кВ</t>
        </is>
      </c>
    </row>
    <row r="7" ht="15.75" customHeight="1">
      <c r="B7" s="225" t="inlineStr">
        <is>
          <t>Единица измерения  — 1 ед</t>
        </is>
      </c>
    </row>
    <row r="8" ht="18.75" customHeight="1">
      <c r="B8" s="116" t="n"/>
    </row>
    <row r="9" ht="15.75" customHeight="1">
      <c r="B9" s="231" t="inlineStr">
        <is>
          <t>№ п/п</t>
        </is>
      </c>
      <c r="C9" s="2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1" t="inlineStr">
        <is>
          <t>Объект-представитель 1</t>
        </is>
      </c>
      <c r="E9" s="309" t="n"/>
      <c r="F9" s="309" t="n"/>
      <c r="G9" s="309" t="n"/>
      <c r="H9" s="309" t="n"/>
      <c r="I9" s="309" t="n"/>
      <c r="J9" s="310" t="n"/>
    </row>
    <row r="10" ht="15.75" customHeight="1">
      <c r="B10" s="311" t="n"/>
      <c r="C10" s="311" t="n"/>
      <c r="D10" s="231" t="inlineStr">
        <is>
          <t>Номер сметы</t>
        </is>
      </c>
      <c r="E10" s="231" t="inlineStr">
        <is>
          <t>Наименование сметы</t>
        </is>
      </c>
      <c r="F10" s="231" t="inlineStr">
        <is>
          <t>Сметная стоимость в уровне цен 4 кв. 2016 г., тыс. руб.</t>
        </is>
      </c>
      <c r="G10" s="309" t="n"/>
      <c r="H10" s="309" t="n"/>
      <c r="I10" s="309" t="n"/>
      <c r="J10" s="310" t="n"/>
    </row>
    <row r="11" ht="31.5" customHeight="1">
      <c r="B11" s="312" t="n"/>
      <c r="C11" s="312" t="n"/>
      <c r="D11" s="312" t="n"/>
      <c r="E11" s="31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16.25" customFormat="1" customHeight="1" s="206">
      <c r="B12" s="199" t="n">
        <v>1</v>
      </c>
      <c r="C12" s="231" t="inlineStr">
        <is>
          <t>Трансформатор тока 110 кВ</t>
        </is>
      </c>
      <c r="D12" s="201" t="inlineStr">
        <is>
          <t>ЛС 02-01-04, 
ЛС 02-02-04,
ЛС 02-03-04</t>
        </is>
      </c>
      <c r="E12" s="202" t="inlineStr">
        <is>
          <t xml:space="preserve"> Монтаж оборудования в здании КРУЭ 500 кВ; Монтаж оборудования в здании КРУЭ 220-110 кВ; Монтаж  оборудования 20, 10  и 6,3 кВ в здании ЗРУ 20  и 10 кВ</t>
        </is>
      </c>
      <c r="F12" s="203" t="n"/>
      <c r="G12" s="203">
        <f>65181*6.91/1000</f>
        <v/>
      </c>
      <c r="H12" s="203">
        <f>583796*4.28/1000</f>
        <v/>
      </c>
      <c r="I12" s="204">
        <f>129849*6.91/1000</f>
        <v/>
      </c>
      <c r="J12" s="205">
        <f>SUM(F12:I12)</f>
        <v/>
      </c>
    </row>
    <row r="13" ht="15.75" customHeight="1">
      <c r="B13" s="229" t="inlineStr">
        <is>
          <t>Всего по объекту:</t>
        </is>
      </c>
      <c r="C13" s="309" t="n"/>
      <c r="D13" s="309" t="n"/>
      <c r="E13" s="310" t="n"/>
      <c r="F13" s="208">
        <f>F12</f>
        <v/>
      </c>
      <c r="G13" s="208">
        <f>G12</f>
        <v/>
      </c>
      <c r="H13" s="208">
        <f>H12</f>
        <v/>
      </c>
      <c r="I13" s="208">
        <f>I12</f>
        <v/>
      </c>
      <c r="J13" s="208">
        <f>J12</f>
        <v/>
      </c>
    </row>
    <row r="14" ht="28.5" customHeight="1">
      <c r="B14" s="229" t="inlineStr">
        <is>
          <t>Всего по объекту в сопоставимом уровне цен 4 кв. 2016 г:</t>
        </is>
      </c>
      <c r="C14" s="309" t="n"/>
      <c r="D14" s="309" t="n"/>
      <c r="E14" s="310" t="n"/>
      <c r="F14" s="208">
        <f>F13</f>
        <v/>
      </c>
      <c r="G14" s="208">
        <f>G13</f>
        <v/>
      </c>
      <c r="H14" s="208">
        <f>H13</f>
        <v/>
      </c>
      <c r="I14" s="208">
        <f>I13</f>
        <v/>
      </c>
      <c r="J14" s="208">
        <f>J13</f>
        <v/>
      </c>
    </row>
    <row r="15" ht="18.75" customHeight="1">
      <c r="B15" s="116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6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2"/>
  <sheetViews>
    <sheetView view="pageBreakPreview" topLeftCell="A10" zoomScale="70" workbookViewId="0">
      <selection activeCell="C28" sqref="C28"/>
    </sheetView>
  </sheetViews>
  <sheetFormatPr baseColWidth="8" defaultRowHeight="15"/>
  <cols>
    <col width="8.5703125" customWidth="1" min="1" max="1"/>
    <col width="12.85546875" customWidth="1" min="2" max="2"/>
    <col width="20.7109375" customWidth="1" min="3" max="3"/>
    <col width="59" customWidth="1" min="4" max="4"/>
    <col width="12.28515625" customWidth="1" min="5" max="5"/>
    <col width="19.85546875" customWidth="1" min="6" max="6"/>
    <col width="17.85546875" customWidth="1" min="7" max="7"/>
    <col width="19.42578125" customWidth="1" style="155" min="8" max="8"/>
    <col hidden="1" width="10.140625" customWidth="1" min="9" max="9"/>
    <col hidden="1" width="11.85546875" customWidth="1" min="10" max="10"/>
    <col hidden="1" min="11" max="13"/>
  </cols>
  <sheetData>
    <row r="2" ht="15.75" customHeight="1">
      <c r="A2" s="226" t="inlineStr">
        <is>
          <t xml:space="preserve">Приложение № 3 </t>
        </is>
      </c>
      <c r="I2" s="121" t="n"/>
    </row>
    <row r="3" ht="18.75" customHeight="1">
      <c r="A3" s="227" t="inlineStr">
        <is>
          <t>Объектная ресурсная ведомость</t>
        </is>
      </c>
    </row>
    <row r="4" ht="25.5" customHeight="1">
      <c r="B4" s="154" t="n"/>
      <c r="C4" s="24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5" t="n"/>
      <c r="D5" s="145" t="n"/>
      <c r="E5" s="145" t="n"/>
      <c r="F5" s="145" t="n"/>
      <c r="G5" s="145" t="n"/>
      <c r="H5" s="146" t="n"/>
    </row>
    <row r="6" ht="15" customHeight="1">
      <c r="A6" s="241" t="inlineStr">
        <is>
          <t>Наименование разрабатываемого показателя УНЦ - ТТ на три фазы с устройством фундамента напряжение 110 кВ</t>
        </is>
      </c>
    </row>
    <row r="7" ht="14.25" customHeight="1"/>
    <row r="8" ht="15.75" customHeight="1">
      <c r="C8" s="147" t="n"/>
      <c r="D8" s="148" t="n"/>
      <c r="E8" s="149" t="n"/>
      <c r="F8" s="150" t="n"/>
      <c r="G8" s="151" t="n"/>
      <c r="H8" s="152" t="n"/>
    </row>
    <row r="9" ht="38.25" customHeight="1">
      <c r="A9" s="231" t="inlineStr">
        <is>
          <t>п/п</t>
        </is>
      </c>
      <c r="B9" s="231" t="inlineStr">
        <is>
          <t>№ЛСР</t>
        </is>
      </c>
      <c r="C9" s="231" t="inlineStr">
        <is>
          <t>Код ресурса</t>
        </is>
      </c>
      <c r="D9" s="231" t="inlineStr">
        <is>
          <t>Наименование ресурса</t>
        </is>
      </c>
      <c r="E9" s="231" t="inlineStr">
        <is>
          <t>Ед. изм.</t>
        </is>
      </c>
      <c r="F9" s="231" t="inlineStr">
        <is>
          <t>Кол-во единиц по данным объекта-представителя</t>
        </is>
      </c>
      <c r="G9" s="231" t="inlineStr">
        <is>
          <t>Сметная стоимость в ценах на 01.01.2000 (руб.)</t>
        </is>
      </c>
      <c r="H9" s="310" t="n"/>
    </row>
    <row r="10" ht="40.5" customHeight="1">
      <c r="A10" s="312" t="n"/>
      <c r="B10" s="312" t="n"/>
      <c r="C10" s="312" t="n"/>
      <c r="D10" s="312" t="n"/>
      <c r="E10" s="312" t="n"/>
      <c r="F10" s="312" t="n"/>
      <c r="G10" s="231" t="inlineStr">
        <is>
          <t>на ед.изм.</t>
        </is>
      </c>
      <c r="H10" s="231" t="inlineStr">
        <is>
          <t>общая</t>
        </is>
      </c>
    </row>
    <row r="11" ht="15.75" customHeight="1">
      <c r="A11" s="231" t="n">
        <v>1</v>
      </c>
      <c r="B11" s="183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183" t="n">
        <v>6</v>
      </c>
      <c r="H11" s="183" t="n">
        <v>7</v>
      </c>
    </row>
    <row r="12" ht="15" customHeight="1">
      <c r="A12" s="237" t="inlineStr">
        <is>
          <t>Затраты труда рабочих</t>
        </is>
      </c>
      <c r="B12" s="309" t="n"/>
      <c r="C12" s="309" t="n"/>
      <c r="D12" s="310" t="n"/>
      <c r="E12" s="184" t="n"/>
      <c r="F12" s="185">
        <f>SUM(F13:F26)</f>
        <v/>
      </c>
      <c r="G12" s="184" t="n"/>
      <c r="H12" s="186">
        <f>SUM(H13:H26)</f>
        <v/>
      </c>
    </row>
    <row r="13">
      <c r="A13" s="166" t="inlineStr">
        <is>
          <t>1</t>
        </is>
      </c>
      <c r="B13" s="166" t="n"/>
      <c r="C13" s="166" t="inlineStr">
        <is>
          <t>10-30-1</t>
        </is>
      </c>
      <c r="D13" s="252" t="inlineStr">
        <is>
          <t>Инженер I категории</t>
        </is>
      </c>
      <c r="E13" s="249" t="inlineStr">
        <is>
          <t>чел.час</t>
        </is>
      </c>
      <c r="F13" s="187" t="n">
        <v>1205.5</v>
      </c>
      <c r="G13" s="261" t="n">
        <v>15.49</v>
      </c>
      <c r="H13" s="32">
        <f>ROUND(F13*G13,2)</f>
        <v/>
      </c>
      <c r="J13" s="188" t="n"/>
      <c r="K13" s="189" t="n"/>
      <c r="L13" s="189" t="n"/>
    </row>
    <row r="14">
      <c r="A14" s="166" t="inlineStr">
        <is>
          <t>2</t>
        </is>
      </c>
      <c r="B14" s="166" t="n"/>
      <c r="C14" s="166" t="inlineStr">
        <is>
          <t>10-30-2</t>
        </is>
      </c>
      <c r="D14" s="252" t="inlineStr">
        <is>
          <t>Инженер II категории</t>
        </is>
      </c>
      <c r="E14" s="249" t="inlineStr">
        <is>
          <t>чел.час</t>
        </is>
      </c>
      <c r="F14" s="187" t="n">
        <v>1205.5</v>
      </c>
      <c r="G14" s="261" t="n">
        <v>14.09</v>
      </c>
      <c r="H14" s="32">
        <f>ROUND(F14*G14,2)</f>
        <v/>
      </c>
      <c r="J14" s="188" t="n"/>
      <c r="K14" s="189" t="n"/>
      <c r="L14" s="189" t="n"/>
    </row>
    <row r="15">
      <c r="A15" s="166" t="inlineStr">
        <is>
          <t>3</t>
        </is>
      </c>
      <c r="B15" s="166" t="n"/>
      <c r="C15" s="166" t="inlineStr">
        <is>
          <t>1-4-0</t>
        </is>
      </c>
      <c r="D15" s="252" t="inlineStr">
        <is>
          <t>Затраты труда рабочих (средний разряд работы 4,0)</t>
        </is>
      </c>
      <c r="E15" s="249" t="inlineStr">
        <is>
          <t>чел.час</t>
        </is>
      </c>
      <c r="F15" s="7" t="n">
        <v>1900.3843</v>
      </c>
      <c r="G15" s="261" t="n">
        <v>9.619999999999999</v>
      </c>
      <c r="H15" s="32">
        <f>ROUND(F15*G15,2)</f>
        <v/>
      </c>
      <c r="I15" t="n">
        <v>4</v>
      </c>
      <c r="J15" s="188">
        <f>I15*F15</f>
        <v/>
      </c>
      <c r="K15" s="189" t="n"/>
      <c r="L15" s="155">
        <f>SUM(F15:F26)</f>
        <v/>
      </c>
    </row>
    <row r="16">
      <c r="A16" s="166" t="inlineStr">
        <is>
          <t>4</t>
        </is>
      </c>
      <c r="B16" s="166" t="n"/>
      <c r="C16" s="166" t="inlineStr">
        <is>
          <t>1-3-5</t>
        </is>
      </c>
      <c r="D16" s="252" t="inlineStr">
        <is>
          <t>Затраты труда рабочих (средний разряд работы 3,5)</t>
        </is>
      </c>
      <c r="E16" s="249" t="inlineStr">
        <is>
          <t>чел.час</t>
        </is>
      </c>
      <c r="F16" s="7" t="n">
        <v>256.9185</v>
      </c>
      <c r="G16" s="261" t="n">
        <v>9.07</v>
      </c>
      <c r="H16" s="32">
        <f>ROUND(F16*G16,2)</f>
        <v/>
      </c>
      <c r="I16" t="n">
        <v>3.5</v>
      </c>
      <c r="J16" s="188">
        <f>I16*F16</f>
        <v/>
      </c>
      <c r="K16" s="189" t="n"/>
      <c r="L16" s="189" t="n"/>
    </row>
    <row r="17">
      <c r="A17" s="166" t="inlineStr">
        <is>
          <t>5</t>
        </is>
      </c>
      <c r="B17" s="166" t="n"/>
      <c r="C17" s="166" t="inlineStr">
        <is>
          <t>1-2-0</t>
        </is>
      </c>
      <c r="D17" s="252" t="inlineStr">
        <is>
          <t>Затраты труда рабочих (средний разряд работы 2,0)</t>
        </is>
      </c>
      <c r="E17" s="249" t="inlineStr">
        <is>
          <t>чел.час</t>
        </is>
      </c>
      <c r="F17" s="7" t="n">
        <v>279.5342</v>
      </c>
      <c r="G17" s="261" t="n">
        <v>7.8</v>
      </c>
      <c r="H17" s="32">
        <f>ROUND(F17*G17,2)</f>
        <v/>
      </c>
      <c r="I17" t="n">
        <v>2</v>
      </c>
      <c r="J17" s="188">
        <f>I17*F17</f>
        <v/>
      </c>
      <c r="K17" s="189" t="n"/>
      <c r="L17" s="189" t="n"/>
    </row>
    <row r="18">
      <c r="A18" s="166" t="inlineStr">
        <is>
          <t>6</t>
        </is>
      </c>
      <c r="B18" s="166" t="n"/>
      <c r="C18" s="166" t="inlineStr">
        <is>
          <t>1-3-8</t>
        </is>
      </c>
      <c r="D18" s="252" t="inlineStr">
        <is>
          <t>Затраты труда рабочих (средний разряд работы 3,8)</t>
        </is>
      </c>
      <c r="E18" s="249" t="inlineStr">
        <is>
          <t>чел.час</t>
        </is>
      </c>
      <c r="F18" s="7" t="n">
        <v>189.2308</v>
      </c>
      <c r="G18" s="261" t="n">
        <v>9.4</v>
      </c>
      <c r="H18" s="32">
        <f>ROUND(F18*G18,2)</f>
        <v/>
      </c>
      <c r="I18" t="n">
        <v>3.8</v>
      </c>
      <c r="J18" s="188">
        <f>I18*F18</f>
        <v/>
      </c>
      <c r="K18" s="189" t="n"/>
      <c r="L18" s="189" t="n"/>
    </row>
    <row r="19">
      <c r="A19" s="166" t="inlineStr">
        <is>
          <t>7</t>
        </is>
      </c>
      <c r="B19" s="166" t="n"/>
      <c r="C19" s="166" t="inlineStr">
        <is>
          <t>1-1-5</t>
        </is>
      </c>
      <c r="D19" s="252" t="inlineStr">
        <is>
          <t>Затраты труда рабочих (средний разряд работы 1,5)</t>
        </is>
      </c>
      <c r="E19" s="249" t="inlineStr">
        <is>
          <t>чел.час</t>
        </is>
      </c>
      <c r="F19" s="7" t="n">
        <v>121.5331</v>
      </c>
      <c r="G19" s="261" t="n">
        <v>7.5</v>
      </c>
      <c r="H19" s="32">
        <f>ROUND(F19*G19,2)</f>
        <v/>
      </c>
      <c r="I19" t="n">
        <v>1.5</v>
      </c>
      <c r="J19" s="188">
        <f>I19*F19</f>
        <v/>
      </c>
      <c r="K19" s="189" t="n"/>
      <c r="L19" s="189" t="n"/>
    </row>
    <row r="20">
      <c r="A20" s="166" t="inlineStr">
        <is>
          <t>8</t>
        </is>
      </c>
      <c r="B20" s="166" t="n"/>
      <c r="C20" s="166" t="inlineStr">
        <is>
          <t>1-3-9</t>
        </is>
      </c>
      <c r="D20" s="252" t="inlineStr">
        <is>
          <t>Затраты труда рабочих (средний разряд работы 3,9)</t>
        </is>
      </c>
      <c r="E20" s="249" t="inlineStr">
        <is>
          <t>чел.час</t>
        </is>
      </c>
      <c r="F20" s="7" t="n">
        <v>82.5159</v>
      </c>
      <c r="G20" s="261" t="n">
        <v>9.51</v>
      </c>
      <c r="H20" s="32">
        <f>ROUND(F20*G20,2)</f>
        <v/>
      </c>
      <c r="I20" t="n">
        <v>3.9</v>
      </c>
      <c r="J20" s="188">
        <f>I20*F20</f>
        <v/>
      </c>
      <c r="K20" s="189" t="n"/>
      <c r="L20" s="189" t="n"/>
    </row>
    <row r="21">
      <c r="A21" s="166" t="inlineStr">
        <is>
          <t>9</t>
        </is>
      </c>
      <c r="B21" s="166" t="n"/>
      <c r="C21" s="166" t="inlineStr">
        <is>
          <t>1-4-2</t>
        </is>
      </c>
      <c r="D21" s="252" t="inlineStr">
        <is>
          <t>Затраты труда рабочих (средний разряд работы 4,2)</t>
        </is>
      </c>
      <c r="E21" s="249" t="inlineStr">
        <is>
          <t>чел.час</t>
        </is>
      </c>
      <c r="F21" s="7" t="n">
        <v>61.374</v>
      </c>
      <c r="G21" s="261" t="n">
        <v>9.92</v>
      </c>
      <c r="H21" s="32">
        <f>ROUND(F21*G21,2)</f>
        <v/>
      </c>
      <c r="I21" t="n">
        <v>4.2</v>
      </c>
      <c r="J21" s="188">
        <f>I21*F21</f>
        <v/>
      </c>
      <c r="K21" s="189" t="n"/>
      <c r="L21" s="189" t="n"/>
    </row>
    <row r="22">
      <c r="A22" s="166" t="inlineStr">
        <is>
          <t>10</t>
        </is>
      </c>
      <c r="B22" s="166" t="n"/>
      <c r="C22" s="166" t="inlineStr">
        <is>
          <t>1-1-0</t>
        </is>
      </c>
      <c r="D22" s="252" t="inlineStr">
        <is>
          <t>Затраты труда рабочих (средний разряд работы 1,0)</t>
        </is>
      </c>
      <c r="E22" s="249" t="inlineStr">
        <is>
          <t>чел.час</t>
        </is>
      </c>
      <c r="F22" s="7" t="n">
        <v>42.0447</v>
      </c>
      <c r="G22" s="261" t="n">
        <v>7.19</v>
      </c>
      <c r="H22" s="32">
        <f>ROUND(F22*G22,2)</f>
        <v/>
      </c>
      <c r="I22" t="n">
        <v>1</v>
      </c>
      <c r="J22" s="188">
        <f>I22*F22</f>
        <v/>
      </c>
      <c r="K22" s="189" t="n"/>
      <c r="L22" s="189" t="n"/>
    </row>
    <row r="23">
      <c r="A23" s="166" t="inlineStr">
        <is>
          <t>11</t>
        </is>
      </c>
      <c r="B23" s="166" t="n"/>
      <c r="C23" s="166" t="inlineStr">
        <is>
          <t>1-3-0</t>
        </is>
      </c>
      <c r="D23" s="252" t="inlineStr">
        <is>
          <t>Затраты труда рабочих (средний разряд работы 3,0)</t>
        </is>
      </c>
      <c r="E23" s="249" t="inlineStr">
        <is>
          <t>чел.час</t>
        </is>
      </c>
      <c r="F23" s="7" t="n">
        <v>33.5102</v>
      </c>
      <c r="G23" s="261" t="n">
        <v>8.529999999999999</v>
      </c>
      <c r="H23" s="32">
        <f>ROUND(F23*G23,2)</f>
        <v/>
      </c>
      <c r="I23" t="n">
        <v>3</v>
      </c>
      <c r="J23" s="188">
        <f>I23*F23</f>
        <v/>
      </c>
      <c r="K23" s="189" t="n"/>
      <c r="L23" s="189" t="n"/>
    </row>
    <row r="24">
      <c r="A24" s="166" t="inlineStr">
        <is>
          <t>12</t>
        </is>
      </c>
      <c r="B24" s="166" t="n"/>
      <c r="C24" s="166" t="inlineStr">
        <is>
          <t>1-3-2</t>
        </is>
      </c>
      <c r="D24" s="252" t="inlineStr">
        <is>
          <t>Затраты труда рабочих (средний разряд работы 3,2)</t>
        </is>
      </c>
      <c r="E24" s="249" t="inlineStr">
        <is>
          <t>чел.час</t>
        </is>
      </c>
      <c r="F24" s="7" t="n">
        <v>13.9817</v>
      </c>
      <c r="G24" s="261" t="n">
        <v>8.74</v>
      </c>
      <c r="H24" s="32">
        <f>ROUND(F24*G24,2)</f>
        <v/>
      </c>
      <c r="I24" t="n">
        <v>3.2</v>
      </c>
      <c r="J24" s="188">
        <f>I24*F24</f>
        <v/>
      </c>
      <c r="K24" s="189" t="n"/>
      <c r="L24" s="189" t="n"/>
    </row>
    <row r="25">
      <c r="A25" s="166" t="inlineStr">
        <is>
          <t>13</t>
        </is>
      </c>
      <c r="B25" s="166" t="n"/>
      <c r="C25" s="166" t="inlineStr">
        <is>
          <t>1-3-4</t>
        </is>
      </c>
      <c r="D25" s="252" t="inlineStr">
        <is>
          <t>Затраты труда рабочих (средний разряд работы 3,4)</t>
        </is>
      </c>
      <c r="E25" s="249" t="inlineStr">
        <is>
          <t>чел.час</t>
        </is>
      </c>
      <c r="F25" s="7" t="n">
        <v>4.2921</v>
      </c>
      <c r="G25" s="261" t="n">
        <v>8.970000000000001</v>
      </c>
      <c r="H25" s="32">
        <f>ROUND(F25*G25,2)</f>
        <v/>
      </c>
      <c r="I25" t="n">
        <v>3.4</v>
      </c>
      <c r="J25" s="188">
        <f>I25*F25</f>
        <v/>
      </c>
      <c r="K25" s="189" t="n"/>
      <c r="L25" s="189" t="n"/>
    </row>
    <row r="26">
      <c r="A26" s="166" t="inlineStr">
        <is>
          <t>14</t>
        </is>
      </c>
      <c r="B26" s="166" t="n"/>
      <c r="C26" s="166" t="inlineStr">
        <is>
          <t>1-4-6</t>
        </is>
      </c>
      <c r="D26" s="252" t="inlineStr">
        <is>
          <t>Затраты труда рабочих (средний разряд работы 4,6)</t>
        </is>
      </c>
      <c r="E26" s="249" t="inlineStr">
        <is>
          <t>чел.час</t>
        </is>
      </c>
      <c r="F26" s="7" t="n">
        <v>3.4855</v>
      </c>
      <c r="G26" s="261" t="n">
        <v>10.5</v>
      </c>
      <c r="H26" s="32">
        <f>ROUND(F26*G26,2)</f>
        <v/>
      </c>
      <c r="I26" t="n">
        <v>4.6</v>
      </c>
      <c r="J26" s="188">
        <f>I26*F26</f>
        <v/>
      </c>
      <c r="K26" s="189" t="n"/>
      <c r="L26" s="189" t="n"/>
    </row>
    <row r="27">
      <c r="A27" s="313" t="inlineStr">
        <is>
          <t>Затраты труда машинистов</t>
        </is>
      </c>
      <c r="B27" s="314" t="n"/>
      <c r="C27" s="314" t="n"/>
      <c r="D27" s="315" t="n"/>
      <c r="E27" s="262" t="n"/>
      <c r="F27" s="153" t="n"/>
      <c r="G27" s="190" t="n"/>
      <c r="H27" s="191">
        <f>H28</f>
        <v/>
      </c>
      <c r="L27" s="189" t="n"/>
    </row>
    <row r="28">
      <c r="A28" s="192" t="inlineStr">
        <is>
          <t>15</t>
        </is>
      </c>
      <c r="B28" s="192" t="n"/>
      <c r="C28" s="153" t="n">
        <v>2</v>
      </c>
      <c r="D28" s="193" t="inlineStr">
        <is>
          <t>Затраты труда машинистов(справочно)</t>
        </is>
      </c>
      <c r="E28" s="262" t="inlineStr">
        <is>
          <t>чел.-ч</t>
        </is>
      </c>
      <c r="F28" s="168" t="n">
        <v>675.1584</v>
      </c>
      <c r="G28" s="261" t="n"/>
      <c r="H28" s="32" t="n">
        <v>7965.903996</v>
      </c>
      <c r="J28" s="188">
        <f>SUM(J15:J26)</f>
        <v/>
      </c>
    </row>
    <row r="29" ht="15" customHeight="1">
      <c r="A29" s="237" t="inlineStr">
        <is>
          <t>Машины и механизмы</t>
        </is>
      </c>
      <c r="B29" s="309" t="n"/>
      <c r="C29" s="309" t="n"/>
      <c r="D29" s="310" t="n"/>
      <c r="E29" s="184" t="n"/>
      <c r="F29" s="184" t="n"/>
      <c r="G29" s="184" t="n"/>
      <c r="H29" s="194">
        <f>SUM(H30:H56)</f>
        <v/>
      </c>
      <c r="K29" s="155">
        <f>J28/L15</f>
        <v/>
      </c>
    </row>
    <row r="30" ht="25.5" customHeight="1">
      <c r="A30" s="166" t="inlineStr">
        <is>
          <t>16</t>
        </is>
      </c>
      <c r="B30" s="166" t="n"/>
      <c r="C30" s="153" t="inlineStr">
        <is>
          <t>91.11.01-012</t>
        </is>
      </c>
      <c r="D30" s="193" t="inlineStr">
        <is>
          <t>Машины монтажные для выполнения работ при прокладке и монтаже кабеля на базе автомобиля</t>
        </is>
      </c>
      <c r="E30" s="262" t="inlineStr">
        <is>
          <t>маш.час</t>
        </is>
      </c>
      <c r="F30" s="153" t="n">
        <v>336</v>
      </c>
      <c r="G30" s="190" t="n">
        <v>110.86</v>
      </c>
      <c r="H30" s="32">
        <f>ROUND(F30*G30,2)</f>
        <v/>
      </c>
      <c r="I30" s="195" t="n"/>
    </row>
    <row r="31">
      <c r="A31" s="166" t="inlineStr">
        <is>
          <t>17</t>
        </is>
      </c>
      <c r="B31" s="166" t="n"/>
      <c r="C31" s="153" t="inlineStr">
        <is>
          <t>91.10.01-002</t>
        </is>
      </c>
      <c r="D31" s="193" t="inlineStr">
        <is>
          <t>Агрегаты наполнительно-опрессовочные: до 300 м3/ч</t>
        </is>
      </c>
      <c r="E31" s="262" t="inlineStr">
        <is>
          <t>маш.час</t>
        </is>
      </c>
      <c r="F31" s="153" t="n">
        <v>80.43000000000001</v>
      </c>
      <c r="G31" s="190" t="n">
        <v>287.99</v>
      </c>
      <c r="H31" s="32">
        <f>ROUND(F31*G31,2)</f>
        <v/>
      </c>
      <c r="I31" s="195" t="n"/>
    </row>
    <row r="32">
      <c r="A32" s="166" t="inlineStr">
        <is>
          <t>18</t>
        </is>
      </c>
      <c r="B32" s="166" t="n"/>
      <c r="C32" s="153" t="inlineStr">
        <is>
          <t>91.06.03-058</t>
        </is>
      </c>
      <c r="D32" s="193" t="inlineStr">
        <is>
          <t>Лебедки электрические тяговым усилием: 156,96 кН (16 т)</t>
        </is>
      </c>
      <c r="E32" s="262" t="inlineStr">
        <is>
          <t>маш.час</t>
        </is>
      </c>
      <c r="F32" s="153" t="n">
        <v>80.43000000000001</v>
      </c>
      <c r="G32" s="190" t="n">
        <v>131.44</v>
      </c>
      <c r="H32" s="32">
        <f>ROUND(F32*G32,2)</f>
        <v/>
      </c>
      <c r="I32" s="195" t="n"/>
    </row>
    <row r="33">
      <c r="A33" s="166" t="inlineStr">
        <is>
          <t>19</t>
        </is>
      </c>
      <c r="B33" s="166" t="n"/>
      <c r="C33" s="153" t="inlineStr">
        <is>
          <t>91.05.05-014</t>
        </is>
      </c>
      <c r="D33" s="193" t="inlineStr">
        <is>
          <t>Краны на автомобильном ходу, грузоподъемность 10 т</t>
        </is>
      </c>
      <c r="E33" s="262" t="inlineStr">
        <is>
          <t>маш.час</t>
        </is>
      </c>
      <c r="F33" s="262" t="n">
        <v>70.91</v>
      </c>
      <c r="G33" s="190" t="n">
        <v>111.99</v>
      </c>
      <c r="H33" s="32">
        <f>ROUND(F33*G33,2)</f>
        <v/>
      </c>
      <c r="I33" s="195" t="n"/>
    </row>
    <row r="34" ht="25.5" customHeight="1">
      <c r="A34" s="166" t="inlineStr">
        <is>
          <t>20</t>
        </is>
      </c>
      <c r="B34" s="166" t="n"/>
      <c r="C34" s="153" t="inlineStr">
        <is>
          <t>91.18.01-012</t>
        </is>
      </c>
      <c r="D34" s="193" t="inlineStr">
        <is>
          <t>Компрессоры передвижные с электродвигателем давлением 600 кПа (6 ат), производительность: до 3,5 м3/мин</t>
        </is>
      </c>
      <c r="E34" s="262" t="inlineStr">
        <is>
          <t>маш.час</t>
        </is>
      </c>
      <c r="F34" s="262" t="n">
        <v>94.02</v>
      </c>
      <c r="G34" s="190" t="n">
        <v>32.5</v>
      </c>
      <c r="H34" s="32">
        <f>ROUND(F34*G34,2)</f>
        <v/>
      </c>
      <c r="I34" s="195" t="n"/>
    </row>
    <row r="35">
      <c r="A35" s="166" t="inlineStr">
        <is>
          <t>21</t>
        </is>
      </c>
      <c r="B35" s="166" t="n"/>
      <c r="C35" s="153" t="inlineStr">
        <is>
          <t>91.14.02-001</t>
        </is>
      </c>
      <c r="D35" s="193" t="inlineStr">
        <is>
          <t>Автомобили бортовые, грузоподъемность: до 5 т</t>
        </is>
      </c>
      <c r="E35" s="262" t="inlineStr">
        <is>
          <t>маш.час</t>
        </is>
      </c>
      <c r="F35" s="262" t="n">
        <v>37.42</v>
      </c>
      <c r="G35" s="190" t="n">
        <v>65.70999999999999</v>
      </c>
      <c r="H35" s="32">
        <f>ROUND(F35*G35,2)</f>
        <v/>
      </c>
      <c r="I35" s="195" t="n"/>
    </row>
    <row r="36">
      <c r="A36" s="166" t="inlineStr">
        <is>
          <t>22</t>
        </is>
      </c>
      <c r="B36" s="166" t="n"/>
      <c r="C36" s="153" t="inlineStr">
        <is>
          <t>91.05.08-007</t>
        </is>
      </c>
      <c r="D36" s="193" t="inlineStr">
        <is>
          <t>Краны на пневмоколесном ходу, грузоподъемность 25 т</t>
        </is>
      </c>
      <c r="E36" s="262" t="inlineStr">
        <is>
          <t>маш.час</t>
        </is>
      </c>
      <c r="F36" s="262" t="n">
        <v>16.98</v>
      </c>
      <c r="G36" s="190" t="n">
        <v>102.51</v>
      </c>
      <c r="H36" s="32">
        <f>ROUND(F36*G36,2)</f>
        <v/>
      </c>
      <c r="I36" s="195" t="n"/>
    </row>
    <row r="37">
      <c r="A37" s="166" t="inlineStr">
        <is>
          <t>23</t>
        </is>
      </c>
      <c r="B37" s="166" t="n"/>
      <c r="C37" s="153" t="inlineStr">
        <is>
          <t>91.17.04-233</t>
        </is>
      </c>
      <c r="D37" s="193" t="inlineStr">
        <is>
          <t>Установки для сварки: ручной дуговой (постоянного тока)</t>
        </is>
      </c>
      <c r="E37" s="262" t="inlineStr">
        <is>
          <t>маш.час</t>
        </is>
      </c>
      <c r="F37" s="262" t="n">
        <v>157.38</v>
      </c>
      <c r="G37" s="190" t="n">
        <v>8.1</v>
      </c>
      <c r="H37" s="32">
        <f>ROUND(F37*G37,2)</f>
        <v/>
      </c>
      <c r="I37" s="195" t="n"/>
    </row>
    <row r="38" ht="38.25" customHeight="1">
      <c r="A38" s="166" t="inlineStr">
        <is>
          <t>24</t>
        </is>
      </c>
      <c r="B38" s="166" t="n"/>
      <c r="C38" s="153" t="inlineStr">
        <is>
          <t>ФССЦпг-03-21-01-020</t>
        </is>
      </c>
      <c r="D38" s="193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8" s="262" t="inlineStr">
        <is>
          <t>1 т груза</t>
        </is>
      </c>
      <c r="F38" s="262" t="n">
        <v>64.764</v>
      </c>
      <c r="G38" s="190" t="n">
        <v>15.35</v>
      </c>
      <c r="H38" s="32">
        <f>ROUND(F38*G38,2)</f>
        <v/>
      </c>
      <c r="I38" s="195" t="n"/>
    </row>
    <row r="39">
      <c r="A39" s="166" t="inlineStr">
        <is>
          <t>25</t>
        </is>
      </c>
      <c r="B39" s="166" t="n"/>
      <c r="C39" s="153" t="inlineStr">
        <is>
          <t>91.06.06-042</t>
        </is>
      </c>
      <c r="D39" s="193" t="inlineStr">
        <is>
          <t>Подъемники гидравлические высотой подъема: 10 м</t>
        </is>
      </c>
      <c r="E39" s="262" t="inlineStr">
        <is>
          <t>маш.час</t>
        </is>
      </c>
      <c r="F39" s="262" t="n">
        <v>27.21</v>
      </c>
      <c r="G39" s="190" t="n">
        <v>29.6</v>
      </c>
      <c r="H39" s="32">
        <f>ROUND(F39*G39,2)</f>
        <v/>
      </c>
      <c r="I39" s="195" t="n"/>
    </row>
    <row r="40">
      <c r="A40" s="166" t="inlineStr">
        <is>
          <t>26</t>
        </is>
      </c>
      <c r="B40" s="166" t="n"/>
      <c r="C40" s="153" t="inlineStr">
        <is>
          <t>91.08.04-021</t>
        </is>
      </c>
      <c r="D40" s="193" t="inlineStr">
        <is>
          <t>Котлы битумные: передвижные 400 л</t>
        </is>
      </c>
      <c r="E40" s="262" t="inlineStr">
        <is>
          <t>маш.час</t>
        </is>
      </c>
      <c r="F40" s="262" t="n">
        <v>18.47</v>
      </c>
      <c r="G40" s="190" t="n">
        <v>30</v>
      </c>
      <c r="H40" s="32">
        <f>ROUND(F40*G40,2)</f>
        <v/>
      </c>
      <c r="I40" s="195" t="n"/>
    </row>
    <row r="41" ht="38.25" customHeight="1">
      <c r="A41" s="166" t="inlineStr">
        <is>
          <t>27</t>
        </is>
      </c>
      <c r="B41" s="166" t="n"/>
      <c r="C41" s="153" t="inlineStr">
        <is>
          <t>91.18.01-007</t>
        </is>
      </c>
      <c r="D41" s="19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41" s="262" t="inlineStr">
        <is>
          <t>маш.час</t>
        </is>
      </c>
      <c r="F41" s="262" t="n">
        <v>5.6</v>
      </c>
      <c r="G41" s="190" t="n">
        <v>90</v>
      </c>
      <c r="H41" s="32">
        <f>ROUND(F41*G41,2)</f>
        <v/>
      </c>
      <c r="I41" s="195" t="n"/>
    </row>
    <row r="42">
      <c r="A42" s="166" t="inlineStr">
        <is>
          <t>28</t>
        </is>
      </c>
      <c r="B42" s="166" t="n"/>
      <c r="C42" s="153" t="inlineStr">
        <is>
          <t>91.14.02-002</t>
        </is>
      </c>
      <c r="D42" s="193" t="inlineStr">
        <is>
          <t>Автомобили бортовые, грузоподъемность: до 8 т</t>
        </is>
      </c>
      <c r="E42" s="262" t="inlineStr">
        <is>
          <t>маш.час</t>
        </is>
      </c>
      <c r="F42" s="262" t="n">
        <v>4.24</v>
      </c>
      <c r="G42" s="190" t="n">
        <v>85.84</v>
      </c>
      <c r="H42" s="32">
        <f>ROUND(F42*G42,2)</f>
        <v/>
      </c>
      <c r="I42" s="195" t="n"/>
    </row>
    <row r="43" ht="25.5" customHeight="1">
      <c r="A43" s="166" t="inlineStr">
        <is>
          <t>29</t>
        </is>
      </c>
      <c r="B43" s="166" t="n"/>
      <c r="C43" s="153" t="inlineStr">
        <is>
          <t>91.21.10-003</t>
        </is>
      </c>
      <c r="D43" s="193" t="inlineStr">
        <is>
          <t>Молотки при работе от передвижных компрессорных станций: отбойные пневматические</t>
        </is>
      </c>
      <c r="E43" s="262" t="inlineStr">
        <is>
          <t>маш.час</t>
        </is>
      </c>
      <c r="F43" s="262" t="n">
        <v>188.02</v>
      </c>
      <c r="G43" s="190" t="n">
        <v>1.53</v>
      </c>
      <c r="H43" s="32">
        <f>ROUND(F43*G43,2)</f>
        <v/>
      </c>
      <c r="I43" s="195" t="n"/>
    </row>
    <row r="44">
      <c r="A44" s="166" t="inlineStr">
        <is>
          <t>30</t>
        </is>
      </c>
      <c r="B44" s="166" t="n"/>
      <c r="C44" s="153" t="inlineStr">
        <is>
          <t>91.06.01-003</t>
        </is>
      </c>
      <c r="D44" s="193" t="inlineStr">
        <is>
          <t>Домкраты гидравлические, грузоподъемность 63-100 т</t>
        </is>
      </c>
      <c r="E44" s="262" t="inlineStr">
        <is>
          <t>маш.час</t>
        </is>
      </c>
      <c r="F44" s="262" t="n">
        <v>160.86</v>
      </c>
      <c r="G44" s="190" t="n">
        <v>0.9</v>
      </c>
      <c r="H44" s="32">
        <f>ROUND(F44*G44,2)</f>
        <v/>
      </c>
      <c r="I44" s="195" t="n"/>
    </row>
    <row r="45">
      <c r="A45" s="166" t="inlineStr">
        <is>
          <t>31</t>
        </is>
      </c>
      <c r="B45" s="166" t="n"/>
      <c r="C45" s="153" t="inlineStr">
        <is>
          <t>91.21.12-002</t>
        </is>
      </c>
      <c r="D45" s="193" t="inlineStr">
        <is>
          <t>Ножницы листовые кривошипные гильотинные</t>
        </is>
      </c>
      <c r="E45" s="262" t="inlineStr">
        <is>
          <t>маш.час</t>
        </is>
      </c>
      <c r="F45" s="262" t="n">
        <v>0.8100000000000001</v>
      </c>
      <c r="G45" s="190" t="n">
        <v>70</v>
      </c>
      <c r="H45" s="32">
        <f>ROUND(F45*G45,2)</f>
        <v/>
      </c>
      <c r="I45" s="195" t="n"/>
    </row>
    <row r="46">
      <c r="A46" s="166" t="inlineStr">
        <is>
          <t>32</t>
        </is>
      </c>
      <c r="B46" s="166" t="n"/>
      <c r="C46" s="153" t="inlineStr">
        <is>
          <t>91.01.01-035</t>
        </is>
      </c>
      <c r="D46" s="193" t="inlineStr">
        <is>
          <t>Бульдозеры, мощность 79 кВт (108 л.с.)</t>
        </is>
      </c>
      <c r="E46" s="262" t="inlineStr">
        <is>
          <t>маш.час</t>
        </is>
      </c>
      <c r="F46" s="262" t="n">
        <v>0.66</v>
      </c>
      <c r="G46" s="190" t="n">
        <v>79.06999999999999</v>
      </c>
      <c r="H46" s="32">
        <f>ROUND(F46*G46,2)</f>
        <v/>
      </c>
      <c r="I46" s="195" t="n"/>
    </row>
    <row r="47">
      <c r="A47" s="166" t="inlineStr">
        <is>
          <t>33</t>
        </is>
      </c>
      <c r="B47" s="166" t="n"/>
      <c r="C47" s="153" t="inlineStr">
        <is>
          <t>91.17.04-042</t>
        </is>
      </c>
      <c r="D47" s="193" t="inlineStr">
        <is>
          <t>Аппарат для газовой сварки и резки</t>
        </is>
      </c>
      <c r="E47" s="262" t="inlineStr">
        <is>
          <t>маш.час</t>
        </is>
      </c>
      <c r="F47" s="262" t="n">
        <v>40.74</v>
      </c>
      <c r="G47" s="190" t="n">
        <v>1.2</v>
      </c>
      <c r="H47" s="32">
        <f>ROUND(F47*G47,2)</f>
        <v/>
      </c>
      <c r="I47" s="195" t="n"/>
    </row>
    <row r="48">
      <c r="A48" s="166" t="inlineStr">
        <is>
          <t>34</t>
        </is>
      </c>
      <c r="B48" s="166" t="n"/>
      <c r="C48" s="153" t="inlineStr">
        <is>
          <t>91.21.16-014</t>
        </is>
      </c>
      <c r="D48" s="193" t="inlineStr">
        <is>
          <t>Пресс: листогибочный кривошипный 1000 кН (100 тс)</t>
        </is>
      </c>
      <c r="E48" s="262" t="inlineStr">
        <is>
          <t>маш.час</t>
        </is>
      </c>
      <c r="F48" s="262" t="n">
        <v>0.8100000000000001</v>
      </c>
      <c r="G48" s="190" t="n">
        <v>56.24</v>
      </c>
      <c r="H48" s="32">
        <f>ROUND(F48*G48,2)</f>
        <v/>
      </c>
      <c r="I48" s="195" t="n"/>
    </row>
    <row r="49" ht="25.5" customHeight="1">
      <c r="A49" s="166" t="inlineStr">
        <is>
          <t>35</t>
        </is>
      </c>
      <c r="B49" s="166" t="n"/>
      <c r="C49" s="153" t="inlineStr">
        <is>
          <t>91.17.04-036</t>
        </is>
      </c>
      <c r="D49" s="193" t="inlineStr">
        <is>
          <t>Агрегаты сварочные передвижные номинальным сварочным током 250-400 А: с дизельным двигателем</t>
        </is>
      </c>
      <c r="E49" s="262" t="inlineStr">
        <is>
          <t>маш.час</t>
        </is>
      </c>
      <c r="F49" s="262" t="n">
        <v>2.95</v>
      </c>
      <c r="G49" s="190" t="n">
        <v>14</v>
      </c>
      <c r="H49" s="32">
        <f>ROUND(F49*G49,2)</f>
        <v/>
      </c>
      <c r="I49" s="195" t="n"/>
    </row>
    <row r="50">
      <c r="A50" s="166" t="inlineStr">
        <is>
          <t>36</t>
        </is>
      </c>
      <c r="B50" s="166" t="n"/>
      <c r="C50" s="153" t="inlineStr">
        <is>
          <t>91.05.01-017</t>
        </is>
      </c>
      <c r="D50" s="193" t="inlineStr">
        <is>
          <t>Краны башенные, грузоподъемность 8 т</t>
        </is>
      </c>
      <c r="E50" s="262" t="inlineStr">
        <is>
          <t>маш.час</t>
        </is>
      </c>
      <c r="F50" s="262" t="n">
        <v>0.43</v>
      </c>
      <c r="G50" s="190" t="n">
        <v>86.40000000000001</v>
      </c>
      <c r="H50" s="32">
        <f>ROUND(F50*G50,2)</f>
        <v/>
      </c>
      <c r="I50" s="195" t="n"/>
    </row>
    <row r="51">
      <c r="A51" s="166" t="inlineStr">
        <is>
          <t>37</t>
        </is>
      </c>
      <c r="B51" s="166" t="n"/>
      <c r="C51" s="153" t="inlineStr">
        <is>
          <t>91.21.16-013</t>
        </is>
      </c>
      <c r="D51" s="193" t="inlineStr">
        <is>
          <t>Пресс: кривошипный простого действия 25 кН (2,5 тс)</t>
        </is>
      </c>
      <c r="E51" s="262" t="inlineStr">
        <is>
          <t>маш.час</t>
        </is>
      </c>
      <c r="F51" s="262" t="n">
        <v>0.8100000000000001</v>
      </c>
      <c r="G51" s="190" t="n">
        <v>16.92</v>
      </c>
      <c r="H51" s="32">
        <f>ROUND(F51*G51,2)</f>
        <v/>
      </c>
      <c r="I51" s="195" t="n"/>
    </row>
    <row r="52" ht="25.5" customHeight="1">
      <c r="A52" s="166" t="inlineStr">
        <is>
          <t>38</t>
        </is>
      </c>
      <c r="B52" s="166" t="n"/>
      <c r="C52" s="153" t="inlineStr">
        <is>
          <t>91.21.01-012</t>
        </is>
      </c>
      <c r="D52" s="193" t="inlineStr">
        <is>
          <t>Агрегаты окрасочные высокого давления для окраски поверхностей конструкций, мощность 1 кВт</t>
        </is>
      </c>
      <c r="E52" s="262" t="inlineStr">
        <is>
          <t>маш.час</t>
        </is>
      </c>
      <c r="F52" s="262" t="n">
        <v>1.6</v>
      </c>
      <c r="G52" s="190" t="n">
        <v>6.82</v>
      </c>
      <c r="H52" s="32">
        <f>ROUND(F52*G52,2)</f>
        <v/>
      </c>
      <c r="I52" s="195" t="n"/>
    </row>
    <row r="53" ht="25.5" customHeight="1">
      <c r="A53" s="166" t="inlineStr">
        <is>
          <t>39</t>
        </is>
      </c>
      <c r="B53" s="166" t="n"/>
      <c r="C53" s="153" t="inlineStr">
        <is>
          <t>91.08.09-023</t>
        </is>
      </c>
      <c r="D53" s="193" t="inlineStr">
        <is>
          <t>Трамбовки пневматические при работе от: передвижных компрессорных станций</t>
        </is>
      </c>
      <c r="E53" s="262" t="inlineStr">
        <is>
          <t>маш.час</t>
        </is>
      </c>
      <c r="F53" s="262" t="n">
        <v>17.87</v>
      </c>
      <c r="G53" s="190" t="n">
        <v>0.55</v>
      </c>
      <c r="H53" s="32">
        <f>ROUND(F53*G53,2)</f>
        <v/>
      </c>
      <c r="I53" s="195" t="n"/>
    </row>
    <row r="54" ht="38.25" customHeight="1">
      <c r="A54" s="166" t="inlineStr">
        <is>
          <t>40</t>
        </is>
      </c>
      <c r="B54" s="166" t="n"/>
      <c r="C54" s="153" t="inlineStr">
        <is>
          <t>ФССЦпг-03-21-01-031</t>
        </is>
      </c>
      <c r="D54" s="193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E54" s="262" t="inlineStr">
        <is>
          <t>1 т груза</t>
        </is>
      </c>
      <c r="F54" s="262" t="n">
        <v>0.294</v>
      </c>
      <c r="G54" s="190" t="n">
        <v>19.68</v>
      </c>
      <c r="H54" s="32">
        <f>ROUND(F54*G54,2)</f>
        <v/>
      </c>
      <c r="I54" s="195" t="n"/>
    </row>
    <row r="55">
      <c r="A55" s="166" t="inlineStr">
        <is>
          <t>41</t>
        </is>
      </c>
      <c r="B55" s="166" t="n"/>
      <c r="C55" s="153" t="inlineStr">
        <is>
          <t>91.21.19-031</t>
        </is>
      </c>
      <c r="D55" s="193" t="inlineStr">
        <is>
          <t>Станок: сверлильный</t>
        </is>
      </c>
      <c r="E55" s="262" t="inlineStr">
        <is>
          <t>маш.час</t>
        </is>
      </c>
      <c r="F55" s="262" t="n">
        <v>0.8100000000000001</v>
      </c>
      <c r="G55" s="190" t="n">
        <v>2.36</v>
      </c>
      <c r="H55" s="32">
        <f>ROUND(F55*G55,2)</f>
        <v/>
      </c>
      <c r="I55" s="195" t="n"/>
    </row>
    <row r="56">
      <c r="A56" s="166" t="inlineStr">
        <is>
          <t>42</t>
        </is>
      </c>
      <c r="B56" s="166" t="n"/>
      <c r="C56" s="153" t="inlineStr">
        <is>
          <t>91.07.04-002</t>
        </is>
      </c>
      <c r="D56" s="193" t="inlineStr">
        <is>
          <t>Вибратор поверхностный</t>
        </is>
      </c>
      <c r="E56" s="262" t="inlineStr">
        <is>
          <t>маш.час</t>
        </is>
      </c>
      <c r="F56" s="262" t="n">
        <v>1.38</v>
      </c>
      <c r="G56" s="190" t="n">
        <v>0.5</v>
      </c>
      <c r="H56" s="32">
        <f>ROUND(F56*G56,2)</f>
        <v/>
      </c>
      <c r="I56" s="195" t="n"/>
    </row>
    <row r="57" ht="15" customHeight="1">
      <c r="A57" s="238" t="inlineStr">
        <is>
          <t>Оборудование</t>
        </is>
      </c>
      <c r="B57" s="309" t="n"/>
      <c r="C57" s="309" t="n"/>
      <c r="D57" s="310" t="n"/>
      <c r="E57" s="196" t="n"/>
      <c r="F57" s="197" t="n"/>
      <c r="G57" s="190" t="n"/>
      <c r="H57" s="194">
        <f>SUM(H58:H61)</f>
        <v/>
      </c>
      <c r="I57" s="195" t="n"/>
    </row>
    <row r="58" ht="27.75" customHeight="1">
      <c r="A58" s="166" t="inlineStr">
        <is>
          <t>43</t>
        </is>
      </c>
      <c r="B58" s="166" t="n"/>
      <c r="C58" s="153" t="inlineStr">
        <is>
          <t>Прайс из СД ОП</t>
        </is>
      </c>
      <c r="D58" s="252" t="inlineStr">
        <is>
          <t>Трансформатор тока 110 кВ, 2000 А, 40 кА</t>
        </is>
      </c>
      <c r="E58" s="262" t="inlineStr">
        <is>
          <t>шт.</t>
        </is>
      </c>
      <c r="F58" s="153" t="inlineStr">
        <is>
          <t>21</t>
        </is>
      </c>
      <c r="G58" s="190" t="n">
        <v>117574.26</v>
      </c>
      <c r="H58" s="32" t="n">
        <v>2469059.46</v>
      </c>
      <c r="I58" s="195" t="n"/>
    </row>
    <row r="59" ht="27.75" customHeight="1">
      <c r="A59" s="166" t="inlineStr">
        <is>
          <t>44</t>
        </is>
      </c>
      <c r="B59" s="166" t="n"/>
      <c r="C59" s="153" t="inlineStr">
        <is>
          <t>Прайс из СД ОП</t>
        </is>
      </c>
      <c r="D59" s="193" t="inlineStr">
        <is>
          <t>Шкаф промежуточных зажимов ШЗВ-60 УХЛ1</t>
        </is>
      </c>
      <c r="E59" s="262" t="inlineStr">
        <is>
          <t>шт.</t>
        </is>
      </c>
      <c r="F59" s="153" t="inlineStr">
        <is>
          <t>7</t>
        </is>
      </c>
      <c r="G59" s="190" t="n">
        <v>6790.9</v>
      </c>
      <c r="H59" s="32" t="n">
        <v>47536.3</v>
      </c>
      <c r="I59" s="195" t="n"/>
    </row>
    <row r="60" ht="33.75" customHeight="1">
      <c r="A60" s="166" t="inlineStr">
        <is>
          <t>45</t>
        </is>
      </c>
      <c r="B60" s="166" t="n"/>
      <c r="C60" s="153" t="inlineStr">
        <is>
          <t>Прайс из СД ОП</t>
        </is>
      </c>
      <c r="D60" s="193" t="inlineStr">
        <is>
          <t>Коробка зажимов для цепей контроля давления элегаза с (WAGO) К3-11</t>
        </is>
      </c>
      <c r="E60" s="262" t="inlineStr">
        <is>
          <t>шт.</t>
        </is>
      </c>
      <c r="F60" s="153" t="inlineStr">
        <is>
          <t>7</t>
        </is>
      </c>
      <c r="G60" s="190" t="n">
        <v>1759.31</v>
      </c>
      <c r="H60" s="32" t="n">
        <v>12315.17</v>
      </c>
      <c r="I60" s="195" t="n"/>
    </row>
    <row r="61" ht="24.75" customHeight="1">
      <c r="A61" s="166" t="inlineStr">
        <is>
          <t>46</t>
        </is>
      </c>
      <c r="B61" s="166" t="n"/>
      <c r="C61" s="153" t="inlineStr">
        <is>
          <t>Прайс из СД ОП</t>
        </is>
      </c>
      <c r="D61" s="193" t="inlineStr">
        <is>
          <t>Коробка зажимов для цепей тока с (КИ-10) К3-11-АСКУЭ</t>
        </is>
      </c>
      <c r="E61" s="262" t="inlineStr">
        <is>
          <t>шт.</t>
        </is>
      </c>
      <c r="F61" s="153" t="inlineStr">
        <is>
          <t>7</t>
        </is>
      </c>
      <c r="G61" s="190" t="n">
        <v>921.63</v>
      </c>
      <c r="H61" s="32" t="n">
        <v>6451.41</v>
      </c>
      <c r="I61" s="195" t="n"/>
    </row>
    <row r="62" ht="15" customHeight="1">
      <c r="A62" s="237" t="inlineStr">
        <is>
          <t>Материалы</t>
        </is>
      </c>
      <c r="B62" s="309" t="n"/>
      <c r="C62" s="309" t="n"/>
      <c r="D62" s="310" t="n"/>
      <c r="E62" s="198" t="n"/>
      <c r="F62" s="198" t="n"/>
      <c r="G62" s="184" t="n"/>
      <c r="H62" s="194">
        <f>SUM(H63:H122)</f>
        <v/>
      </c>
    </row>
    <row r="63" ht="33.75" customHeight="1">
      <c r="A63" s="166" t="inlineStr">
        <is>
          <t>48</t>
        </is>
      </c>
      <c r="B63" s="166" t="n"/>
      <c r="C63" s="166" t="inlineStr">
        <is>
          <t>07.2.07.04-0003</t>
        </is>
      </c>
      <c r="D63" s="252" t="inlineStr">
        <is>
          <t>Конструкции стальные индивидуальные решетчатые сварные, масса 0,1-0,5 т</t>
        </is>
      </c>
      <c r="E63" s="249" t="inlineStr">
        <is>
          <t>т</t>
        </is>
      </c>
      <c r="F63" s="144" t="n">
        <v>3.0185</v>
      </c>
      <c r="G63" s="254" t="n">
        <v>10874.02</v>
      </c>
      <c r="H63" s="32">
        <f>ROUND(F63*G63,2)</f>
        <v/>
      </c>
      <c r="I63" s="195">
        <f>H63/$H$62</f>
        <v/>
      </c>
    </row>
    <row r="64">
      <c r="A64" s="166" t="inlineStr">
        <is>
          <t>49</t>
        </is>
      </c>
      <c r="B64" s="166" t="n"/>
      <c r="C64" s="153" t="inlineStr">
        <is>
          <t>05.1.05.16-0221</t>
        </is>
      </c>
      <c r="D64" s="193" t="inlineStr">
        <is>
          <t>Фундаменты сборные железобетонные ВЛ и ОРУ</t>
        </is>
      </c>
      <c r="E64" s="262" t="inlineStr">
        <is>
          <t>м3</t>
        </is>
      </c>
      <c r="F64" s="153" t="n">
        <v>14.18</v>
      </c>
      <c r="G64" s="190" t="n">
        <v>1597.37</v>
      </c>
      <c r="H64" s="32">
        <f>ROUND(F64*G64,2)</f>
        <v/>
      </c>
      <c r="I64" s="195">
        <f>H64/$H$62</f>
        <v/>
      </c>
    </row>
    <row r="65" ht="25.5" customHeight="1">
      <c r="A65" s="166" t="inlineStr">
        <is>
          <t>50</t>
        </is>
      </c>
      <c r="B65" s="166" t="n"/>
      <c r="C65" s="153" t="inlineStr">
        <is>
          <t>21.1.06.10-0411</t>
        </is>
      </c>
      <c r="D65" s="193" t="inlineStr">
        <is>
          <t>Кабель силовой с медными жилами ВВГнг(A)-LS 5х16мк(N, РЕ)-1000</t>
        </is>
      </c>
      <c r="E65" s="262" t="inlineStr">
        <is>
          <t>1000 м</t>
        </is>
      </c>
      <c r="F65" s="153">
        <f>0.009*3*7</f>
        <v/>
      </c>
      <c r="G65" s="190" t="n">
        <v>98440.41</v>
      </c>
      <c r="H65" s="32">
        <f>ROUND(F65*G65,2)</f>
        <v/>
      </c>
      <c r="I65" s="195">
        <f>H65/$H$62</f>
        <v/>
      </c>
    </row>
    <row r="66">
      <c r="A66" s="166" t="inlineStr">
        <is>
          <t>51</t>
        </is>
      </c>
      <c r="B66" s="166" t="n"/>
      <c r="C66" s="153" t="inlineStr">
        <is>
          <t>21.1.08.03-0574</t>
        </is>
      </c>
      <c r="D66" s="193" t="inlineStr">
        <is>
          <t>Кабель контрольный КВВГЭнг(А)-LS 4x2,5</t>
        </is>
      </c>
      <c r="E66" s="262" t="inlineStr">
        <is>
          <t>1000 м</t>
        </is>
      </c>
      <c r="F66" s="153">
        <f>0.016*3*7</f>
        <v/>
      </c>
      <c r="G66" s="190" t="n">
        <v>38348.22</v>
      </c>
      <c r="H66" s="32">
        <f>ROUND(F66*G66,2)</f>
        <v/>
      </c>
      <c r="I66" s="195">
        <f>H66/$H$62</f>
        <v/>
      </c>
    </row>
    <row r="67" ht="36" customHeight="1">
      <c r="A67" s="166" t="inlineStr">
        <is>
          <t>52</t>
        </is>
      </c>
      <c r="B67" s="166" t="n"/>
      <c r="C67" s="153" t="inlineStr">
        <is>
          <t>20.1.01.03-0005</t>
        </is>
      </c>
      <c r="D67" s="193" t="inlineStr">
        <is>
          <t>Зажим винтовой ЗВИ-150 16-35 мм2 12 пар</t>
        </is>
      </c>
      <c r="E67" s="262" t="inlineStr">
        <is>
          <t>шт.</t>
        </is>
      </c>
      <c r="F67" s="153" t="n">
        <v>176</v>
      </c>
      <c r="G67" s="190" t="n">
        <v>64.69</v>
      </c>
      <c r="H67" s="32">
        <f>ROUND(F67*G67,2)</f>
        <v/>
      </c>
      <c r="I67" s="195">
        <f>H67/$H$62</f>
        <v/>
      </c>
    </row>
    <row r="68" ht="25.5" customHeight="1">
      <c r="A68" s="166" t="inlineStr">
        <is>
          <t>53</t>
        </is>
      </c>
      <c r="B68" s="166" t="n"/>
      <c r="C68" s="153" t="inlineStr">
        <is>
          <t>01.2.03.03-0122</t>
        </is>
      </c>
      <c r="D68" s="193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8" s="262" t="inlineStr">
        <is>
          <t>кг</t>
        </is>
      </c>
      <c r="F68" s="153" t="n">
        <v>575.28</v>
      </c>
      <c r="G68" s="190" t="n">
        <v>13.91</v>
      </c>
      <c r="H68" s="32">
        <f>ROUND(F68*G68,2)</f>
        <v/>
      </c>
      <c r="I68" s="195">
        <f>H68/$H$62</f>
        <v/>
      </c>
    </row>
    <row r="69" ht="36" customHeight="1">
      <c r="A69" s="166" t="inlineStr">
        <is>
          <t>54</t>
        </is>
      </c>
      <c r="B69" s="166" t="n"/>
      <c r="C69" s="153" t="inlineStr">
        <is>
          <t>05.1.01.10-0131</t>
        </is>
      </c>
      <c r="D69" s="193" t="inlineStr">
        <is>
          <t>Лотки каналов и тоннелей железобетонные для прокладки коммуникаций</t>
        </is>
      </c>
      <c r="E69" s="262" t="inlineStr">
        <is>
          <t>м3</t>
        </is>
      </c>
      <c r="F69" s="153">
        <f>0.28*7</f>
        <v/>
      </c>
      <c r="G69" s="190" t="n">
        <v>1837.28</v>
      </c>
      <c r="H69" s="32">
        <f>ROUND(F69*G69,2)</f>
        <v/>
      </c>
      <c r="I69" s="195" t="n"/>
    </row>
    <row r="70" ht="25.5" customHeight="1">
      <c r="A70" s="166" t="inlineStr">
        <is>
          <t>55</t>
        </is>
      </c>
      <c r="B70" s="166" t="n"/>
      <c r="C70" s="153" t="inlineStr">
        <is>
          <t>21.2.01.02-0093</t>
        </is>
      </c>
      <c r="D70" s="19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240/32 мм2</t>
        </is>
      </c>
      <c r="E70" s="262" t="inlineStr">
        <is>
          <t>т</t>
        </is>
      </c>
      <c r="F70" s="153" t="n">
        <v>0.095162</v>
      </c>
      <c r="G70" s="190" t="n">
        <v>32752.18</v>
      </c>
      <c r="H70" s="32">
        <f>ROUND(F70*G70,2)</f>
        <v/>
      </c>
      <c r="I70" s="195" t="n"/>
    </row>
    <row r="71">
      <c r="A71" s="166" t="inlineStr">
        <is>
          <t>56</t>
        </is>
      </c>
      <c r="B71" s="166" t="n"/>
      <c r="C71" s="153" t="inlineStr">
        <is>
          <t>20.1.01.02-0064</t>
        </is>
      </c>
      <c r="D71" s="193" t="inlineStr">
        <is>
          <t>Зажим аппаратный прессуемый: А4А-240-2</t>
        </is>
      </c>
      <c r="E71" s="262" t="inlineStr">
        <is>
          <t>100 шт.</t>
        </is>
      </c>
      <c r="F71" s="153" t="n">
        <v>0.66</v>
      </c>
      <c r="G71" s="190" t="n">
        <v>3314</v>
      </c>
      <c r="H71" s="32">
        <f>ROUND(F71*G71,2)</f>
        <v/>
      </c>
      <c r="I71" s="195" t="n"/>
    </row>
    <row r="72">
      <c r="A72" s="166" t="inlineStr">
        <is>
          <t>57</t>
        </is>
      </c>
      <c r="B72" s="166" t="n"/>
      <c r="C72" s="153" t="inlineStr">
        <is>
          <t>20.1.01.11-0006</t>
        </is>
      </c>
      <c r="D72" s="193" t="inlineStr">
        <is>
          <t>Зажим: плашечный соединительный ПА 3-2</t>
        </is>
      </c>
      <c r="E72" s="262" t="inlineStr">
        <is>
          <t>шт</t>
        </is>
      </c>
      <c r="F72" s="153" t="n">
        <v>176</v>
      </c>
      <c r="G72" s="190" t="n">
        <v>12.24</v>
      </c>
      <c r="H72" s="32">
        <f>ROUND(F72*G72,2)</f>
        <v/>
      </c>
      <c r="I72" s="195" t="n"/>
    </row>
    <row r="73">
      <c r="A73" s="166" t="inlineStr">
        <is>
          <t>58</t>
        </is>
      </c>
      <c r="B73" s="166" t="n"/>
      <c r="C73" s="153" t="inlineStr">
        <is>
          <t>01.7.15.03-0042</t>
        </is>
      </c>
      <c r="D73" s="193" t="inlineStr">
        <is>
          <t>Болты с гайками и шайбами строительные</t>
        </is>
      </c>
      <c r="E73" s="262" t="inlineStr">
        <is>
          <t>кг</t>
        </is>
      </c>
      <c r="F73" s="153" t="n">
        <v>206.369</v>
      </c>
      <c r="G73" s="190" t="n">
        <v>9.039999999999999</v>
      </c>
      <c r="H73" s="32">
        <f>ROUND(F73*G73,2)</f>
        <v/>
      </c>
      <c r="I73" s="195" t="n"/>
    </row>
    <row r="74" ht="25.5" customHeight="1">
      <c r="A74" s="166" t="inlineStr">
        <is>
          <t>59</t>
        </is>
      </c>
      <c r="B74" s="166" t="n"/>
      <c r="C74" s="153" t="inlineStr">
        <is>
          <t>02.2.04.03-0012</t>
        </is>
      </c>
      <c r="D74" s="193" t="inlineStr">
        <is>
          <t>Смесь песчано-гравийная природная обогащенная с содержанием гравия: 25-35 %</t>
        </is>
      </c>
      <c r="E74" s="262" t="inlineStr">
        <is>
          <t>м3</t>
        </is>
      </c>
      <c r="F74" s="153" t="n">
        <v>20.7</v>
      </c>
      <c r="G74" s="190" t="n">
        <v>69.55</v>
      </c>
      <c r="H74" s="32">
        <f>ROUND(F74*G74,2)</f>
        <v/>
      </c>
      <c r="I74" s="195" t="n"/>
    </row>
    <row r="75" ht="25.5" customHeight="1">
      <c r="A75" s="166" t="inlineStr">
        <is>
          <t>60</t>
        </is>
      </c>
      <c r="B75" s="166" t="n"/>
      <c r="C75" s="153" t="inlineStr">
        <is>
          <t>02.2.05.04-0056</t>
        </is>
      </c>
      <c r="D75" s="193" t="inlineStr">
        <is>
          <t>Щебень из гравия для строительных работ марка 1000, фракция 40-70 мм</t>
        </is>
      </c>
      <c r="E75" s="262" t="inlineStr">
        <is>
          <t>м3</t>
        </is>
      </c>
      <c r="F75" s="153" t="n">
        <v>10.74</v>
      </c>
      <c r="G75" s="190" t="n">
        <v>134.02</v>
      </c>
      <c r="H75" s="32">
        <f>ROUND(F75*G75,2)</f>
        <v/>
      </c>
      <c r="I75" s="195" t="n"/>
    </row>
    <row r="76" ht="36" customHeight="1">
      <c r="A76" s="166" t="inlineStr">
        <is>
          <t>61</t>
        </is>
      </c>
      <c r="B76" s="166" t="n"/>
      <c r="C76" s="153" t="inlineStr">
        <is>
          <t>01.7.17.11-0001</t>
        </is>
      </c>
      <c r="D76" s="193" t="inlineStr">
        <is>
          <t>Бумага шлифовальная</t>
        </is>
      </c>
      <c r="E76" s="262" t="inlineStr">
        <is>
          <t>кг</t>
        </is>
      </c>
      <c r="F76" s="153" t="n">
        <v>28</v>
      </c>
      <c r="G76" s="190" t="n">
        <v>50</v>
      </c>
      <c r="H76" s="32">
        <f>ROUND(F76*G76,2)</f>
        <v/>
      </c>
      <c r="I76" s="195" t="n"/>
    </row>
    <row r="77" ht="25.5" customHeight="1">
      <c r="A77" s="166" t="inlineStr">
        <is>
          <t>62</t>
        </is>
      </c>
      <c r="B77" s="166" t="n"/>
      <c r="C77" s="153" t="inlineStr">
        <is>
          <t>04.1.02.05-0041</t>
        </is>
      </c>
      <c r="D77" s="193" t="inlineStr">
        <is>
          <t>Бетон тяжелый, крупность заполнителя: 20 мм, класс В10 (М150)</t>
        </is>
      </c>
      <c r="E77" s="262" t="inlineStr">
        <is>
          <t>м3</t>
        </is>
      </c>
      <c r="F77" s="153" t="n">
        <v>2.448</v>
      </c>
      <c r="G77" s="190" t="n">
        <v>542.24</v>
      </c>
      <c r="H77" s="32">
        <f>ROUND(F77*G77,2)</f>
        <v/>
      </c>
      <c r="I77" s="195" t="n"/>
    </row>
    <row r="78">
      <c r="A78" s="166" t="inlineStr">
        <is>
          <t>63</t>
        </is>
      </c>
      <c r="B78" s="166" t="n"/>
      <c r="C78" s="153" t="inlineStr">
        <is>
          <t>20.2.08.05-0017</t>
        </is>
      </c>
      <c r="D78" s="193" t="inlineStr">
        <is>
          <t>Профиль монтажный</t>
        </is>
      </c>
      <c r="E78" s="262" t="inlineStr">
        <is>
          <t>шт</t>
        </is>
      </c>
      <c r="F78" s="153" t="n">
        <v>18</v>
      </c>
      <c r="G78" s="190" t="n">
        <v>66.81999999999999</v>
      </c>
      <c r="H78" s="32">
        <f>ROUND(F78*G78,2)</f>
        <v/>
      </c>
      <c r="I78" s="195" t="n"/>
    </row>
    <row r="79" ht="25.5" customHeight="1">
      <c r="A79" s="166" t="inlineStr">
        <is>
          <t>64</t>
        </is>
      </c>
      <c r="B79" s="166" t="n"/>
      <c r="C79" s="153" t="inlineStr">
        <is>
          <t>999-9950</t>
        </is>
      </c>
      <c r="D79" s="193" t="inlineStr">
        <is>
          <t>Вспомогательные ненормируемые ресурсы (2% от Оплаты труда рабочих)</t>
        </is>
      </c>
      <c r="E79" s="262" t="inlineStr">
        <is>
          <t>руб</t>
        </is>
      </c>
      <c r="F79" s="153" t="n">
        <v>985.3856</v>
      </c>
      <c r="G79" s="190" t="n">
        <v>1</v>
      </c>
      <c r="H79" s="32">
        <f>ROUND(F79*G79,2)</f>
        <v/>
      </c>
      <c r="I79" s="195" t="n"/>
    </row>
    <row r="80">
      <c r="A80" s="166" t="inlineStr">
        <is>
          <t>65</t>
        </is>
      </c>
      <c r="B80" s="166" t="n"/>
      <c r="C80" s="153" t="inlineStr">
        <is>
          <t>02.2.05.04-1777</t>
        </is>
      </c>
      <c r="D80" s="193" t="inlineStr">
        <is>
          <t>Щебень М 800, фракция 20-40 мм, группа 2</t>
        </is>
      </c>
      <c r="E80" s="262" t="inlineStr">
        <is>
          <t>м3</t>
        </is>
      </c>
      <c r="F80" s="153">
        <f>1*1*7</f>
        <v/>
      </c>
      <c r="G80" s="190" t="n">
        <v>108.4</v>
      </c>
      <c r="H80" s="32">
        <f>ROUND(F80*G80,2)</f>
        <v/>
      </c>
      <c r="I80" s="195" t="n"/>
    </row>
    <row r="81">
      <c r="A81" s="166" t="inlineStr">
        <is>
          <t>66</t>
        </is>
      </c>
      <c r="B81" s="166" t="n"/>
      <c r="C81" s="153" t="inlineStr">
        <is>
          <t>01.7.15.07-0014</t>
        </is>
      </c>
      <c r="D81" s="193" t="inlineStr">
        <is>
          <t>Дюбели распорные полипропиленовые</t>
        </is>
      </c>
      <c r="E81" s="262" t="inlineStr">
        <is>
          <t>100 шт</t>
        </is>
      </c>
      <c r="F81" s="153" t="n">
        <v>7.79</v>
      </c>
      <c r="G81" s="190" t="n">
        <v>86</v>
      </c>
      <c r="H81" s="32">
        <f>ROUND(F81*G81,2)</f>
        <v/>
      </c>
      <c r="I81" s="195" t="n"/>
    </row>
    <row r="82" ht="25.5" customHeight="1">
      <c r="A82" s="166" t="inlineStr">
        <is>
          <t>67</t>
        </is>
      </c>
      <c r="B82" s="166" t="n"/>
      <c r="C82" s="153" t="inlineStr">
        <is>
          <t>08.3.07.01-0076</t>
        </is>
      </c>
      <c r="D82" s="193" t="inlineStr">
        <is>
          <t>Сталь полосовая, марка стали: Ст3сп шириной 50-200 мм толщиной 4-5 мм</t>
        </is>
      </c>
      <c r="E82" s="262" t="inlineStr">
        <is>
          <t>т</t>
        </is>
      </c>
      <c r="F82" s="153" t="n">
        <v>0.1263</v>
      </c>
      <c r="G82" s="190" t="n">
        <v>5000</v>
      </c>
      <c r="H82" s="32">
        <f>ROUND(F82*G82,2)</f>
        <v/>
      </c>
      <c r="I82" s="195" t="n"/>
    </row>
    <row r="83">
      <c r="A83" s="166" t="inlineStr">
        <is>
          <t>68</t>
        </is>
      </c>
      <c r="B83" s="166" t="n"/>
      <c r="C83" s="153" t="inlineStr">
        <is>
          <t>62.1.04.09-0004</t>
        </is>
      </c>
      <c r="D83" s="193" t="inlineStr">
        <is>
          <t>Реле дифференциальные: Р-33 УХЛ4</t>
        </is>
      </c>
      <c r="E83" s="262" t="inlineStr">
        <is>
          <t>шт</t>
        </is>
      </c>
      <c r="F83" s="153" t="n">
        <v>4</v>
      </c>
      <c r="G83" s="190" t="n">
        <v>147.18</v>
      </c>
      <c r="H83" s="32">
        <f>ROUND(F83*G83,2)</f>
        <v/>
      </c>
      <c r="I83" s="195" t="n"/>
    </row>
    <row r="84">
      <c r="A84" s="166" t="inlineStr">
        <is>
          <t>69</t>
        </is>
      </c>
      <c r="B84" s="166" t="n"/>
      <c r="C84" s="153" t="inlineStr">
        <is>
          <t>01.7.15.07-0031</t>
        </is>
      </c>
      <c r="D84" s="193" t="inlineStr">
        <is>
          <t>Дюбели распорные с гайкой</t>
        </is>
      </c>
      <c r="E84" s="262" t="inlineStr">
        <is>
          <t>100 шт</t>
        </is>
      </c>
      <c r="F84" s="153" t="n">
        <v>4.506</v>
      </c>
      <c r="G84" s="190" t="n">
        <v>110</v>
      </c>
      <c r="H84" s="32">
        <f>ROUND(F84*G84,2)</f>
        <v/>
      </c>
      <c r="I84" s="195" t="n"/>
    </row>
    <row r="85" ht="25.5" customHeight="1">
      <c r="A85" s="166" t="inlineStr">
        <is>
          <t>70</t>
        </is>
      </c>
      <c r="B85" s="166" t="n"/>
      <c r="C85" s="153" t="inlineStr">
        <is>
          <t>03.2.01.01-0003</t>
        </is>
      </c>
      <c r="D85" s="193" t="inlineStr">
        <is>
          <t>Портландцемент общестроительного назначения бездобавочный, марки: 500</t>
        </is>
      </c>
      <c r="E85" s="262" t="inlineStr">
        <is>
          <t>т</t>
        </is>
      </c>
      <c r="F85" s="153" t="n">
        <v>1.0138</v>
      </c>
      <c r="G85" s="190" t="n">
        <v>480</v>
      </c>
      <c r="H85" s="32">
        <f>ROUND(F85*G85,2)</f>
        <v/>
      </c>
      <c r="I85" s="195" t="n"/>
    </row>
    <row r="86">
      <c r="A86" s="166" t="inlineStr">
        <is>
          <t>71</t>
        </is>
      </c>
      <c r="B86" s="166" t="n"/>
      <c r="C86" s="153" t="inlineStr">
        <is>
          <t>01.7.15.05-0027</t>
        </is>
      </c>
      <c r="D86" s="193" t="inlineStr">
        <is>
          <t>Гайки шестигранные оцинкованные диаметр резьбы: 24 мм</t>
        </is>
      </c>
      <c r="E86" s="262" t="inlineStr">
        <is>
          <t>т</t>
        </is>
      </c>
      <c r="F86" s="153" t="n">
        <v>0.023616</v>
      </c>
      <c r="G86" s="190" t="n">
        <v>19978.06</v>
      </c>
      <c r="H86" s="32">
        <f>ROUND(F86*G86,2)</f>
        <v/>
      </c>
      <c r="I86" s="195" t="n"/>
    </row>
    <row r="87">
      <c r="A87" s="166" t="inlineStr">
        <is>
          <t>72</t>
        </is>
      </c>
      <c r="B87" s="166" t="n"/>
      <c r="C87" s="153" t="inlineStr">
        <is>
          <t>14.4.02.09-0001</t>
        </is>
      </c>
      <c r="D87" s="193" t="inlineStr">
        <is>
          <t>Краска</t>
        </is>
      </c>
      <c r="E87" s="262" t="inlineStr">
        <is>
          <t>кг</t>
        </is>
      </c>
      <c r="F87" s="153" t="n">
        <v>15.058</v>
      </c>
      <c r="G87" s="190" t="n">
        <v>28.6</v>
      </c>
      <c r="H87" s="32">
        <f>ROUND(F87*G87,2)</f>
        <v/>
      </c>
      <c r="I87" s="195" t="n"/>
    </row>
    <row r="88" ht="36" customHeight="1">
      <c r="A88" s="166" t="inlineStr">
        <is>
          <t>73</t>
        </is>
      </c>
      <c r="B88" s="166" t="n"/>
      <c r="C88" s="153" t="inlineStr">
        <is>
          <t>01.7.15.11-0052</t>
        </is>
      </c>
      <c r="D88" s="193" t="inlineStr">
        <is>
          <t>Шайбы оцинкованные, диаметр: 24 мм</t>
        </is>
      </c>
      <c r="E88" s="262" t="inlineStr">
        <is>
          <t>кг</t>
        </is>
      </c>
      <c r="F88" s="153" t="n">
        <v>13.344</v>
      </c>
      <c r="G88" s="190" t="n">
        <v>28.45</v>
      </c>
      <c r="H88" s="32">
        <f>ROUND(F88*G88,2)</f>
        <v/>
      </c>
      <c r="I88" s="195" t="n"/>
    </row>
    <row r="89" ht="25.5" customHeight="1">
      <c r="A89" s="166" t="inlineStr">
        <is>
          <t>74</t>
        </is>
      </c>
      <c r="B89" s="166" t="n"/>
      <c r="C89" s="153" t="inlineStr">
        <is>
          <t>01.7.11.07-0034</t>
        </is>
      </c>
      <c r="D89" s="193" t="inlineStr">
        <is>
          <t>Электроды диаметром: 4 мм Э42А</t>
        </is>
      </c>
      <c r="E89" s="262" t="inlineStr">
        <is>
          <t>кг</t>
        </is>
      </c>
      <c r="F89" s="153" t="n">
        <v>32.9134</v>
      </c>
      <c r="G89" s="190" t="n">
        <v>10.57</v>
      </c>
      <c r="H89" s="32">
        <f>ROUND(F89*G89,2)</f>
        <v/>
      </c>
      <c r="I89" s="195" t="n"/>
    </row>
    <row r="90">
      <c r="A90" s="166" t="inlineStr">
        <is>
          <t>75</t>
        </is>
      </c>
      <c r="B90" s="166" t="n"/>
      <c r="C90" s="153" t="inlineStr">
        <is>
          <t>08.3.08.02-0091</t>
        </is>
      </c>
      <c r="D90" s="193" t="inlineStr">
        <is>
          <t>Сталь угловая, марки Ст3, перфорированная УП 35х35 мм</t>
        </is>
      </c>
      <c r="E90" s="262" t="inlineStr">
        <is>
          <t>м</t>
        </is>
      </c>
      <c r="F90" s="153" t="n">
        <v>17.1</v>
      </c>
      <c r="G90" s="190" t="n">
        <v>15.13</v>
      </c>
      <c r="H90" s="32">
        <f>ROUND(F90*G90,2)</f>
        <v/>
      </c>
      <c r="I90" s="195" t="n"/>
    </row>
    <row r="91">
      <c r="A91" s="166" t="inlineStr">
        <is>
          <t>76</t>
        </is>
      </c>
      <c r="B91" s="166" t="n"/>
      <c r="C91" s="153" t="inlineStr">
        <is>
          <t>01.3.02.08-0001</t>
        </is>
      </c>
      <c r="D91" s="193" t="inlineStr">
        <is>
          <t>Кислород технический: газообразный</t>
        </is>
      </c>
      <c r="E91" s="262" t="inlineStr">
        <is>
          <t>м3</t>
        </is>
      </c>
      <c r="F91" s="153" t="n">
        <v>33.3971</v>
      </c>
      <c r="G91" s="190" t="n">
        <v>6.22</v>
      </c>
      <c r="H91" s="32">
        <f>ROUND(F91*G91,2)</f>
        <v/>
      </c>
      <c r="I91" s="195" t="n"/>
    </row>
    <row r="92">
      <c r="A92" s="166" t="inlineStr">
        <is>
          <t>77</t>
        </is>
      </c>
      <c r="B92" s="166" t="n"/>
      <c r="C92" s="153" t="inlineStr">
        <is>
          <t>01.3.02.03-0001</t>
        </is>
      </c>
      <c r="D92" s="193" t="inlineStr">
        <is>
          <t>Ацетилен газообразный технический</t>
        </is>
      </c>
      <c r="E92" s="262" t="inlineStr">
        <is>
          <t>м3</t>
        </is>
      </c>
      <c r="F92" s="153" t="n">
        <v>4.3412</v>
      </c>
      <c r="G92" s="190" t="n">
        <v>38.51</v>
      </c>
      <c r="H92" s="32">
        <f>ROUND(F92*G92,2)</f>
        <v/>
      </c>
      <c r="I92" s="195" t="n"/>
    </row>
    <row r="93">
      <c r="A93" s="166" t="inlineStr">
        <is>
          <t>78</t>
        </is>
      </c>
      <c r="B93" s="166" t="n"/>
      <c r="C93" s="153" t="inlineStr">
        <is>
          <t>25.2.01.01-0001</t>
        </is>
      </c>
      <c r="D93" s="193" t="inlineStr">
        <is>
          <t>Бирки-оконцеватели</t>
        </is>
      </c>
      <c r="E93" s="262" t="inlineStr">
        <is>
          <t>100 шт</t>
        </is>
      </c>
      <c r="F93" s="153" t="n">
        <v>2.52</v>
      </c>
      <c r="G93" s="190" t="n">
        <v>63</v>
      </c>
      <c r="H93" s="32">
        <f>ROUND(F93*G93,2)</f>
        <v/>
      </c>
      <c r="I93" s="195" t="n"/>
    </row>
    <row r="94">
      <c r="A94" s="166" t="inlineStr">
        <is>
          <t>79</t>
        </is>
      </c>
      <c r="B94" s="166" t="n"/>
      <c r="C94" s="153" t="inlineStr">
        <is>
          <t>14.4.02.09-0301</t>
        </is>
      </c>
      <c r="D94" s="193" t="inlineStr">
        <is>
          <t>Краска "Цинол"</t>
        </is>
      </c>
      <c r="E94" s="262" t="inlineStr">
        <is>
          <t>кг</t>
        </is>
      </c>
      <c r="F94" s="153" t="n">
        <v>0.644</v>
      </c>
      <c r="G94" s="190" t="n">
        <v>238.48</v>
      </c>
      <c r="H94" s="32">
        <f>ROUND(F94*G94,2)</f>
        <v/>
      </c>
      <c r="I94" s="195" t="n"/>
    </row>
    <row r="95">
      <c r="A95" s="166" t="inlineStr">
        <is>
          <t>80</t>
        </is>
      </c>
      <c r="B95" s="166" t="n"/>
      <c r="C95" s="153" t="inlineStr">
        <is>
          <t>04.3.01.09-0014</t>
        </is>
      </c>
      <c r="D95" s="193" t="inlineStr">
        <is>
          <t>Раствор готовый кладочный цементный марки: 100</t>
        </is>
      </c>
      <c r="E95" s="262" t="inlineStr">
        <is>
          <t>м3</t>
        </is>
      </c>
      <c r="F95" s="153" t="n">
        <v>0.25857</v>
      </c>
      <c r="G95" s="190" t="n">
        <v>519.8</v>
      </c>
      <c r="H95" s="32">
        <f>ROUND(F95*G95,2)</f>
        <v/>
      </c>
      <c r="I95" s="195" t="n"/>
    </row>
    <row r="96">
      <c r="A96" s="166" t="inlineStr">
        <is>
          <t>81</t>
        </is>
      </c>
      <c r="B96" s="166" t="n"/>
      <c r="C96" s="153" t="inlineStr">
        <is>
          <t>20.1.02.14-0001</t>
        </is>
      </c>
      <c r="D96" s="193" t="inlineStr">
        <is>
          <t>Серьга</t>
        </is>
      </c>
      <c r="E96" s="262" t="inlineStr">
        <is>
          <t>шт</t>
        </is>
      </c>
      <c r="F96" s="153" t="n">
        <v>10.8</v>
      </c>
      <c r="G96" s="190" t="n">
        <v>10.54</v>
      </c>
      <c r="H96" s="32">
        <f>ROUND(F96*G96,2)</f>
        <v/>
      </c>
      <c r="I96" s="195" t="n"/>
    </row>
    <row r="97">
      <c r="A97" s="166" t="inlineStr">
        <is>
          <t>82</t>
        </is>
      </c>
      <c r="B97" s="166" t="n"/>
      <c r="C97" s="153" t="inlineStr">
        <is>
          <t>01.3.01.06-0050</t>
        </is>
      </c>
      <c r="D97" s="193" t="inlineStr">
        <is>
          <t>Смазка универсальная тугоплавкая УТ (консталин жировой)</t>
        </is>
      </c>
      <c r="E97" s="262" t="inlineStr">
        <is>
          <t>т</t>
        </is>
      </c>
      <c r="F97" s="153" t="n">
        <v>0.0062</v>
      </c>
      <c r="G97" s="190" t="n">
        <v>17500</v>
      </c>
      <c r="H97" s="32">
        <f>ROUND(F97*G97,2)</f>
        <v/>
      </c>
      <c r="I97" s="195" t="n"/>
    </row>
    <row r="98">
      <c r="A98" s="166" t="inlineStr">
        <is>
          <t>83</t>
        </is>
      </c>
      <c r="B98" s="166" t="n"/>
      <c r="C98" s="153" t="inlineStr">
        <is>
          <t>08.3.05.02-0052</t>
        </is>
      </c>
      <c r="D98" s="193" t="inlineStr">
        <is>
          <t>Сталь листовая горячекатаная марки Ст3 толщиной: 2-6 мм</t>
        </is>
      </c>
      <c r="E98" s="262" t="inlineStr">
        <is>
          <t>т</t>
        </is>
      </c>
      <c r="F98" s="153" t="n">
        <v>0.018</v>
      </c>
      <c r="G98" s="190" t="n">
        <v>5941.89</v>
      </c>
      <c r="H98" s="32">
        <f>ROUND(F98*G98,2)</f>
        <v/>
      </c>
      <c r="I98" s="195" t="n"/>
    </row>
    <row r="99">
      <c r="A99" s="166" t="inlineStr">
        <is>
          <t>84</t>
        </is>
      </c>
      <c r="B99" s="166" t="n"/>
      <c r="C99" s="153" t="inlineStr">
        <is>
          <t>01.7.20.08-0031</t>
        </is>
      </c>
      <c r="D99" s="193" t="inlineStr">
        <is>
          <t>Бязь суровая арт. 6804</t>
        </is>
      </c>
      <c r="E99" s="262" t="inlineStr">
        <is>
          <t>10 м2</t>
        </is>
      </c>
      <c r="F99" s="153" t="n">
        <v>1.092</v>
      </c>
      <c r="G99" s="190" t="n">
        <v>79.09999999999999</v>
      </c>
      <c r="H99" s="32">
        <f>ROUND(F99*G99,2)</f>
        <v/>
      </c>
      <c r="I99" s="195" t="n"/>
    </row>
    <row r="100">
      <c r="A100" s="166" t="inlineStr">
        <is>
          <t>85</t>
        </is>
      </c>
      <c r="B100" s="166" t="n"/>
      <c r="C100" s="153" t="inlineStr">
        <is>
          <t>20.3.02.12-0002</t>
        </is>
      </c>
      <c r="D100" s="193" t="inlineStr">
        <is>
          <t>Лампа энергосберегающая: Camelion LH-11W</t>
        </is>
      </c>
      <c r="E100" s="262" t="inlineStr">
        <is>
          <t>шт</t>
        </is>
      </c>
      <c r="F100" s="153" t="n">
        <v>4</v>
      </c>
      <c r="G100" s="190" t="n">
        <v>18.46</v>
      </c>
      <c r="H100" s="32">
        <f>ROUND(F100*G100,2)</f>
        <v/>
      </c>
      <c r="I100" s="195" t="n"/>
    </row>
    <row r="101">
      <c r="A101" s="166" t="inlineStr">
        <is>
          <t>86</t>
        </is>
      </c>
      <c r="B101" s="166" t="n"/>
      <c r="C101" s="153" t="inlineStr">
        <is>
          <t>02.3.01.02-0020</t>
        </is>
      </c>
      <c r="D101" s="193" t="inlineStr">
        <is>
          <t>Песок природный для строительных: растворов средний</t>
        </is>
      </c>
      <c r="E101" s="262" t="inlineStr">
        <is>
          <t>м3</t>
        </is>
      </c>
      <c r="F101" s="153" t="n">
        <v>0.8448</v>
      </c>
      <c r="G101" s="190" t="n">
        <v>59.99</v>
      </c>
      <c r="H101" s="32">
        <f>ROUND(F101*G101,2)</f>
        <v/>
      </c>
      <c r="I101" s="195" t="n"/>
    </row>
    <row r="102">
      <c r="A102" s="166" t="inlineStr">
        <is>
          <t>87</t>
        </is>
      </c>
      <c r="B102" s="166" t="n"/>
      <c r="C102" s="153" t="inlineStr">
        <is>
          <t>20.1.02.23-0082</t>
        </is>
      </c>
      <c r="D102" s="193" t="inlineStr">
        <is>
          <t>Перемычки гибкие, тип ПГС-50</t>
        </is>
      </c>
      <c r="E102" s="262" t="inlineStr">
        <is>
          <t>10 шт.</t>
        </is>
      </c>
      <c r="F102" s="153" t="n">
        <v>1.1</v>
      </c>
      <c r="G102" s="190" t="n">
        <v>39</v>
      </c>
      <c r="H102" s="32">
        <f>ROUND(F102*G102,2)</f>
        <v/>
      </c>
      <c r="I102" s="195" t="n"/>
    </row>
    <row r="103">
      <c r="A103" s="166" t="inlineStr">
        <is>
          <t>88</t>
        </is>
      </c>
      <c r="B103" s="166" t="n"/>
      <c r="C103" s="153" t="inlineStr">
        <is>
          <t>14.5.09.11-0101</t>
        </is>
      </c>
      <c r="D103" s="193" t="inlineStr">
        <is>
          <t>Уайт-спирит</t>
        </is>
      </c>
      <c r="E103" s="262" t="inlineStr">
        <is>
          <t>т</t>
        </is>
      </c>
      <c r="F103" s="153" t="n">
        <v>0.0061</v>
      </c>
      <c r="G103" s="190" t="n">
        <v>6667</v>
      </c>
      <c r="H103" s="32">
        <f>ROUND(F103*G103,2)</f>
        <v/>
      </c>
      <c r="I103" s="195" t="n"/>
    </row>
    <row r="104">
      <c r="A104" s="166" t="inlineStr">
        <is>
          <t>89</t>
        </is>
      </c>
      <c r="B104" s="166" t="n"/>
      <c r="C104" s="153" t="inlineStr">
        <is>
          <t>01.7.11.07-0032</t>
        </is>
      </c>
      <c r="D104" s="193" t="inlineStr">
        <is>
          <t>Электроды диаметром: 4 мм Э42</t>
        </is>
      </c>
      <c r="E104" s="262" t="inlineStr">
        <is>
          <t>т</t>
        </is>
      </c>
      <c r="F104" s="153" t="n">
        <v>0.0035</v>
      </c>
      <c r="G104" s="190" t="n">
        <v>10315.01</v>
      </c>
      <c r="H104" s="32">
        <f>ROUND(F104*G104,2)</f>
        <v/>
      </c>
      <c r="I104" s="195" t="n"/>
    </row>
    <row r="105" ht="25.5" customHeight="1">
      <c r="A105" s="166" t="inlineStr">
        <is>
          <t>90</t>
        </is>
      </c>
      <c r="B105" s="166" t="n"/>
      <c r="C105" s="153" t="inlineStr">
        <is>
          <t>01.7.06.05-0041</t>
        </is>
      </c>
      <c r="D105" s="193" t="inlineStr">
        <is>
          <t>Лента изоляционная прорезиненная односторонняя ширина 20 мм, толщина 0,25-0,35 мм</t>
        </is>
      </c>
      <c r="E105" s="262" t="inlineStr">
        <is>
          <t>кг</t>
        </is>
      </c>
      <c r="F105" s="153" t="n">
        <v>0.944</v>
      </c>
      <c r="G105" s="190" t="n">
        <v>30.4</v>
      </c>
      <c r="H105" s="32">
        <f>ROUND(F105*G105,2)</f>
        <v/>
      </c>
      <c r="I105" s="195" t="n"/>
    </row>
    <row r="106">
      <c r="A106" s="166" t="inlineStr">
        <is>
          <t>91</t>
        </is>
      </c>
      <c r="B106" s="166" t="n"/>
      <c r="C106" s="153" t="inlineStr">
        <is>
          <t>01.7.07.12-0024</t>
        </is>
      </c>
      <c r="D106" s="193" t="inlineStr">
        <is>
          <t>Пленка полиэтиленовая толщиной: 0,15 мм</t>
        </is>
      </c>
      <c r="E106" s="262" t="inlineStr">
        <is>
          <t>м2</t>
        </is>
      </c>
      <c r="F106" s="153" t="n">
        <v>6</v>
      </c>
      <c r="G106" s="190" t="n">
        <v>3.62</v>
      </c>
      <c r="H106" s="32">
        <f>ROUND(F106*G106,2)</f>
        <v/>
      </c>
      <c r="I106" s="195" t="n"/>
    </row>
    <row r="107">
      <c r="A107" s="166" t="inlineStr">
        <is>
          <t>92</t>
        </is>
      </c>
      <c r="B107" s="166" t="n"/>
      <c r="C107" s="153" t="inlineStr">
        <is>
          <t>01.3.01.02-0002</t>
        </is>
      </c>
      <c r="D107" s="193" t="inlineStr">
        <is>
          <t>Вазелин технический</t>
        </is>
      </c>
      <c r="E107" s="262" t="inlineStr">
        <is>
          <t>кг</t>
        </is>
      </c>
      <c r="F107" s="153" t="n">
        <v>0.472</v>
      </c>
      <c r="G107" s="190" t="n">
        <v>44.97</v>
      </c>
      <c r="H107" s="32">
        <f>ROUND(F107*G107,2)</f>
        <v/>
      </c>
      <c r="I107" s="195" t="n"/>
    </row>
    <row r="108">
      <c r="A108" s="166" t="inlineStr">
        <is>
          <t>93</t>
        </is>
      </c>
      <c r="B108" s="166" t="n"/>
      <c r="C108" s="153" t="inlineStr">
        <is>
          <t>14.4.03.17-0011</t>
        </is>
      </c>
      <c r="D108" s="193" t="inlineStr">
        <is>
          <t>Лак электроизоляционный 318</t>
        </is>
      </c>
      <c r="E108" s="262" t="inlineStr">
        <is>
          <t>кг</t>
        </is>
      </c>
      <c r="F108" s="153" t="n">
        <v>0.472</v>
      </c>
      <c r="G108" s="190" t="n">
        <v>35.63</v>
      </c>
      <c r="H108" s="32">
        <f>ROUND(F108*G108,2)</f>
        <v/>
      </c>
      <c r="I108" s="195" t="n"/>
    </row>
    <row r="109">
      <c r="A109" s="166" t="inlineStr">
        <is>
          <t>94</t>
        </is>
      </c>
      <c r="B109" s="166" t="n"/>
      <c r="C109" s="153" t="inlineStr">
        <is>
          <t>01.7.15.14-0043</t>
        </is>
      </c>
      <c r="D109" s="193" t="inlineStr">
        <is>
          <t>Шуруп самонарезающий: (LN) 3,5/11 мм</t>
        </is>
      </c>
      <c r="E109" s="262" t="inlineStr">
        <is>
          <t>100 шт</t>
        </is>
      </c>
      <c r="F109" s="153" t="n">
        <v>7.528</v>
      </c>
      <c r="G109" s="190" t="n">
        <v>2</v>
      </c>
      <c r="H109" s="32">
        <f>ROUND(F109*G109,2)</f>
        <v/>
      </c>
      <c r="I109" s="195" t="n"/>
    </row>
    <row r="110">
      <c r="A110" s="166" t="inlineStr">
        <is>
          <t>95</t>
        </is>
      </c>
      <c r="B110" s="166" t="n"/>
      <c r="C110" s="153" t="inlineStr">
        <is>
          <t>14.4.04.09-0017</t>
        </is>
      </c>
      <c r="D110" s="193" t="inlineStr">
        <is>
          <t>Эмаль ХВ-124 защитная, зеленая</t>
        </is>
      </c>
      <c r="E110" s="262" t="inlineStr">
        <is>
          <t>т</t>
        </is>
      </c>
      <c r="F110" s="153" t="n">
        <v>0.0005</v>
      </c>
      <c r="G110" s="190" t="n">
        <v>28300.4</v>
      </c>
      <c r="H110" s="32">
        <f>ROUND(F110*G110,2)</f>
        <v/>
      </c>
      <c r="I110" s="195" t="n"/>
    </row>
    <row r="111">
      <c r="A111" s="166" t="inlineStr">
        <is>
          <t>96</t>
        </is>
      </c>
      <c r="B111" s="166" t="n"/>
      <c r="C111" s="153" t="inlineStr">
        <is>
          <t>20.2.09.13-0011</t>
        </is>
      </c>
      <c r="D111" s="193" t="inlineStr">
        <is>
          <t>Муфта</t>
        </is>
      </c>
      <c r="E111" s="262" t="inlineStr">
        <is>
          <t>шт</t>
        </is>
      </c>
      <c r="F111" s="153" t="n">
        <v>2.16</v>
      </c>
      <c r="G111" s="190" t="n">
        <v>5</v>
      </c>
      <c r="H111" s="32">
        <f>ROUND(F111*G111,2)</f>
        <v/>
      </c>
      <c r="I111" s="195" t="n"/>
    </row>
    <row r="112">
      <c r="A112" s="166" t="inlineStr">
        <is>
          <t>97</t>
        </is>
      </c>
      <c r="B112" s="166" t="n"/>
      <c r="C112" s="153" t="inlineStr">
        <is>
          <t>01.7.15.07-0007</t>
        </is>
      </c>
      <c r="D112" s="193" t="inlineStr">
        <is>
          <t>Дюбели пластмассовые диаметр 14 мм</t>
        </is>
      </c>
      <c r="E112" s="262" t="inlineStr">
        <is>
          <t>100 шт</t>
        </is>
      </c>
      <c r="F112" s="153" t="n">
        <v>0.36</v>
      </c>
      <c r="G112" s="190" t="n">
        <v>26.6</v>
      </c>
      <c r="H112" s="32">
        <f>ROUND(F112*G112,2)</f>
        <v/>
      </c>
      <c r="I112" s="195" t="n"/>
    </row>
    <row r="113" ht="25.5" customHeight="1">
      <c r="A113" s="166" t="inlineStr">
        <is>
          <t>98</t>
        </is>
      </c>
      <c r="B113" s="166" t="n"/>
      <c r="C113" s="153" t="inlineStr">
        <is>
          <t>11.1.03.06-0087</t>
        </is>
      </c>
      <c r="D113" s="193" t="inlineStr">
        <is>
          <t>Доски обрезные хвойных пород длиной: 4-6,5 м, шириной 75-150 мм, толщиной 25 мм, III сорта</t>
        </is>
      </c>
      <c r="E113" s="262" t="inlineStr">
        <is>
          <t>м3</t>
        </is>
      </c>
      <c r="F113" s="153" t="n">
        <v>0.0081</v>
      </c>
      <c r="G113" s="190" t="n">
        <v>1100</v>
      </c>
      <c r="H113" s="32">
        <f>ROUND(F113*G113,2)</f>
        <v/>
      </c>
      <c r="I113" s="195" t="n"/>
    </row>
    <row r="114">
      <c r="A114" s="166" t="inlineStr">
        <is>
          <t>99</t>
        </is>
      </c>
      <c r="B114" s="166" t="n"/>
      <c r="C114" s="153" t="inlineStr">
        <is>
          <t>14.4.01.01-0003</t>
        </is>
      </c>
      <c r="D114" s="193" t="inlineStr">
        <is>
          <t>Грунтовка: ГФ-021 красно-коричневая</t>
        </is>
      </c>
      <c r="E114" s="262" t="inlineStr">
        <is>
          <t>т</t>
        </is>
      </c>
      <c r="F114" s="153" t="n">
        <v>0.0005</v>
      </c>
      <c r="G114" s="190" t="n">
        <v>15620</v>
      </c>
      <c r="H114" s="32">
        <f>ROUND(F114*G114,2)</f>
        <v/>
      </c>
      <c r="I114" s="195" t="n"/>
    </row>
    <row r="115">
      <c r="A115" s="166" t="inlineStr">
        <is>
          <t>100</t>
        </is>
      </c>
      <c r="B115" s="166" t="n"/>
      <c r="C115" s="153" t="inlineStr">
        <is>
          <t>08.3.07.01-0043</t>
        </is>
      </c>
      <c r="D115" s="193" t="inlineStr">
        <is>
          <t>Сталь полосовая: 40х5 мм, марка Ст3сп</t>
        </is>
      </c>
      <c r="E115" s="262" t="inlineStr">
        <is>
          <t>т</t>
        </is>
      </c>
      <c r="F115" s="153" t="n">
        <v>0.001154</v>
      </c>
      <c r="G115" s="190" t="n">
        <v>6159.22</v>
      </c>
      <c r="H115" s="32">
        <f>ROUND(F115*G115,2)</f>
        <v/>
      </c>
      <c r="I115" s="195" t="n"/>
    </row>
    <row r="116">
      <c r="A116" s="166" t="inlineStr">
        <is>
          <t>101</t>
        </is>
      </c>
      <c r="B116" s="166" t="n"/>
      <c r="C116" s="153" t="inlineStr">
        <is>
          <t>01.7.20.04-0005</t>
        </is>
      </c>
      <c r="D116" s="193" t="inlineStr">
        <is>
          <t>Нитки швейные</t>
        </is>
      </c>
      <c r="E116" s="262" t="inlineStr">
        <is>
          <t>кг</t>
        </is>
      </c>
      <c r="F116" s="153" t="n">
        <v>0.046</v>
      </c>
      <c r="G116" s="190" t="n">
        <v>133.05</v>
      </c>
      <c r="H116" s="32">
        <f>ROUND(F116*G116,2)</f>
        <v/>
      </c>
      <c r="I116" s="195" t="n"/>
    </row>
    <row r="117">
      <c r="A117" s="166" t="inlineStr">
        <is>
          <t>102</t>
        </is>
      </c>
      <c r="B117" s="166" t="n"/>
      <c r="C117" s="153" t="inlineStr">
        <is>
          <t>01.7.15.03-0031</t>
        </is>
      </c>
      <c r="D117" s="193" t="inlineStr">
        <is>
          <t>Болты с гайками и шайбами оцинкованные, диаметр: 6 мм</t>
        </is>
      </c>
      <c r="E117" s="262" t="inlineStr">
        <is>
          <t>кг</t>
        </is>
      </c>
      <c r="F117" s="153" t="n">
        <v>0.18</v>
      </c>
      <c r="G117" s="190" t="n">
        <v>28.22</v>
      </c>
      <c r="H117" s="32">
        <f>ROUND(F117*G117,2)</f>
        <v/>
      </c>
      <c r="I117" s="195" t="n"/>
    </row>
    <row r="118">
      <c r="A118" s="166" t="inlineStr">
        <is>
          <t>103</t>
        </is>
      </c>
      <c r="B118" s="166" t="n"/>
      <c r="C118" s="153" t="inlineStr">
        <is>
          <t>14.5.09.07-0029</t>
        </is>
      </c>
      <c r="D118" s="193" t="inlineStr">
        <is>
          <t>Растворитель марки: Р-4</t>
        </is>
      </c>
      <c r="E118" s="262" t="inlineStr">
        <is>
          <t>т</t>
        </is>
      </c>
      <c r="F118" s="153" t="n">
        <v>0.0004</v>
      </c>
      <c r="G118" s="190" t="n">
        <v>9420</v>
      </c>
      <c r="H118" s="32">
        <f>ROUND(F118*G118,2)</f>
        <v/>
      </c>
      <c r="I118" s="195" t="n"/>
    </row>
    <row r="119" ht="25.5" customHeight="1">
      <c r="A119" s="166" t="inlineStr">
        <is>
          <t>104</t>
        </is>
      </c>
      <c r="B119" s="166" t="n"/>
      <c r="C119" s="153" t="inlineStr">
        <is>
          <t>11.1.03.06-0095</t>
        </is>
      </c>
      <c r="D119" s="193" t="inlineStr">
        <is>
          <t>Доски обрезные хвойных пород длиной: 4-6,5 м, шириной 75-150 мм, толщиной 44 мм и более, III сорта</t>
        </is>
      </c>
      <c r="E119" s="262" t="inlineStr">
        <is>
          <t>м3</t>
        </is>
      </c>
      <c r="F119" s="153" t="n">
        <v>0.0035</v>
      </c>
      <c r="G119" s="190" t="n">
        <v>1056</v>
      </c>
      <c r="H119" s="32">
        <f>ROUND(F119*G119,2)</f>
        <v/>
      </c>
      <c r="I119" s="195" t="n"/>
    </row>
    <row r="120">
      <c r="A120" s="166" t="inlineStr">
        <is>
          <t>105</t>
        </is>
      </c>
      <c r="B120" s="166" t="n"/>
      <c r="C120" s="153" t="inlineStr">
        <is>
          <t>01.7.15.06-0111</t>
        </is>
      </c>
      <c r="D120" s="193" t="inlineStr">
        <is>
          <t>Гвозди строительные</t>
        </is>
      </c>
      <c r="E120" s="262" t="inlineStr">
        <is>
          <t>т</t>
        </is>
      </c>
      <c r="F120" s="153" t="n">
        <v>0.0003</v>
      </c>
      <c r="G120" s="190" t="n">
        <v>11978</v>
      </c>
      <c r="H120" s="32">
        <f>ROUND(F120*G120,2)</f>
        <v/>
      </c>
      <c r="I120" s="195" t="n"/>
    </row>
    <row r="121">
      <c r="A121" s="166" t="inlineStr">
        <is>
          <t>106</t>
        </is>
      </c>
      <c r="B121" s="166" t="n"/>
      <c r="C121" s="153" t="inlineStr">
        <is>
          <t>01.7.02.09-0002</t>
        </is>
      </c>
      <c r="D121" s="193" t="inlineStr">
        <is>
          <t>Шпагат бумажный</t>
        </is>
      </c>
      <c r="E121" s="262" t="inlineStr">
        <is>
          <t>кг</t>
        </is>
      </c>
      <c r="F121" s="153" t="n">
        <v>0.095</v>
      </c>
      <c r="G121" s="190" t="n">
        <v>11.5</v>
      </c>
      <c r="H121" s="32">
        <f>ROUND(F121*G121,2)</f>
        <v/>
      </c>
      <c r="I121" s="195" t="n"/>
    </row>
    <row r="122">
      <c r="A122" s="166" t="inlineStr">
        <is>
          <t>107</t>
        </is>
      </c>
      <c r="B122" s="166" t="n"/>
      <c r="C122" s="153" t="inlineStr">
        <is>
          <t>01.7.03.01-0001</t>
        </is>
      </c>
      <c r="D122" s="193" t="inlineStr">
        <is>
          <t>Вода</t>
        </is>
      </c>
      <c r="E122" s="262" t="inlineStr">
        <is>
          <t>м3</t>
        </is>
      </c>
      <c r="F122" s="153" t="n">
        <v>0.0048</v>
      </c>
      <c r="G122" s="190" t="n">
        <v>2.44</v>
      </c>
      <c r="H122" s="32">
        <f>ROUND(F122*G122,2)</f>
        <v/>
      </c>
      <c r="I122" s="195" t="n"/>
    </row>
    <row r="123">
      <c r="C123" s="150" t="n"/>
      <c r="D123" s="148" t="n"/>
      <c r="E123" s="149" t="n"/>
      <c r="F123" s="149" t="n"/>
      <c r="G123" s="151" t="n"/>
      <c r="H123" s="157" t="n"/>
    </row>
    <row r="124" ht="25.5" customHeight="1">
      <c r="B124" s="154" t="inlineStr">
        <is>
          <t xml:space="preserve">Примечание: </t>
        </is>
      </c>
      <c r="C124" s="23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5">
      <c r="I125" s="155" t="n"/>
    </row>
    <row r="128" ht="14.25" customFormat="1" customHeight="1" s="12">
      <c r="A128" s="4" t="inlineStr">
        <is>
          <t>Составил ______________________    Е. М. Добровольская</t>
        </is>
      </c>
    </row>
    <row r="129" ht="14.25" customFormat="1" customHeight="1" s="12">
      <c r="A129" s="33" t="inlineStr">
        <is>
          <t xml:space="preserve">                         (подпись, инициалы, фамилия)</t>
        </is>
      </c>
    </row>
    <row r="130" ht="14.25" customFormat="1" customHeight="1" s="12">
      <c r="A130" s="4" t="n"/>
    </row>
    <row r="131" ht="14.25" customFormat="1" customHeight="1" s="12">
      <c r="A131" s="4" t="inlineStr">
        <is>
          <t>Проверил ______________________        А.В. Костянецкая</t>
        </is>
      </c>
    </row>
    <row r="132" ht="14.25" customFormat="1" customHeight="1" s="12">
      <c r="A132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A27:D27"/>
    <mergeCell ref="E9:E10"/>
    <mergeCell ref="F9:F10"/>
    <mergeCell ref="A9:A10"/>
    <mergeCell ref="A12:D12"/>
    <mergeCell ref="A2:H2"/>
    <mergeCell ref="A62:D62"/>
    <mergeCell ref="C124:H124"/>
    <mergeCell ref="A29:D29"/>
    <mergeCell ref="A6:H7"/>
    <mergeCell ref="A57:D57"/>
    <mergeCell ref="C4:H4"/>
    <mergeCell ref="A3:I3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C28" sqref="C28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8" t="inlineStr">
        <is>
          <t>Ресурсная модель</t>
        </is>
      </c>
    </row>
    <row r="6">
      <c r="B6" s="139" t="n"/>
      <c r="C6" s="4" t="n"/>
      <c r="D6" s="4" t="n"/>
      <c r="E6" s="4" t="n"/>
    </row>
    <row r="7" ht="25.5" customHeight="1">
      <c r="B7" s="244" t="inlineStr">
        <is>
          <t>Наименование разрабатываемой расценки УНЦ — ТТ на три фазы с устройством фундамента напряжение 110 кВ</t>
        </is>
      </c>
    </row>
    <row r="8">
      <c r="B8" s="245" t="inlineStr">
        <is>
          <t>Единица измерения  — 1 ед</t>
        </is>
      </c>
    </row>
    <row r="9">
      <c r="B9" s="139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0">
        <f>'Прил.5 Расчет СМР и ОБ'!J17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0">
        <f>'Прил.5 Расчет СМР и ОБ'!J26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0">
        <f>'Прил.5 Расчет СМР и ОБ'!J50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0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0">
        <f>'Прил.5 Расчет СМР и ОБ'!J19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0">
        <f>'Прил.5 Расчет СМР и ОБ'!J73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0">
        <f>'Прил.5 Расчет СМР и ОБ'!J125</f>
        <v/>
      </c>
      <c r="D17" s="27">
        <f>C17/$C$24</f>
        <v/>
      </c>
      <c r="E17" s="27">
        <f>C17/$C$40</f>
        <v/>
      </c>
      <c r="G17" s="140" t="n"/>
    </row>
    <row r="18">
      <c r="B18" s="25" t="inlineStr">
        <is>
          <t>МАТЕРИАЛЫ, ВСЕГО:</t>
        </is>
      </c>
      <c r="C18" s="170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0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0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ОБ'!D129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0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ОБ'!D128</f>
        <v/>
      </c>
      <c r="D23" s="27" t="n"/>
      <c r="E23" s="25" t="n"/>
    </row>
    <row r="24">
      <c r="B24" s="25" t="inlineStr">
        <is>
          <t>ВСЕГО СМР с НР и СП</t>
        </is>
      </c>
      <c r="C24" s="170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70">
        <f>'Прил.5 Расчет СМР и ОБ'!J60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70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776060.46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1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1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70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70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0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0">
        <f>C40/'Прил.5 Расчет СМР и ОБ'!E132</f>
        <v/>
      </c>
      <c r="D41" s="25" t="n"/>
      <c r="E41" s="25" t="n"/>
    </row>
    <row r="42">
      <c r="B42" s="142" t="n"/>
      <c r="C42" s="4" t="n"/>
      <c r="D42" s="4" t="n"/>
      <c r="E42" s="4" t="n"/>
    </row>
    <row r="43">
      <c r="B43" s="142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2" t="n"/>
      <c r="C45" s="4" t="n"/>
      <c r="D45" s="4" t="n"/>
      <c r="E45" s="4" t="n"/>
    </row>
    <row r="46">
      <c r="B46" s="14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38"/>
  <sheetViews>
    <sheetView view="pageBreakPreview" topLeftCell="A127" zoomScaleSheetLayoutView="100" workbookViewId="0">
      <selection activeCell="C28" sqref="C28"/>
    </sheetView>
  </sheetViews>
  <sheetFormatPr baseColWidth="8" defaultColWidth="9.140625" defaultRowHeight="15" outlineLevelRow="1"/>
  <cols>
    <col width="9.14062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2.425781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21" customFormat="1" customHeight="1" s="4">
      <c r="A4" s="218" t="inlineStr">
        <is>
          <t>Расчет стоимости СМР и оборудования</t>
        </is>
      </c>
    </row>
    <row r="5" ht="12.75" customFormat="1" customHeight="1" s="4">
      <c r="A5" s="218" t="n"/>
      <c r="B5" s="218" t="n"/>
      <c r="C5" s="266" t="n"/>
      <c r="D5" s="218" t="n"/>
      <c r="E5" s="218" t="n"/>
      <c r="F5" s="218" t="n"/>
      <c r="G5" s="218" t="n"/>
      <c r="H5" s="218" t="n"/>
      <c r="I5" s="218" t="n"/>
      <c r="J5" s="218" t="n"/>
    </row>
    <row r="6" ht="21" customFormat="1" customHeight="1" s="4">
      <c r="A6" s="221" t="inlineStr">
        <is>
          <t>Наименование разрабатываемого показателя УНЦ</t>
        </is>
      </c>
      <c r="D6" s="221" t="inlineStr">
        <is>
          <t>ТТ на три фазы с устройством фундамента напряжение 110 кВ</t>
        </is>
      </c>
    </row>
    <row r="7" ht="25.5" customFormat="1" customHeight="1" s="4">
      <c r="A7" s="221" t="inlineStr">
        <is>
          <t>Единица измерения  — 1 ед.</t>
        </is>
      </c>
      <c r="I7" s="244" t="n"/>
      <c r="J7" s="244" t="n"/>
    </row>
    <row r="8" ht="12.75" customFormat="1" customHeight="1" s="4">
      <c r="A8" s="221" t="n"/>
    </row>
    <row r="9" ht="12.75" customFormat="1" customHeight="1" s="4"/>
    <row r="10" ht="30.75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0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0" t="n"/>
      <c r="M10" s="12" t="n"/>
      <c r="N10" s="12" t="n"/>
    </row>
    <row r="11" ht="29.25" customHeight="1">
      <c r="A11" s="312" t="n"/>
      <c r="B11" s="312" t="n"/>
      <c r="C11" s="312" t="n"/>
      <c r="D11" s="312" t="n"/>
      <c r="E11" s="312" t="n"/>
      <c r="F11" s="249" t="inlineStr">
        <is>
          <t>на ед. изм.</t>
        </is>
      </c>
      <c r="G11" s="249" t="inlineStr">
        <is>
          <t>общая</t>
        </is>
      </c>
      <c r="H11" s="312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50" t="n">
        <v>9</v>
      </c>
      <c r="J12" s="250" t="n">
        <v>10</v>
      </c>
      <c r="M12" s="12" t="n"/>
      <c r="N12" s="12" t="n"/>
    </row>
    <row r="13">
      <c r="A13" s="249" t="n"/>
      <c r="B13" s="256" t="inlineStr">
        <is>
          <t>Затраты труда рабочих-строителей</t>
        </is>
      </c>
      <c r="C13" s="309" t="n"/>
      <c r="D13" s="309" t="n"/>
      <c r="E13" s="309" t="n"/>
      <c r="F13" s="309" t="n"/>
      <c r="G13" s="309" t="n"/>
      <c r="H13" s="310" t="n"/>
      <c r="I13" s="173" t="n"/>
      <c r="J13" s="173" t="n"/>
    </row>
    <row r="14" ht="25.5" customHeight="1">
      <c r="A14" s="249" t="n">
        <v>1</v>
      </c>
      <c r="B14" s="166" t="inlineStr">
        <is>
          <t>1-3-6</t>
        </is>
      </c>
      <c r="C14" s="252" t="inlineStr">
        <is>
          <t>Затраты труда рабочих-строителей среднего разряда (3,6)</t>
        </is>
      </c>
      <c r="D14" s="249" t="inlineStr">
        <is>
          <t>чел.-ч.</t>
        </is>
      </c>
      <c r="E14" s="168" t="n">
        <v>2988.805</v>
      </c>
      <c r="F14" s="32" t="n">
        <v>9.18</v>
      </c>
      <c r="G14" s="32">
        <f>ROUND(E14*F14,2)</f>
        <v/>
      </c>
      <c r="H14" s="174">
        <f>G14/G17</f>
        <v/>
      </c>
      <c r="I14" s="32">
        <f>ФОТр.тек.!E13</f>
        <v/>
      </c>
      <c r="J14" s="32">
        <f>ROUND(I14*E14,2)</f>
        <v/>
      </c>
    </row>
    <row r="15">
      <c r="A15" s="249" t="n">
        <v>2</v>
      </c>
      <c r="B15" s="166" t="inlineStr">
        <is>
          <t>10-30-1</t>
        </is>
      </c>
      <c r="C15" s="252" t="inlineStr">
        <is>
          <t>Инженер I категории</t>
        </is>
      </c>
      <c r="D15" s="249" t="inlineStr">
        <is>
          <t>чел.-ч.</t>
        </is>
      </c>
      <c r="E15" s="168" t="n">
        <v>1205.5</v>
      </c>
      <c r="F15" s="32" t="n">
        <v>15.49</v>
      </c>
      <c r="G15" s="32">
        <f>ROUND(E15*F15,2)</f>
        <v/>
      </c>
      <c r="H15" s="174">
        <f>G15/G17</f>
        <v/>
      </c>
      <c r="I15" s="32">
        <f>ФОТр.тек.!E21</f>
        <v/>
      </c>
      <c r="J15" s="32">
        <f>ROUND(I15*E15,2)</f>
        <v/>
      </c>
    </row>
    <row r="16">
      <c r="A16" s="249" t="n">
        <v>3</v>
      </c>
      <c r="B16" s="166" t="inlineStr">
        <is>
          <t>10-30-2</t>
        </is>
      </c>
      <c r="C16" s="252" t="inlineStr">
        <is>
          <t>Инженер II категории</t>
        </is>
      </c>
      <c r="D16" s="249" t="inlineStr">
        <is>
          <t>чел.-ч.</t>
        </is>
      </c>
      <c r="E16" s="144" t="n">
        <v>1205.5</v>
      </c>
      <c r="F16" s="32" t="n">
        <v>14.09</v>
      </c>
      <c r="G16" s="32">
        <f>ROUND(E16*F16,2)</f>
        <v/>
      </c>
      <c r="H16" s="174">
        <f>G16/G17</f>
        <v/>
      </c>
      <c r="I16" s="32">
        <f>ФОТр.тек.!E29</f>
        <v/>
      </c>
      <c r="J16" s="32">
        <f>ROUND(I16*E16,2)</f>
        <v/>
      </c>
    </row>
    <row r="17" ht="25.5" customFormat="1" customHeight="1" s="12">
      <c r="A17" s="249" t="n"/>
      <c r="B17" s="249" t="n"/>
      <c r="C17" s="256" t="inlineStr">
        <is>
          <t>Итого по разделу "Затраты труда рабочих-строителей"</t>
        </is>
      </c>
      <c r="D17" s="249" t="inlineStr">
        <is>
          <t>чел.-ч.</t>
        </is>
      </c>
      <c r="E17" s="168">
        <f>SUM(E14:E16)</f>
        <v/>
      </c>
      <c r="F17" s="32" t="n"/>
      <c r="G17" s="32">
        <f>SUM(G14:G16)</f>
        <v/>
      </c>
      <c r="H17" s="255" t="n">
        <v>1</v>
      </c>
      <c r="I17" s="173" t="n"/>
      <c r="J17" s="32">
        <f>SUM(J14:J16)</f>
        <v/>
      </c>
    </row>
    <row r="18" ht="14.25" customFormat="1" customHeight="1" s="12">
      <c r="A18" s="249" t="n"/>
      <c r="B18" s="252" t="inlineStr">
        <is>
          <t>Затраты труда машинистов</t>
        </is>
      </c>
      <c r="C18" s="309" t="n"/>
      <c r="D18" s="309" t="n"/>
      <c r="E18" s="309" t="n"/>
      <c r="F18" s="309" t="n"/>
      <c r="G18" s="309" t="n"/>
      <c r="H18" s="310" t="n"/>
      <c r="I18" s="173" t="n"/>
      <c r="J18" s="173" t="n"/>
    </row>
    <row r="19" ht="14.25" customFormat="1" customHeight="1" s="12">
      <c r="A19" s="249" t="n">
        <v>4</v>
      </c>
      <c r="B19" s="249" t="n">
        <v>2</v>
      </c>
      <c r="C19" s="252" t="inlineStr">
        <is>
          <t>Затраты труда машинистов</t>
        </is>
      </c>
      <c r="D19" s="249" t="inlineStr">
        <is>
          <t>чел.-ч.</t>
        </is>
      </c>
      <c r="E19" s="168">
        <f>'Прил. 3'!F28</f>
        <v/>
      </c>
      <c r="F19" s="32">
        <f>G19/E19</f>
        <v/>
      </c>
      <c r="G19" s="32">
        <f>'Прил. 3'!H28</f>
        <v/>
      </c>
      <c r="H19" s="255" t="n">
        <v>1</v>
      </c>
      <c r="I19" s="32">
        <f>ROUND(F19*Прил.10!D11,2)</f>
        <v/>
      </c>
      <c r="J19" s="32">
        <f>ROUND(I19*E19,2)</f>
        <v/>
      </c>
    </row>
    <row r="20" ht="14.25" customFormat="1" customHeight="1" s="12">
      <c r="A20" s="249" t="n"/>
      <c r="B20" s="256" t="inlineStr">
        <is>
          <t>Машины и механизмы</t>
        </is>
      </c>
      <c r="C20" s="309" t="n"/>
      <c r="D20" s="309" t="n"/>
      <c r="E20" s="309" t="n"/>
      <c r="F20" s="309" t="n"/>
      <c r="G20" s="309" t="n"/>
      <c r="H20" s="310" t="n"/>
      <c r="I20" s="173" t="n"/>
      <c r="J20" s="173" t="n"/>
    </row>
    <row r="21" ht="14.25" customFormat="1" customHeight="1" s="12">
      <c r="A21" s="249" t="n"/>
      <c r="B21" s="252" t="inlineStr">
        <is>
          <t>Основные машины и механизмы</t>
        </is>
      </c>
      <c r="C21" s="309" t="n"/>
      <c r="D21" s="309" t="n"/>
      <c r="E21" s="309" t="n"/>
      <c r="F21" s="309" t="n"/>
      <c r="G21" s="309" t="n"/>
      <c r="H21" s="310" t="n"/>
      <c r="I21" s="173" t="n"/>
      <c r="J21" s="173" t="n"/>
    </row>
    <row r="22" ht="38.25" customFormat="1" customHeight="1" s="12">
      <c r="A22" s="249" t="n">
        <v>5</v>
      </c>
      <c r="B22" s="166" t="inlineStr">
        <is>
          <t>91.11.01-012</t>
        </is>
      </c>
      <c r="C22" s="252" t="inlineStr">
        <is>
          <t>Машины монтажные для выполнения работ при прокладке и монтаже кабеля на базе автомобиля</t>
        </is>
      </c>
      <c r="D22" s="249" t="inlineStr">
        <is>
          <t>маш.час</t>
        </is>
      </c>
      <c r="E22" s="144" t="n">
        <v>336</v>
      </c>
      <c r="F22" s="254" t="n">
        <v>110.86</v>
      </c>
      <c r="G22" s="32">
        <f>ROUND(E22*F22,2)</f>
        <v/>
      </c>
      <c r="H22" s="174">
        <f>G22/$G$51</f>
        <v/>
      </c>
      <c r="I22" s="32">
        <f>ROUND(F22*Прил.10!D12,2)</f>
        <v/>
      </c>
      <c r="J22" s="32">
        <f>ROUND(I22*E22,2)</f>
        <v/>
      </c>
    </row>
    <row r="23" ht="25.5" customFormat="1" customHeight="1" s="12">
      <c r="A23" s="249" t="n">
        <v>6</v>
      </c>
      <c r="B23" s="166" t="inlineStr">
        <is>
          <t>91.10.01-002</t>
        </is>
      </c>
      <c r="C23" s="252" t="inlineStr">
        <is>
          <t>Агрегаты наполнительно-опрессовочные: до 300 м3/ч</t>
        </is>
      </c>
      <c r="D23" s="249" t="inlineStr">
        <is>
          <t>маш.час</t>
        </is>
      </c>
      <c r="E23" s="144" t="n">
        <v>80.43000000000001</v>
      </c>
      <c r="F23" s="254" t="n">
        <v>287.99</v>
      </c>
      <c r="G23" s="32">
        <f>ROUND(E23*F23,2)</f>
        <v/>
      </c>
      <c r="H23" s="174">
        <f>G23/$G$51</f>
        <v/>
      </c>
      <c r="I23" s="32">
        <f>ROUND(F23*Прил.10!$D$12,2)</f>
        <v/>
      </c>
      <c r="J23" s="32">
        <f>ROUND(I23*E23,2)</f>
        <v/>
      </c>
    </row>
    <row r="24" ht="25.5" customFormat="1" customHeight="1" s="12">
      <c r="A24" s="249" t="n">
        <v>7</v>
      </c>
      <c r="B24" s="166" t="inlineStr">
        <is>
          <t>91.06.03-058</t>
        </is>
      </c>
      <c r="C24" s="252" t="inlineStr">
        <is>
          <t>Лебедки электрические тяговым усилием: 156,96 кН (16 т)</t>
        </is>
      </c>
      <c r="D24" s="249" t="inlineStr">
        <is>
          <t>маш.час</t>
        </is>
      </c>
      <c r="E24" s="144" t="n">
        <v>80.43000000000001</v>
      </c>
      <c r="F24" s="254" t="n">
        <v>131.44</v>
      </c>
      <c r="G24" s="32">
        <f>ROUND(E24*F24,2)</f>
        <v/>
      </c>
      <c r="H24" s="174">
        <f>G24/$G$51</f>
        <v/>
      </c>
      <c r="I24" s="32">
        <f>ROUND(F24*Прил.10!$D$12,2)</f>
        <v/>
      </c>
      <c r="J24" s="32">
        <f>ROUND(I24*E24,2)</f>
        <v/>
      </c>
    </row>
    <row r="25" ht="25.5" customFormat="1" customHeight="1" s="12">
      <c r="A25" s="249" t="n">
        <v>8</v>
      </c>
      <c r="B25" s="166" t="inlineStr">
        <is>
          <t>91.05.05-014</t>
        </is>
      </c>
      <c r="C25" s="252" t="inlineStr">
        <is>
          <t>Краны на автомобильном ходу, грузоподъемность 10 т</t>
        </is>
      </c>
      <c r="D25" s="249" t="inlineStr">
        <is>
          <t>маш.час</t>
        </is>
      </c>
      <c r="E25" s="144" t="n">
        <v>70.91</v>
      </c>
      <c r="F25" s="254" t="n">
        <v>111.99</v>
      </c>
      <c r="G25" s="32">
        <f>ROUND(E25*F25,2)</f>
        <v/>
      </c>
      <c r="H25" s="174">
        <f>G25/$G$51</f>
        <v/>
      </c>
      <c r="I25" s="32">
        <f>ROUND(F25*Прил.10!$D$12,2)</f>
        <v/>
      </c>
      <c r="J25" s="32">
        <f>ROUND(I25*E25,2)</f>
        <v/>
      </c>
    </row>
    <row r="26" ht="19.5" customFormat="1" customHeight="1" s="12">
      <c r="A26" s="249" t="n"/>
      <c r="B26" s="249" t="n"/>
      <c r="C26" s="252" t="inlineStr">
        <is>
          <t>Итого основные машины и механизмы</t>
        </is>
      </c>
      <c r="D26" s="249" t="n"/>
      <c r="E26" s="144" t="n"/>
      <c r="F26" s="32" t="n"/>
      <c r="G26" s="32">
        <f>SUM(G22:G25)</f>
        <v/>
      </c>
      <c r="H26" s="255">
        <f>G26/G51</f>
        <v/>
      </c>
      <c r="I26" s="175" t="n"/>
      <c r="J26" s="32">
        <f>SUM(J22:J25)</f>
        <v/>
      </c>
    </row>
    <row r="27" outlineLevel="1" ht="38.25" customFormat="1" customHeight="1" s="12">
      <c r="A27" s="249" t="n">
        <v>9</v>
      </c>
      <c r="B27" s="166" t="inlineStr">
        <is>
          <t>91.18.01-012</t>
        </is>
      </c>
      <c r="C27" s="252" t="inlineStr">
        <is>
          <t>Компрессоры передвижные с электродвигателем давлением 600 кПа (6 ат), производительность: до 3,5 м3/мин</t>
        </is>
      </c>
      <c r="D27" s="249" t="inlineStr">
        <is>
          <t>маш.час</t>
        </is>
      </c>
      <c r="E27" s="144" t="n">
        <v>94.02</v>
      </c>
      <c r="F27" s="254" t="n">
        <v>32.5</v>
      </c>
      <c r="G27" s="32">
        <f>ROUND(E27*F27,2)</f>
        <v/>
      </c>
      <c r="H27" s="174">
        <f>G27/$G$51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49" t="n">
        <v>10</v>
      </c>
      <c r="B28" s="166" t="inlineStr">
        <is>
          <t>91.14.02-001</t>
        </is>
      </c>
      <c r="C28" s="252" t="inlineStr">
        <is>
          <t>Автомобили бортовые, грузоподъемность: до 5 т</t>
        </is>
      </c>
      <c r="D28" s="249" t="inlineStr">
        <is>
          <t>маш.час</t>
        </is>
      </c>
      <c r="E28" s="144" t="n">
        <v>37.42</v>
      </c>
      <c r="F28" s="254" t="n">
        <v>65.70999999999999</v>
      </c>
      <c r="G28" s="32">
        <f>ROUND(E28*F28,2)</f>
        <v/>
      </c>
      <c r="H28" s="174">
        <f>G28/$G$51</f>
        <v/>
      </c>
      <c r="I28" s="32">
        <f>ROUND(F28*Прил.10!$D$12,2)</f>
        <v/>
      </c>
      <c r="J28" s="32">
        <f>ROUND(I28*E28,2)</f>
        <v/>
      </c>
    </row>
    <row r="29" outlineLevel="1" ht="28.5" customFormat="1" customHeight="1" s="12">
      <c r="A29" s="249" t="n">
        <v>11</v>
      </c>
      <c r="B29" s="166" t="inlineStr">
        <is>
          <t>91.05.08-007</t>
        </is>
      </c>
      <c r="C29" s="252" t="inlineStr">
        <is>
          <t>Краны на пневмоколесном ходу, грузоподъемность 25 т</t>
        </is>
      </c>
      <c r="D29" s="249" t="inlineStr">
        <is>
          <t>маш.час</t>
        </is>
      </c>
      <c r="E29" s="144" t="n">
        <v>16.98</v>
      </c>
      <c r="F29" s="254" t="n">
        <v>102.51</v>
      </c>
      <c r="G29" s="32">
        <f>ROUND(E29*F29,2)</f>
        <v/>
      </c>
      <c r="H29" s="174">
        <f>G29/$G$51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49" t="n">
        <v>12</v>
      </c>
      <c r="B30" s="166" t="inlineStr">
        <is>
          <t>91.17.04-233</t>
        </is>
      </c>
      <c r="C30" s="252" t="inlineStr">
        <is>
          <t>Установки для сварки: ручной дуговой (постоянного тока)</t>
        </is>
      </c>
      <c r="D30" s="249" t="inlineStr">
        <is>
          <t>маш.час</t>
        </is>
      </c>
      <c r="E30" s="144" t="n">
        <v>157.38</v>
      </c>
      <c r="F30" s="254" t="n">
        <v>8.1</v>
      </c>
      <c r="G30" s="32">
        <f>ROUND(E30*F30,2)</f>
        <v/>
      </c>
      <c r="H30" s="174">
        <f>G30/$G$51</f>
        <v/>
      </c>
      <c r="I30" s="32">
        <f>ROUND(F30*Прил.10!$D$12,2)</f>
        <v/>
      </c>
      <c r="J30" s="32">
        <f>ROUND(I30*E30,2)</f>
        <v/>
      </c>
    </row>
    <row r="31" outlineLevel="1" ht="51" customFormat="1" customHeight="1" s="12">
      <c r="A31" s="249" t="n">
        <v>13</v>
      </c>
      <c r="B31" s="166" t="inlineStr">
        <is>
          <t>ФССЦпг-03-21-01-020</t>
        </is>
      </c>
      <c r="C31" s="252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31" s="249" t="inlineStr">
        <is>
          <t>1 т груза</t>
        </is>
      </c>
      <c r="E31" s="144" t="n">
        <v>64.764</v>
      </c>
      <c r="F31" s="254" t="n">
        <v>15.35</v>
      </c>
      <c r="G31" s="32">
        <f>ROUND(E31*F31,2)</f>
        <v/>
      </c>
      <c r="H31" s="174">
        <f>G31/$G$51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49" t="n">
        <v>14</v>
      </c>
      <c r="B32" s="166" t="inlineStr">
        <is>
          <t>91.06.06-042</t>
        </is>
      </c>
      <c r="C32" s="252" t="inlineStr">
        <is>
          <t>Подъемники гидравлические высотой подъема: 10 м</t>
        </is>
      </c>
      <c r="D32" s="249" t="inlineStr">
        <is>
          <t>маш.час</t>
        </is>
      </c>
      <c r="E32" s="144" t="n">
        <v>27.21</v>
      </c>
      <c r="F32" s="254" t="n">
        <v>29.6</v>
      </c>
      <c r="G32" s="32">
        <f>ROUND(E32*F32,2)</f>
        <v/>
      </c>
      <c r="H32" s="174">
        <f>G32/$G$51</f>
        <v/>
      </c>
      <c r="I32" s="32">
        <f>ROUND(F32*Прил.10!$D$12,2)</f>
        <v/>
      </c>
      <c r="J32" s="32">
        <f>ROUND(I32*E32,2)</f>
        <v/>
      </c>
    </row>
    <row r="33" outlineLevel="1" ht="28.5" customFormat="1" customHeight="1" s="12">
      <c r="A33" s="249" t="n">
        <v>15</v>
      </c>
      <c r="B33" s="166" t="inlineStr">
        <is>
          <t>91.08.04-021</t>
        </is>
      </c>
      <c r="C33" s="252" t="inlineStr">
        <is>
          <t>Котлы битумные: передвижные 400 л</t>
        </is>
      </c>
      <c r="D33" s="249" t="inlineStr">
        <is>
          <t>маш.час</t>
        </is>
      </c>
      <c r="E33" s="144" t="n">
        <v>18.47</v>
      </c>
      <c r="F33" s="254" t="n">
        <v>30</v>
      </c>
      <c r="G33" s="32">
        <f>ROUND(E33*F33,2)</f>
        <v/>
      </c>
      <c r="H33" s="174">
        <f>G33/$G$51</f>
        <v/>
      </c>
      <c r="I33" s="32">
        <f>ROUND(F33*Прил.10!$D$12,2)</f>
        <v/>
      </c>
      <c r="J33" s="32">
        <f>ROUND(I33*E33,2)</f>
        <v/>
      </c>
    </row>
    <row r="34" outlineLevel="1" ht="51" customFormat="1" customHeight="1" s="12">
      <c r="A34" s="249" t="n">
        <v>16</v>
      </c>
      <c r="B34" s="166" t="inlineStr">
        <is>
          <t>91.18.01-007</t>
        </is>
      </c>
      <c r="C34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4" s="249" t="inlineStr">
        <is>
          <t>маш.час</t>
        </is>
      </c>
      <c r="E34" s="144" t="n">
        <v>5.6</v>
      </c>
      <c r="F34" s="254" t="n">
        <v>90</v>
      </c>
      <c r="G34" s="32">
        <f>ROUND(E34*F34,2)</f>
        <v/>
      </c>
      <c r="H34" s="174">
        <f>G34/$G$51</f>
        <v/>
      </c>
      <c r="I34" s="32">
        <f>ROUND(F34*Прил.10!$D$12,2)</f>
        <v/>
      </c>
      <c r="J34" s="32">
        <f>ROUND(I34*E34,2)</f>
        <v/>
      </c>
    </row>
    <row r="35" outlineLevel="1" ht="25.5" customFormat="1" customHeight="1" s="12">
      <c r="A35" s="249" t="n">
        <v>17</v>
      </c>
      <c r="B35" s="166" t="inlineStr">
        <is>
          <t>91.14.02-002</t>
        </is>
      </c>
      <c r="C35" s="252" t="inlineStr">
        <is>
          <t>Автомобили бортовые, грузоподъемность: до 8 т</t>
        </is>
      </c>
      <c r="D35" s="249" t="inlineStr">
        <is>
          <t>маш.час</t>
        </is>
      </c>
      <c r="E35" s="144" t="n">
        <v>4.24</v>
      </c>
      <c r="F35" s="254" t="n">
        <v>85.84</v>
      </c>
      <c r="G35" s="32">
        <f>ROUND(E35*F35,2)</f>
        <v/>
      </c>
      <c r="H35" s="174">
        <f>G35/$G$51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2">
      <c r="A36" s="249" t="n">
        <v>18</v>
      </c>
      <c r="B36" s="166" t="inlineStr">
        <is>
          <t>91.21.10-003</t>
        </is>
      </c>
      <c r="C36" s="252" t="inlineStr">
        <is>
          <t>Молотки при работе от передвижных компрессорных станций: отбойные пневматические</t>
        </is>
      </c>
      <c r="D36" s="249" t="inlineStr">
        <is>
          <t>маш.час</t>
        </is>
      </c>
      <c r="E36" s="144" t="n">
        <v>188.02</v>
      </c>
      <c r="F36" s="254" t="n">
        <v>1.53</v>
      </c>
      <c r="G36" s="32">
        <f>ROUND(E36*F36,2)</f>
        <v/>
      </c>
      <c r="H36" s="174">
        <f>G36/$G$51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49" t="n">
        <v>19</v>
      </c>
      <c r="B37" s="166" t="inlineStr">
        <is>
          <t>91.06.01-003</t>
        </is>
      </c>
      <c r="C37" s="252" t="inlineStr">
        <is>
          <t>Домкраты гидравлические, грузоподъемность 63-100 т</t>
        </is>
      </c>
      <c r="D37" s="249" t="inlineStr">
        <is>
          <t>маш.час</t>
        </is>
      </c>
      <c r="E37" s="144" t="n">
        <v>160.86</v>
      </c>
      <c r="F37" s="254" t="n">
        <v>0.9</v>
      </c>
      <c r="G37" s="32">
        <f>ROUND(E37*F37,2)</f>
        <v/>
      </c>
      <c r="H37" s="174">
        <f>G37/$G$51</f>
        <v/>
      </c>
      <c r="I37" s="32">
        <f>ROUND(F37*Прил.10!$D$12,2)</f>
        <v/>
      </c>
      <c r="J37" s="32">
        <f>ROUND(I37*E37,2)</f>
        <v/>
      </c>
    </row>
    <row r="38" outlineLevel="1" ht="25.5" customFormat="1" customHeight="1" s="12">
      <c r="A38" s="249" t="n">
        <v>20</v>
      </c>
      <c r="B38" s="166" t="inlineStr">
        <is>
          <t>91.21.12-002</t>
        </is>
      </c>
      <c r="C38" s="252" t="inlineStr">
        <is>
          <t>Ножницы листовые кривошипные гильотинные</t>
        </is>
      </c>
      <c r="D38" s="249" t="inlineStr">
        <is>
          <t>маш.час</t>
        </is>
      </c>
      <c r="E38" s="144" t="n">
        <v>0.8100000000000001</v>
      </c>
      <c r="F38" s="254" t="n">
        <v>70</v>
      </c>
      <c r="G38" s="32">
        <f>ROUND(E38*F38,2)</f>
        <v/>
      </c>
      <c r="H38" s="174">
        <f>G38/$G$51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49" t="n">
        <v>21</v>
      </c>
      <c r="B39" s="166" t="inlineStr">
        <is>
          <t>91.01.01-035</t>
        </is>
      </c>
      <c r="C39" s="252" t="inlineStr">
        <is>
          <t>Бульдозеры, мощность 79 кВт (108 л.с.)</t>
        </is>
      </c>
      <c r="D39" s="249" t="inlineStr">
        <is>
          <t>маш.час</t>
        </is>
      </c>
      <c r="E39" s="144" t="n">
        <v>0.66</v>
      </c>
      <c r="F39" s="254" t="n">
        <v>79.06999999999999</v>
      </c>
      <c r="G39" s="32">
        <f>ROUND(E39*F39,2)</f>
        <v/>
      </c>
      <c r="H39" s="174">
        <f>G39/$G$51</f>
        <v/>
      </c>
      <c r="I39" s="32">
        <f>ROUND(F39*Прил.10!$D$12,2)</f>
        <v/>
      </c>
      <c r="J39" s="32">
        <f>ROUND(I39*E39,2)</f>
        <v/>
      </c>
    </row>
    <row r="40" outlineLevel="1" ht="14.25" customFormat="1" customHeight="1" s="12">
      <c r="A40" s="249" t="n">
        <v>22</v>
      </c>
      <c r="B40" s="166" t="inlineStr">
        <is>
          <t>91.17.04-042</t>
        </is>
      </c>
      <c r="C40" s="252" t="inlineStr">
        <is>
          <t>Аппарат для газовой сварки и резки</t>
        </is>
      </c>
      <c r="D40" s="249" t="inlineStr">
        <is>
          <t>маш.час</t>
        </is>
      </c>
      <c r="E40" s="144" t="n">
        <v>40.74</v>
      </c>
      <c r="F40" s="254" t="n">
        <v>1.2</v>
      </c>
      <c r="G40" s="32">
        <f>ROUND(E40*F40,2)</f>
        <v/>
      </c>
      <c r="H40" s="174">
        <f>G40/$G$51</f>
        <v/>
      </c>
      <c r="I40" s="32">
        <f>ROUND(F40*Прил.10!$D$12,2)</f>
        <v/>
      </c>
      <c r="J40" s="32">
        <f>ROUND(I40*E40,2)</f>
        <v/>
      </c>
    </row>
    <row r="41" outlineLevel="1" ht="25.5" customFormat="1" customHeight="1" s="12">
      <c r="A41" s="249" t="n">
        <v>23</v>
      </c>
      <c r="B41" s="166" t="inlineStr">
        <is>
          <t>91.21.16-014</t>
        </is>
      </c>
      <c r="C41" s="252" t="inlineStr">
        <is>
          <t>Пресс: листогибочный кривошипный 1000 кН (100 тс)</t>
        </is>
      </c>
      <c r="D41" s="249" t="inlineStr">
        <is>
          <t>маш.час</t>
        </is>
      </c>
      <c r="E41" s="144" t="n">
        <v>0.8100000000000001</v>
      </c>
      <c r="F41" s="254" t="n">
        <v>56.24</v>
      </c>
      <c r="G41" s="32">
        <f>ROUND(E41*F41,2)</f>
        <v/>
      </c>
      <c r="H41" s="174">
        <f>G41/$G$51</f>
        <v/>
      </c>
      <c r="I41" s="32">
        <f>ROUND(F41*Прил.10!$D$12,2)</f>
        <v/>
      </c>
      <c r="J41" s="32">
        <f>ROUND(I41*E41,2)</f>
        <v/>
      </c>
    </row>
    <row r="42" outlineLevel="1" ht="38.25" customFormat="1" customHeight="1" s="12">
      <c r="A42" s="249" t="n">
        <v>24</v>
      </c>
      <c r="B42" s="166" t="inlineStr">
        <is>
          <t>91.17.04-036</t>
        </is>
      </c>
      <c r="C42" s="252" t="inlineStr">
        <is>
          <t>Агрегаты сварочные передвижные номинальным сварочным током 250-400 А: с дизельным двигателем</t>
        </is>
      </c>
      <c r="D42" s="249" t="inlineStr">
        <is>
          <t>маш.час</t>
        </is>
      </c>
      <c r="E42" s="144" t="n">
        <v>2.95</v>
      </c>
      <c r="F42" s="254" t="n">
        <v>14</v>
      </c>
      <c r="G42" s="32">
        <f>ROUND(E42*F42,2)</f>
        <v/>
      </c>
      <c r="H42" s="174">
        <f>G42/$G$51</f>
        <v/>
      </c>
      <c r="I42" s="32">
        <f>ROUND(F42*Прил.10!$D$12,2)</f>
        <v/>
      </c>
      <c r="J42" s="32">
        <f>ROUND(I42*E42,2)</f>
        <v/>
      </c>
    </row>
    <row r="43" outlineLevel="1" ht="14.25" customFormat="1" customHeight="1" s="12">
      <c r="A43" s="249" t="n">
        <v>25</v>
      </c>
      <c r="B43" s="166" t="inlineStr">
        <is>
          <t>91.05.01-017</t>
        </is>
      </c>
      <c r="C43" s="252" t="inlineStr">
        <is>
          <t>Краны башенные, грузоподъемность 8 т</t>
        </is>
      </c>
      <c r="D43" s="249" t="inlineStr">
        <is>
          <t>маш.час</t>
        </is>
      </c>
      <c r="E43" s="144" t="n">
        <v>0.43</v>
      </c>
      <c r="F43" s="254" t="n">
        <v>86.40000000000001</v>
      </c>
      <c r="G43" s="32">
        <f>ROUND(E43*F43,2)</f>
        <v/>
      </c>
      <c r="H43" s="174">
        <f>G43/$G$51</f>
        <v/>
      </c>
      <c r="I43" s="32">
        <f>ROUND(F43*Прил.10!$D$12,2)</f>
        <v/>
      </c>
      <c r="J43" s="32">
        <f>ROUND(I43*E43,2)</f>
        <v/>
      </c>
    </row>
    <row r="44" outlineLevel="1" ht="25.5" customFormat="1" customHeight="1" s="12">
      <c r="A44" s="249" t="n">
        <v>26</v>
      </c>
      <c r="B44" s="166" t="inlineStr">
        <is>
          <t>91.21.16-013</t>
        </is>
      </c>
      <c r="C44" s="252" t="inlineStr">
        <is>
          <t>Пресс: кривошипный простого действия 25 кН (2,5 тс)</t>
        </is>
      </c>
      <c r="D44" s="249" t="inlineStr">
        <is>
          <t>маш.час</t>
        </is>
      </c>
      <c r="E44" s="144" t="n">
        <v>0.8100000000000001</v>
      </c>
      <c r="F44" s="254" t="n">
        <v>16.92</v>
      </c>
      <c r="G44" s="32">
        <f>ROUND(E44*F44,2)</f>
        <v/>
      </c>
      <c r="H44" s="174">
        <f>G44/$G$51</f>
        <v/>
      </c>
      <c r="I44" s="32">
        <f>ROUND(F44*Прил.10!$D$12,2)</f>
        <v/>
      </c>
      <c r="J44" s="32">
        <f>ROUND(I44*E44,2)</f>
        <v/>
      </c>
    </row>
    <row r="45" outlineLevel="1" ht="38.25" customFormat="1" customHeight="1" s="12">
      <c r="A45" s="249" t="n">
        <v>27</v>
      </c>
      <c r="B45" s="166" t="inlineStr">
        <is>
          <t>91.21.01-012</t>
        </is>
      </c>
      <c r="C45" s="252" t="inlineStr">
        <is>
          <t>Агрегаты окрасочные высокого давления для окраски поверхностей конструкций, мощность 1 кВт</t>
        </is>
      </c>
      <c r="D45" s="249" t="inlineStr">
        <is>
          <t>маш.час</t>
        </is>
      </c>
      <c r="E45" s="144" t="n">
        <v>1.6</v>
      </c>
      <c r="F45" s="254" t="n">
        <v>6.82</v>
      </c>
      <c r="G45" s="32">
        <f>ROUND(E45*F45,2)</f>
        <v/>
      </c>
      <c r="H45" s="174">
        <f>G45/$G$51</f>
        <v/>
      </c>
      <c r="I45" s="32">
        <f>ROUND(F45*Прил.10!$D$12,2)</f>
        <v/>
      </c>
      <c r="J45" s="32">
        <f>ROUND(I45*E45,2)</f>
        <v/>
      </c>
    </row>
    <row r="46" outlineLevel="1" ht="25.5" customFormat="1" customHeight="1" s="12">
      <c r="A46" s="249" t="n">
        <v>28</v>
      </c>
      <c r="B46" s="166" t="inlineStr">
        <is>
          <t>91.08.09-023</t>
        </is>
      </c>
      <c r="C46" s="252" t="inlineStr">
        <is>
          <t>Трамбовки пневматические при работе от: передвижных компрессорных станций</t>
        </is>
      </c>
      <c r="D46" s="249" t="inlineStr">
        <is>
          <t>маш.час</t>
        </is>
      </c>
      <c r="E46" s="144" t="n">
        <v>17.87</v>
      </c>
      <c r="F46" s="254" t="n">
        <v>0.55</v>
      </c>
      <c r="G46" s="32">
        <f>ROUND(E46*F46,2)</f>
        <v/>
      </c>
      <c r="H46" s="174">
        <f>G46/$G$51</f>
        <v/>
      </c>
      <c r="I46" s="32">
        <f>ROUND(F46*Прил.10!$D$12,2)</f>
        <v/>
      </c>
      <c r="J46" s="32">
        <f>ROUND(I46*E46,2)</f>
        <v/>
      </c>
    </row>
    <row r="47" outlineLevel="1" ht="51" customFormat="1" customHeight="1" s="12">
      <c r="A47" s="249" t="n">
        <v>29</v>
      </c>
      <c r="B47" s="166" t="inlineStr">
        <is>
          <t>ФССЦпг-03-21-01-031</t>
        </is>
      </c>
      <c r="C47" s="252" t="inlineStr">
        <is>
          <t>Перевозка грузов автомобилями-самосвалами грузоподъемностью 10 т работающих вне карьера на расстояние: I класс груза до 31 км</t>
        </is>
      </c>
      <c r="D47" s="249" t="inlineStr">
        <is>
          <t>1 т груза</t>
        </is>
      </c>
      <c r="E47" s="144" t="n">
        <v>0.294</v>
      </c>
      <c r="F47" s="254" t="n">
        <v>19.68</v>
      </c>
      <c r="G47" s="32">
        <f>ROUND(E47*F47,2)</f>
        <v/>
      </c>
      <c r="H47" s="174">
        <f>G47/$G$51</f>
        <v/>
      </c>
      <c r="I47" s="32">
        <f>ROUND(F47*Прил.10!$D$12,2)</f>
        <v/>
      </c>
      <c r="J47" s="32">
        <f>ROUND(I47*E47,2)</f>
        <v/>
      </c>
    </row>
    <row r="48" outlineLevel="1" ht="14.25" customFormat="1" customHeight="1" s="12">
      <c r="A48" s="249" t="n">
        <v>30</v>
      </c>
      <c r="B48" s="166" t="inlineStr">
        <is>
          <t>91.21.19-031</t>
        </is>
      </c>
      <c r="C48" s="252" t="inlineStr">
        <is>
          <t>Станок: сверлильный</t>
        </is>
      </c>
      <c r="D48" s="249" t="inlineStr">
        <is>
          <t>маш.час</t>
        </is>
      </c>
      <c r="E48" s="144" t="n">
        <v>0.8100000000000001</v>
      </c>
      <c r="F48" s="254" t="n">
        <v>2.36</v>
      </c>
      <c r="G48" s="32">
        <f>ROUND(E48*F48,2)</f>
        <v/>
      </c>
      <c r="H48" s="174">
        <f>G48/$G$51</f>
        <v/>
      </c>
      <c r="I48" s="32">
        <f>ROUND(F48*Прил.10!$D$12,2)</f>
        <v/>
      </c>
      <c r="J48" s="32">
        <f>ROUND(I48*E48,2)</f>
        <v/>
      </c>
    </row>
    <row r="49" outlineLevel="1" ht="14.25" customFormat="1" customHeight="1" s="12">
      <c r="A49" s="249" t="n">
        <v>31</v>
      </c>
      <c r="B49" s="166" t="inlineStr">
        <is>
          <t>91.07.04-002</t>
        </is>
      </c>
      <c r="C49" s="252" t="inlineStr">
        <is>
          <t>Вибратор поверхностный</t>
        </is>
      </c>
      <c r="D49" s="249" t="inlineStr">
        <is>
          <t>маш.час</t>
        </is>
      </c>
      <c r="E49" s="144" t="n">
        <v>1.38</v>
      </c>
      <c r="F49" s="254" t="n">
        <v>0.5</v>
      </c>
      <c r="G49" s="32">
        <f>ROUND(E49*F49,2)</f>
        <v/>
      </c>
      <c r="H49" s="174">
        <f>G49/$G$51</f>
        <v/>
      </c>
      <c r="I49" s="32">
        <f>ROUND(F49*Прил.10!$D$12,2)</f>
        <v/>
      </c>
      <c r="J49" s="32">
        <f>ROUND(I49*E49,2)</f>
        <v/>
      </c>
    </row>
    <row r="50" ht="14.25" customFormat="1" customHeight="1" s="12">
      <c r="A50" s="249" t="n"/>
      <c r="B50" s="249" t="n"/>
      <c r="C50" s="252" t="inlineStr">
        <is>
          <t>Итого прочие машины и механизмы</t>
        </is>
      </c>
      <c r="D50" s="249" t="n"/>
      <c r="E50" s="253" t="n"/>
      <c r="F50" s="32" t="n"/>
      <c r="G50" s="175">
        <f>SUM(G27:G49)</f>
        <v/>
      </c>
      <c r="H50" s="174">
        <f>G50/G51</f>
        <v/>
      </c>
      <c r="I50" s="32" t="n"/>
      <c r="J50" s="32">
        <f>SUM(J27:J49)</f>
        <v/>
      </c>
    </row>
    <row r="51" ht="25.5" customFormat="1" customHeight="1" s="12">
      <c r="A51" s="249" t="n"/>
      <c r="B51" s="249" t="n"/>
      <c r="C51" s="256" t="inlineStr">
        <is>
          <t>Итого по разделу «Машины и механизмы»</t>
        </is>
      </c>
      <c r="D51" s="249" t="n"/>
      <c r="E51" s="253" t="n"/>
      <c r="F51" s="32" t="n"/>
      <c r="G51" s="32">
        <f>G50+G26</f>
        <v/>
      </c>
      <c r="H51" s="176" t="n">
        <v>1</v>
      </c>
      <c r="I51" s="177" t="n"/>
      <c r="J51" s="178">
        <f>J50+J26</f>
        <v/>
      </c>
    </row>
    <row r="52">
      <c r="A52" s="249" t="n"/>
      <c r="B52" s="256" t="inlineStr">
        <is>
          <t xml:space="preserve">Оборудование </t>
        </is>
      </c>
      <c r="C52" s="309" t="n"/>
      <c r="D52" s="309" t="n"/>
      <c r="E52" s="309" t="n"/>
      <c r="F52" s="309" t="n"/>
      <c r="G52" s="309" t="n"/>
      <c r="H52" s="309" t="n"/>
      <c r="I52" s="309" t="n"/>
      <c r="J52" s="310" t="n"/>
    </row>
    <row r="53">
      <c r="A53" s="249" t="n"/>
      <c r="B53" s="252" t="inlineStr">
        <is>
          <t>Основное оборудование</t>
        </is>
      </c>
      <c r="C53" s="309" t="n"/>
      <c r="D53" s="309" t="n"/>
      <c r="E53" s="309" t="n"/>
      <c r="F53" s="309" t="n"/>
      <c r="G53" s="309" t="n"/>
      <c r="H53" s="310" t="n"/>
      <c r="I53" s="173" t="n"/>
      <c r="J53" s="173" t="n"/>
    </row>
    <row r="54" ht="24.75" customHeight="1">
      <c r="A54" s="249" t="n">
        <v>32</v>
      </c>
      <c r="B54" s="166" t="inlineStr">
        <is>
          <t>БЦ.14.239</t>
        </is>
      </c>
      <c r="C54" s="252" t="inlineStr">
        <is>
          <t>Трансформатор тока 110 кВ, 2000 А, 40 кА</t>
        </is>
      </c>
      <c r="D54" s="249" t="inlineStr">
        <is>
          <t>шт.</t>
        </is>
      </c>
      <c r="E54" s="144" t="n">
        <v>21</v>
      </c>
      <c r="F54" s="249">
        <f>ROUND(I54/Прил.10!$D$14,2)</f>
        <v/>
      </c>
      <c r="G54" s="32">
        <f>ROUND(E54*F54,2)</f>
        <v/>
      </c>
      <c r="H54" s="255">
        <f>G54/$G$60</f>
        <v/>
      </c>
      <c r="I54" s="32" t="n">
        <v>1057770</v>
      </c>
      <c r="J54" s="179">
        <f>ROUND(I54*E54,2)</f>
        <v/>
      </c>
    </row>
    <row r="55">
      <c r="A55" s="249" t="n"/>
      <c r="B55" s="249" t="n"/>
      <c r="C55" s="252" t="inlineStr">
        <is>
          <t>Итого основное оборудование</t>
        </is>
      </c>
      <c r="D55" s="249" t="n"/>
      <c r="E55" s="253" t="n"/>
      <c r="F55" s="254" t="n"/>
      <c r="G55" s="32">
        <f>G54</f>
        <v/>
      </c>
      <c r="H55" s="255">
        <f>G55/$G$60</f>
        <v/>
      </c>
      <c r="I55" s="175" t="n"/>
      <c r="J55" s="32">
        <f>J54</f>
        <v/>
      </c>
    </row>
    <row r="56" outlineLevel="1" ht="25.5" customHeight="1">
      <c r="A56" s="249" t="n">
        <v>33</v>
      </c>
      <c r="B56" s="153" t="inlineStr">
        <is>
          <t>БЦ.30_1.149</t>
        </is>
      </c>
      <c r="C56" s="252" t="inlineStr">
        <is>
          <t>Шкаф промежуточных зажимов ШЗВ-60 УХЛ1</t>
        </is>
      </c>
      <c r="D56" s="249" t="inlineStr">
        <is>
          <t>шт.</t>
        </is>
      </c>
      <c r="E56" s="144" t="n">
        <v>7</v>
      </c>
      <c r="F56" s="249">
        <f>ROUND(I56/Прил.10!$D$14,2)</f>
        <v/>
      </c>
      <c r="G56" s="32">
        <f>ROUND(E56*F56,2)</f>
        <v/>
      </c>
      <c r="H56" s="255">
        <f>G56/$G$60</f>
        <v/>
      </c>
      <c r="I56" s="32" t="n">
        <v>138000</v>
      </c>
      <c r="J56" s="179">
        <f>ROUND(I56*E56,2)</f>
        <v/>
      </c>
    </row>
    <row r="57" outlineLevel="1" ht="25.5" customHeight="1">
      <c r="A57" s="249" t="n">
        <v>34</v>
      </c>
      <c r="B57" s="153" t="inlineStr">
        <is>
          <t>Прайс из СД ОП</t>
        </is>
      </c>
      <c r="C57" s="252" t="inlineStr">
        <is>
          <t>Коробка зажимов для цепей контроля давления элегаза с (WAGO) К3-11</t>
        </is>
      </c>
      <c r="D57" s="249" t="inlineStr">
        <is>
          <t>шт.</t>
        </is>
      </c>
      <c r="E57" s="144" t="n">
        <v>7</v>
      </c>
      <c r="F57" s="249">
        <f>ROUND(I57/Прил.10!$D$14,2)</f>
        <v/>
      </c>
      <c r="G57" s="32">
        <f>ROUND(E57*F57,2)</f>
        <v/>
      </c>
      <c r="H57" s="255">
        <f>G57/$G$60</f>
        <v/>
      </c>
      <c r="I57" s="32" t="n">
        <v>11013.28</v>
      </c>
      <c r="J57" s="179">
        <f>ROUND(I57*E57,2)</f>
        <v/>
      </c>
    </row>
    <row r="58" outlineLevel="1" ht="25.5" customHeight="1">
      <c r="A58" s="249" t="n">
        <v>35</v>
      </c>
      <c r="B58" s="153" t="inlineStr">
        <is>
          <t>Прайс из СД ОП</t>
        </is>
      </c>
      <c r="C58" s="252" t="inlineStr">
        <is>
          <t>Коробка зажимов для цепей тока с (КИ-10) К3-11-АСКУЭ</t>
        </is>
      </c>
      <c r="D58" s="249" t="inlineStr">
        <is>
          <t>шт.</t>
        </is>
      </c>
      <c r="E58" s="144" t="n">
        <v>7</v>
      </c>
      <c r="F58" s="249">
        <f>ROUND(I58/Прил.10!$D$14,2)</f>
        <v/>
      </c>
      <c r="G58" s="32">
        <f>ROUND(E58*F58,2)</f>
        <v/>
      </c>
      <c r="H58" s="255">
        <f>G58/$G$60</f>
        <v/>
      </c>
      <c r="I58" s="32" t="n">
        <v>5769.4</v>
      </c>
      <c r="J58" s="179">
        <f>ROUND(I58*E58,2)</f>
        <v/>
      </c>
    </row>
    <row r="59">
      <c r="A59" s="249" t="n"/>
      <c r="B59" s="249" t="n"/>
      <c r="C59" s="252" t="inlineStr">
        <is>
          <t>Итого прочее оборудование</t>
        </is>
      </c>
      <c r="D59" s="249" t="n"/>
      <c r="E59" s="253" t="n"/>
      <c r="F59" s="254" t="n"/>
      <c r="G59" s="32">
        <f>SUM(G56:G58)</f>
        <v/>
      </c>
      <c r="H59" s="255">
        <f>G59/$G$60</f>
        <v/>
      </c>
      <c r="I59" s="175" t="n"/>
      <c r="J59" s="32">
        <f>SUM(J56:J58)</f>
        <v/>
      </c>
    </row>
    <row r="60">
      <c r="A60" s="249" t="n"/>
      <c r="B60" s="249" t="n"/>
      <c r="C60" s="256" t="inlineStr">
        <is>
          <t>Итого по разделу «Оборудование»</t>
        </is>
      </c>
      <c r="D60" s="249" t="n"/>
      <c r="E60" s="253" t="n"/>
      <c r="F60" s="254" t="n"/>
      <c r="G60" s="32">
        <f>G59+G55</f>
        <v/>
      </c>
      <c r="H60" s="255">
        <f>G60/$G$60</f>
        <v/>
      </c>
      <c r="I60" s="175" t="n"/>
      <c r="J60" s="32">
        <f>J59+J55</f>
        <v/>
      </c>
    </row>
    <row r="61" ht="25.5" customHeight="1">
      <c r="A61" s="249" t="n"/>
      <c r="B61" s="249" t="n"/>
      <c r="C61" s="252" t="inlineStr">
        <is>
          <t>в том числе технологическое оборудование</t>
        </is>
      </c>
      <c r="D61" s="249" t="n"/>
      <c r="E61" s="144" t="n"/>
      <c r="F61" s="254" t="n"/>
      <c r="G61" s="32">
        <f>G60</f>
        <v/>
      </c>
      <c r="H61" s="255" t="n"/>
      <c r="I61" s="175" t="n"/>
      <c r="J61" s="32">
        <f>J60</f>
        <v/>
      </c>
    </row>
    <row r="62" ht="14.25" customFormat="1" customHeight="1" s="12">
      <c r="A62" s="249" t="n"/>
      <c r="B62" s="256" t="inlineStr">
        <is>
          <t xml:space="preserve">Материалы </t>
        </is>
      </c>
      <c r="C62" s="309" t="n"/>
      <c r="D62" s="309" t="n"/>
      <c r="E62" s="309" t="n"/>
      <c r="F62" s="309" t="n"/>
      <c r="G62" s="309" t="n"/>
      <c r="H62" s="309" t="n"/>
      <c r="I62" s="309" t="n"/>
      <c r="J62" s="310" t="n"/>
    </row>
    <row r="63" ht="14.25" customFormat="1" customHeight="1" s="12">
      <c r="A63" s="249" t="n"/>
      <c r="B63" s="252" t="inlineStr">
        <is>
          <t>Основные материалы</t>
        </is>
      </c>
      <c r="C63" s="309" t="n"/>
      <c r="D63" s="309" t="n"/>
      <c r="E63" s="309" t="n"/>
      <c r="F63" s="309" t="n"/>
      <c r="G63" s="309" t="n"/>
      <c r="H63" s="310" t="n"/>
      <c r="I63" s="173" t="n"/>
      <c r="J63" s="173" t="n"/>
    </row>
    <row r="64" ht="25.5" customFormat="1" customHeight="1" s="12">
      <c r="A64" s="249" t="n">
        <v>37</v>
      </c>
      <c r="B64" s="166" t="inlineStr">
        <is>
          <t>07.2.07.04-0003</t>
        </is>
      </c>
      <c r="C64" s="252" t="inlineStr">
        <is>
          <t>Конструкции стальные индивидуальные решетчатые сварные, масса 0,1-0,5 т</t>
        </is>
      </c>
      <c r="D64" s="249" t="inlineStr">
        <is>
          <t>т</t>
        </is>
      </c>
      <c r="E64" s="144" t="n">
        <v>3.0185</v>
      </c>
      <c r="F64" s="254" t="n">
        <v>10874.02</v>
      </c>
      <c r="G64" s="32">
        <f>ROUND(E64*F64,2)</f>
        <v/>
      </c>
      <c r="H64" s="174">
        <f>G64/$G$126</f>
        <v/>
      </c>
      <c r="I64" s="32">
        <f>ROUND(F64*Прил.10!$D$13,2)</f>
        <v/>
      </c>
      <c r="J64" s="32">
        <f>ROUND(I64*E64,2)</f>
        <v/>
      </c>
    </row>
    <row r="65" ht="25.5" customFormat="1" customHeight="1" s="12">
      <c r="A65" s="249" t="n">
        <v>38</v>
      </c>
      <c r="B65" s="253" t="inlineStr">
        <is>
          <t>05.1.05.16-0221</t>
        </is>
      </c>
      <c r="C65" s="252" t="inlineStr">
        <is>
          <t>Фундаменты сборные железобетонные ВЛ и ОРУ</t>
        </is>
      </c>
      <c r="D65" s="249" t="inlineStr">
        <is>
          <t>м3</t>
        </is>
      </c>
      <c r="E65" s="144" t="n">
        <v>14.18</v>
      </c>
      <c r="F65" s="254" t="n">
        <v>1597.37</v>
      </c>
      <c r="G65" s="32">
        <f>ROUND(E65*F65,2)</f>
        <v/>
      </c>
      <c r="H65" s="174">
        <f>G65/$G$126</f>
        <v/>
      </c>
      <c r="I65" s="32">
        <f>ROUND(F65*Прил.10!$D$13,2)</f>
        <v/>
      </c>
      <c r="J65" s="32">
        <f>ROUND(I65*E65,2)</f>
        <v/>
      </c>
    </row>
    <row r="66" ht="30.75" customFormat="1" customHeight="1" s="12">
      <c r="A66" s="249" t="n">
        <v>39</v>
      </c>
      <c r="B66" s="253" t="inlineStr">
        <is>
          <t>21.1.06.10-0411</t>
        </is>
      </c>
      <c r="C66" s="252" t="inlineStr">
        <is>
          <t>Кабель силовой с медными жилами ВВГнг(A)-LS 5х16мк(N, РЕ)-1000</t>
        </is>
      </c>
      <c r="D66" s="249" t="inlineStr">
        <is>
          <t>1000 м</t>
        </is>
      </c>
      <c r="E66" s="144">
        <f>0.009*3*7</f>
        <v/>
      </c>
      <c r="F66" s="254" t="n">
        <v>98440.41</v>
      </c>
      <c r="G66" s="32">
        <f>ROUND(E66*F66,2)</f>
        <v/>
      </c>
      <c r="H66" s="174">
        <f>G66/$G$126</f>
        <v/>
      </c>
      <c r="I66" s="32">
        <f>ROUND(F66*Прил.10!$D$13,2)</f>
        <v/>
      </c>
      <c r="J66" s="32">
        <f>ROUND(I66*E66,2)</f>
        <v/>
      </c>
    </row>
    <row r="67" ht="24.75" customFormat="1" customHeight="1" s="12">
      <c r="A67" s="249" t="n">
        <v>40</v>
      </c>
      <c r="B67" s="253" t="inlineStr">
        <is>
          <t>21.1.08.03-0574</t>
        </is>
      </c>
      <c r="C67" s="252" t="inlineStr">
        <is>
          <t>Кабель контрольный КВВГЭнг(А)-LS 4x2,5</t>
        </is>
      </c>
      <c r="D67" s="249" t="inlineStr">
        <is>
          <t>1000 м</t>
        </is>
      </c>
      <c r="E67" s="144">
        <f>0.016*3*7</f>
        <v/>
      </c>
      <c r="F67" s="254" t="n">
        <v>38348.22</v>
      </c>
      <c r="G67" s="32">
        <f>ROUND(E67*F67,2)</f>
        <v/>
      </c>
      <c r="H67" s="174">
        <f>G67/$G$126</f>
        <v/>
      </c>
      <c r="I67" s="32">
        <f>ROUND(F67*Прил.10!$D$13,2)</f>
        <v/>
      </c>
      <c r="J67" s="32">
        <f>ROUND(I67*E67,2)</f>
        <v/>
      </c>
    </row>
    <row r="68" ht="25.5" customFormat="1" customHeight="1" s="12">
      <c r="A68" s="249" t="n">
        <v>41</v>
      </c>
      <c r="B68" s="253" t="inlineStr">
        <is>
          <t>20.1.01.03-0005</t>
        </is>
      </c>
      <c r="C68" s="252" t="inlineStr">
        <is>
          <t>Зажим винтовой ЗВИ-150 16-35 мм2 12 пар</t>
        </is>
      </c>
      <c r="D68" s="249" t="inlineStr">
        <is>
          <t>шт.</t>
        </is>
      </c>
      <c r="E68" s="144" t="n">
        <v>176</v>
      </c>
      <c r="F68" s="254" t="n">
        <v>64.69</v>
      </c>
      <c r="G68" s="32">
        <f>ROUND(E68*F68,2)</f>
        <v/>
      </c>
      <c r="H68" s="174">
        <f>G68/$G$126</f>
        <v/>
      </c>
      <c r="I68" s="32">
        <f>ROUND(F68*Прил.10!$D$13,2)</f>
        <v/>
      </c>
      <c r="J68" s="32">
        <f>ROUND(I68*E68,2)</f>
        <v/>
      </c>
    </row>
    <row r="69" ht="135" customFormat="1" customHeight="1" s="12">
      <c r="A69" s="249" t="n">
        <v>42</v>
      </c>
      <c r="B69" s="253" t="inlineStr">
        <is>
          <t>01.2.03.03-0122</t>
        </is>
      </c>
      <c r="C69" s="252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9" s="249" t="inlineStr">
        <is>
          <t>кг</t>
        </is>
      </c>
      <c r="E69" s="144" t="n">
        <v>575.28</v>
      </c>
      <c r="F69" s="254" t="n">
        <v>13.91</v>
      </c>
      <c r="G69" s="32">
        <f>ROUND(E69*F69,2)</f>
        <v/>
      </c>
      <c r="H69" s="174">
        <f>G69/$G$126</f>
        <v/>
      </c>
      <c r="I69" s="32">
        <f>ROUND(F69*Прил.10!$D$13,2)</f>
        <v/>
      </c>
      <c r="J69" s="32">
        <f>ROUND(I69*E69,2)</f>
        <v/>
      </c>
    </row>
    <row r="70" outlineLevel="1" ht="38.25" customFormat="1" customHeight="1" s="12">
      <c r="A70" s="249" t="n">
        <v>43</v>
      </c>
      <c r="B70" s="253" t="inlineStr">
        <is>
          <t>05.1.01.10-0131</t>
        </is>
      </c>
      <c r="C70" s="252" t="inlineStr">
        <is>
          <t>Лотки каналов и тоннелей железобетонные для прокладки коммуникаций</t>
        </is>
      </c>
      <c r="D70" s="249" t="inlineStr">
        <is>
          <t>м3</t>
        </is>
      </c>
      <c r="E70" s="144">
        <f>0.28*7</f>
        <v/>
      </c>
      <c r="F70" s="254" t="n">
        <v>1837.28</v>
      </c>
      <c r="G70" s="32">
        <f>ROUND(E70*F70,2)</f>
        <v/>
      </c>
      <c r="H70" s="174">
        <f>G70/$G$126</f>
        <v/>
      </c>
      <c r="I70" s="32">
        <f>ROUND(F70*Прил.10!$D$13,2)</f>
        <v/>
      </c>
      <c r="J70" s="32">
        <f>ROUND(I70*E70,2)</f>
        <v/>
      </c>
    </row>
    <row r="71" outlineLevel="1" ht="63.75" customFormat="1" customHeight="1" s="12">
      <c r="A71" s="249" t="n">
        <v>44</v>
      </c>
      <c r="B71" s="253" t="inlineStr">
        <is>
          <t>21.2.01.02-0093</t>
        </is>
      </c>
      <c r="C71" s="252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240/32 мм2</t>
        </is>
      </c>
      <c r="D71" s="249" t="inlineStr">
        <is>
          <t>т</t>
        </is>
      </c>
      <c r="E71" s="144" t="n">
        <v>0.095162</v>
      </c>
      <c r="F71" s="254" t="n">
        <v>32752.18</v>
      </c>
      <c r="G71" s="32">
        <f>ROUND(E71*F71,2)</f>
        <v/>
      </c>
      <c r="H71" s="174">
        <f>G71/$G$126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49" t="n">
        <v>45</v>
      </c>
      <c r="B72" s="253" t="inlineStr">
        <is>
          <t>20.1.01.02-0064</t>
        </is>
      </c>
      <c r="C72" s="252" t="inlineStr">
        <is>
          <t>Зажим аппаратный прессуемый: А4А-240-2</t>
        </is>
      </c>
      <c r="D72" s="249" t="inlineStr">
        <is>
          <t>100 шт.</t>
        </is>
      </c>
      <c r="E72" s="144" t="n">
        <v>0.66</v>
      </c>
      <c r="F72" s="254" t="n">
        <v>3314</v>
      </c>
      <c r="G72" s="32">
        <f>E72*F72</f>
        <v/>
      </c>
      <c r="H72" s="174">
        <f>G72/$G$126</f>
        <v/>
      </c>
      <c r="I72" s="32">
        <f>ROUND(F72*Прил.10!$D$13,2)</f>
        <v/>
      </c>
      <c r="J72" s="32">
        <f>ROUND(I72*E72,2)</f>
        <v/>
      </c>
    </row>
    <row r="73" ht="24.75" customFormat="1" customHeight="1" s="12">
      <c r="A73" s="249" t="n"/>
      <c r="B73" s="249" t="n"/>
      <c r="C73" s="252" t="inlineStr">
        <is>
          <t>Итого основные материалы</t>
        </is>
      </c>
      <c r="D73" s="249" t="n"/>
      <c r="E73" s="144" t="n"/>
      <c r="F73" s="254" t="n"/>
      <c r="G73" s="32">
        <f>SUM(G64:G72)</f>
        <v/>
      </c>
      <c r="H73" s="255">
        <f>G73/$G$126</f>
        <v/>
      </c>
      <c r="I73" s="175" t="n"/>
      <c r="J73" s="32">
        <f>SUM(J64:J72)</f>
        <v/>
      </c>
    </row>
    <row r="74" outlineLevel="1" ht="25.5" customFormat="1" customHeight="1" s="12">
      <c r="A74" s="249" t="n">
        <v>46</v>
      </c>
      <c r="B74" s="253" t="inlineStr">
        <is>
          <t>20.1.01.11-0006</t>
        </is>
      </c>
      <c r="C74" s="252" t="inlineStr">
        <is>
          <t>Зажим: плашечный соединительный ПА 3-2</t>
        </is>
      </c>
      <c r="D74" s="249" t="inlineStr">
        <is>
          <t>шт</t>
        </is>
      </c>
      <c r="E74" s="144" t="n">
        <v>176</v>
      </c>
      <c r="F74" s="254" t="n">
        <v>12.24</v>
      </c>
      <c r="G74" s="32">
        <f>E74*F74</f>
        <v/>
      </c>
      <c r="H74" s="174">
        <f>G74/$G$126</f>
        <v/>
      </c>
      <c r="I74" s="32">
        <f>ROUND(F74*Прил.10!$D$13,2)</f>
        <v/>
      </c>
      <c r="J74" s="32">
        <f>ROUND(I74*E74,2)</f>
        <v/>
      </c>
    </row>
    <row r="75" outlineLevel="1" ht="14.25" customFormat="1" customHeight="1" s="12">
      <c r="A75" s="249" t="n">
        <v>47</v>
      </c>
      <c r="B75" s="253" t="inlineStr">
        <is>
          <t>01.7.15.03-0042</t>
        </is>
      </c>
      <c r="C75" s="252" t="inlineStr">
        <is>
          <t>Болты с гайками и шайбами строительные</t>
        </is>
      </c>
      <c r="D75" s="249" t="inlineStr">
        <is>
          <t>кг</t>
        </is>
      </c>
      <c r="E75" s="144" t="n">
        <v>206.369</v>
      </c>
      <c r="F75" s="254" t="n">
        <v>9.039999999999999</v>
      </c>
      <c r="G75" s="32">
        <f>ROUND(E75*F75,2)</f>
        <v/>
      </c>
      <c r="H75" s="174">
        <f>G75/$G$126</f>
        <v/>
      </c>
      <c r="I75" s="32">
        <f>ROUND(F75*Прил.10!$D$13,2)</f>
        <v/>
      </c>
      <c r="J75" s="32">
        <f>ROUND(I75*E75,2)</f>
        <v/>
      </c>
    </row>
    <row r="76" outlineLevel="1" ht="38.25" customFormat="1" customHeight="1" s="12">
      <c r="A76" s="249" t="n">
        <v>48</v>
      </c>
      <c r="B76" s="253" t="inlineStr">
        <is>
          <t>02.2.04.03-0012</t>
        </is>
      </c>
      <c r="C76" s="252" t="inlineStr">
        <is>
          <t>Смесь песчано-гравийная природная обогащенная с содержанием гравия: 25-35 %</t>
        </is>
      </c>
      <c r="D76" s="249" t="inlineStr">
        <is>
          <t>м3</t>
        </is>
      </c>
      <c r="E76" s="144" t="n">
        <v>20.7</v>
      </c>
      <c r="F76" s="254" t="n">
        <v>69.55</v>
      </c>
      <c r="G76" s="32">
        <f>ROUND(E76*F76,2)</f>
        <v/>
      </c>
      <c r="H76" s="174">
        <f>G76/$G$126</f>
        <v/>
      </c>
      <c r="I76" s="32">
        <f>ROUND(F76*Прил.10!$D$13,2)</f>
        <v/>
      </c>
      <c r="J76" s="32">
        <f>ROUND(I76*E76,2)</f>
        <v/>
      </c>
    </row>
    <row r="77" outlineLevel="1" ht="25.5" customFormat="1" customHeight="1" s="12">
      <c r="A77" s="249" t="n">
        <v>49</v>
      </c>
      <c r="B77" s="253" t="inlineStr">
        <is>
          <t>02.2.05.04-0056</t>
        </is>
      </c>
      <c r="C77" s="252" t="inlineStr">
        <is>
          <t>Щебень из гравия для строительных работ марка 1000, фракция 40-70 мм</t>
        </is>
      </c>
      <c r="D77" s="249" t="inlineStr">
        <is>
          <t>м3</t>
        </is>
      </c>
      <c r="E77" s="144" t="n">
        <v>10.74</v>
      </c>
      <c r="F77" s="254" t="n">
        <v>134.02</v>
      </c>
      <c r="G77" s="32">
        <f>ROUND(E77*F77,2)</f>
        <v/>
      </c>
      <c r="H77" s="174">
        <f>G77/$G$126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49" t="n">
        <v>50</v>
      </c>
      <c r="B78" s="253" t="inlineStr">
        <is>
          <t>01.7.17.11-0001</t>
        </is>
      </c>
      <c r="C78" s="252" t="inlineStr">
        <is>
          <t>Бумага шлифовальная</t>
        </is>
      </c>
      <c r="D78" s="249" t="inlineStr">
        <is>
          <t>кг</t>
        </is>
      </c>
      <c r="E78" s="144" t="n">
        <v>28</v>
      </c>
      <c r="F78" s="254" t="n">
        <v>50</v>
      </c>
      <c r="G78" s="32">
        <f>ROUND(E78*F78,2)</f>
        <v/>
      </c>
      <c r="H78" s="174">
        <f>G78/$G$126</f>
        <v/>
      </c>
      <c r="I78" s="32">
        <f>ROUND(F78*Прил.10!$D$13,2)</f>
        <v/>
      </c>
      <c r="J78" s="32">
        <f>ROUND(I78*E78,2)</f>
        <v/>
      </c>
    </row>
    <row r="79" outlineLevel="1" ht="25.5" customFormat="1" customHeight="1" s="12">
      <c r="A79" s="249" t="n">
        <v>51</v>
      </c>
      <c r="B79" s="253" t="inlineStr">
        <is>
          <t>04.1.02.05-0041</t>
        </is>
      </c>
      <c r="C79" s="252" t="inlineStr">
        <is>
          <t>Бетон тяжелый, крупность заполнителя: 20 мм, класс В10 (М150)</t>
        </is>
      </c>
      <c r="D79" s="249" t="inlineStr">
        <is>
          <t>м3</t>
        </is>
      </c>
      <c r="E79" s="144" t="n">
        <v>2.448</v>
      </c>
      <c r="F79" s="254" t="n">
        <v>542.24</v>
      </c>
      <c r="G79" s="32">
        <f>ROUND(E79*F79,2)</f>
        <v/>
      </c>
      <c r="H79" s="174">
        <f>G79/$G$126</f>
        <v/>
      </c>
      <c r="I79" s="32">
        <f>ROUND(F79*Прил.10!$D$13,2)</f>
        <v/>
      </c>
      <c r="J79" s="32">
        <f>ROUND(I79*E79,2)</f>
        <v/>
      </c>
    </row>
    <row r="80" outlineLevel="1" ht="14.25" customFormat="1" customHeight="1" s="12">
      <c r="A80" s="249" t="n">
        <v>52</v>
      </c>
      <c r="B80" s="253" t="inlineStr">
        <is>
          <t>20.2.08.05-0017</t>
        </is>
      </c>
      <c r="C80" s="252" t="inlineStr">
        <is>
          <t>Профиль монтажный</t>
        </is>
      </c>
      <c r="D80" s="249" t="inlineStr">
        <is>
          <t>шт</t>
        </is>
      </c>
      <c r="E80" s="144" t="n">
        <v>18</v>
      </c>
      <c r="F80" s="254" t="n">
        <v>66.81999999999999</v>
      </c>
      <c r="G80" s="32">
        <f>ROUND(E80*F80,2)</f>
        <v/>
      </c>
      <c r="H80" s="174">
        <f>G80/$G$126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49" t="n">
        <v>53</v>
      </c>
      <c r="B81" s="253" t="inlineStr">
        <is>
          <t>999-9950</t>
        </is>
      </c>
      <c r="C81" s="252" t="inlineStr">
        <is>
          <t>Вспомогательные ненормируемые ресурсы (2% от Оплаты труда рабочих)</t>
        </is>
      </c>
      <c r="D81" s="249" t="inlineStr">
        <is>
          <t>руб</t>
        </is>
      </c>
      <c r="E81" s="144" t="n">
        <v>985.3856</v>
      </c>
      <c r="F81" s="254" t="n">
        <v>1</v>
      </c>
      <c r="G81" s="32">
        <f>ROUND(E81*F81,2)</f>
        <v/>
      </c>
      <c r="H81" s="174">
        <f>G81/$G$126</f>
        <v/>
      </c>
      <c r="I81" s="32">
        <f>ROUND(F81*Прил.10!$D$13,2)</f>
        <v/>
      </c>
      <c r="J81" s="32">
        <f>ROUND(I81*E81,2)</f>
        <v/>
      </c>
    </row>
    <row r="82" outlineLevel="1" ht="25.5" customFormat="1" customHeight="1" s="12">
      <c r="A82" s="249" t="n">
        <v>54</v>
      </c>
      <c r="B82" s="253" t="inlineStr">
        <is>
          <t>02.2.05.04-1777</t>
        </is>
      </c>
      <c r="C82" s="252" t="inlineStr">
        <is>
          <t>Щебень М 800, фракция 20-40 мм, группа 2</t>
        </is>
      </c>
      <c r="D82" s="249" t="inlineStr">
        <is>
          <t>м3</t>
        </is>
      </c>
      <c r="E82" s="144">
        <f>1*1*7</f>
        <v/>
      </c>
      <c r="F82" s="254" t="n">
        <v>108.4</v>
      </c>
      <c r="G82" s="32">
        <f>ROUND(E82*F82,2)</f>
        <v/>
      </c>
      <c r="H82" s="174">
        <f>G82/$G$126</f>
        <v/>
      </c>
      <c r="I82" s="32">
        <f>ROUND(F82*Прил.10!$D$13,2)</f>
        <v/>
      </c>
      <c r="J82" s="32">
        <f>ROUND(I82*E82,2)</f>
        <v/>
      </c>
    </row>
    <row r="83" outlineLevel="1" ht="14.25" customFormat="1" customHeight="1" s="12">
      <c r="A83" s="249" t="n">
        <v>55</v>
      </c>
      <c r="B83" s="253" t="inlineStr">
        <is>
          <t>01.7.15.07-0014</t>
        </is>
      </c>
      <c r="C83" s="252" t="inlineStr">
        <is>
          <t>Дюбели распорные полипропиленовые</t>
        </is>
      </c>
      <c r="D83" s="249" t="inlineStr">
        <is>
          <t>100 шт</t>
        </is>
      </c>
      <c r="E83" s="144" t="n">
        <v>7.79</v>
      </c>
      <c r="F83" s="254" t="n">
        <v>86</v>
      </c>
      <c r="G83" s="32">
        <f>ROUND(E83*F83,2)</f>
        <v/>
      </c>
      <c r="H83" s="174">
        <f>G83/$G$126</f>
        <v/>
      </c>
      <c r="I83" s="32">
        <f>ROUND(F83*Прил.10!$D$13,2)</f>
        <v/>
      </c>
      <c r="J83" s="32">
        <f>ROUND(I83*E83,2)</f>
        <v/>
      </c>
    </row>
    <row r="84" outlineLevel="1" ht="25.5" customFormat="1" customHeight="1" s="12">
      <c r="A84" s="249" t="n">
        <v>56</v>
      </c>
      <c r="B84" s="253" t="inlineStr">
        <is>
          <t>08.3.07.01-0076</t>
        </is>
      </c>
      <c r="C84" s="252" t="inlineStr">
        <is>
          <t>Сталь полосовая, марка стали: Ст3сп шириной 50-200 мм толщиной 4-5 мм</t>
        </is>
      </c>
      <c r="D84" s="249" t="inlineStr">
        <is>
          <t>т</t>
        </is>
      </c>
      <c r="E84" s="144" t="n">
        <v>0.1263</v>
      </c>
      <c r="F84" s="254" t="n">
        <v>5000</v>
      </c>
      <c r="G84" s="32">
        <f>ROUND(E84*F84,2)</f>
        <v/>
      </c>
      <c r="H84" s="174">
        <f>G84/$G$126</f>
        <v/>
      </c>
      <c r="I84" s="32">
        <f>ROUND(F84*Прил.10!$D$13,2)</f>
        <v/>
      </c>
      <c r="J84" s="32">
        <f>ROUND(I84*E84,2)</f>
        <v/>
      </c>
    </row>
    <row r="85" outlineLevel="1" ht="14.25" customFormat="1" customHeight="1" s="12">
      <c r="A85" s="249" t="n">
        <v>57</v>
      </c>
      <c r="B85" s="253" t="inlineStr">
        <is>
          <t>62.1.04.09-0004</t>
        </is>
      </c>
      <c r="C85" s="252" t="inlineStr">
        <is>
          <t>Реле дифференциальные: Р-33 УХЛ4</t>
        </is>
      </c>
      <c r="D85" s="249" t="inlineStr">
        <is>
          <t>шт</t>
        </is>
      </c>
      <c r="E85" s="144" t="n">
        <v>4</v>
      </c>
      <c r="F85" s="254" t="n">
        <v>147.18</v>
      </c>
      <c r="G85" s="32">
        <f>E85*F85</f>
        <v/>
      </c>
      <c r="H85" s="174">
        <f>G85/$G$126</f>
        <v/>
      </c>
      <c r="I85" s="32">
        <f>ROUND(F85*Прил.10!$D$13,2)</f>
        <v/>
      </c>
      <c r="J85" s="32">
        <f>ROUND(I85*E85,2)</f>
        <v/>
      </c>
    </row>
    <row r="86" outlineLevel="1" ht="14.25" customFormat="1" customHeight="1" s="12">
      <c r="A86" s="249" t="n">
        <v>58</v>
      </c>
      <c r="B86" s="253" t="inlineStr">
        <is>
          <t>01.7.15.07-0031</t>
        </is>
      </c>
      <c r="C86" s="252" t="inlineStr">
        <is>
          <t>Дюбели распорные с гайкой</t>
        </is>
      </c>
      <c r="D86" s="249" t="inlineStr">
        <is>
          <t>100 шт</t>
        </is>
      </c>
      <c r="E86" s="144" t="n">
        <v>4.506</v>
      </c>
      <c r="F86" s="254" t="n">
        <v>110</v>
      </c>
      <c r="G86" s="32">
        <f>ROUND(E86*F86,2)</f>
        <v/>
      </c>
      <c r="H86" s="174">
        <f>G86/$G$126</f>
        <v/>
      </c>
      <c r="I86" s="32">
        <f>ROUND(F86*Прил.10!$D$13,2)</f>
        <v/>
      </c>
      <c r="J86" s="32">
        <f>ROUND(I86*E86,2)</f>
        <v/>
      </c>
    </row>
    <row r="87" outlineLevel="1" ht="25.5" customFormat="1" customHeight="1" s="12">
      <c r="A87" s="249" t="n">
        <v>59</v>
      </c>
      <c r="B87" s="253" t="inlineStr">
        <is>
          <t>03.2.01.01-0003</t>
        </is>
      </c>
      <c r="C87" s="252" t="inlineStr">
        <is>
          <t>Портландцемент общестроительного назначения бездобавочный, марки: 500</t>
        </is>
      </c>
      <c r="D87" s="249" t="inlineStr">
        <is>
          <t>т</t>
        </is>
      </c>
      <c r="E87" s="144" t="n">
        <v>1.0138</v>
      </c>
      <c r="F87" s="254" t="n">
        <v>480</v>
      </c>
      <c r="G87" s="32">
        <f>ROUND(E87*F87,2)</f>
        <v/>
      </c>
      <c r="H87" s="174">
        <f>G87/$G$126</f>
        <v/>
      </c>
      <c r="I87" s="32">
        <f>ROUND(F87*Прил.10!$D$13,2)</f>
        <v/>
      </c>
      <c r="J87" s="32">
        <f>ROUND(I87*E87,2)</f>
        <v/>
      </c>
    </row>
    <row r="88" outlineLevel="1" ht="25.5" customFormat="1" customHeight="1" s="12">
      <c r="A88" s="249" t="n">
        <v>60</v>
      </c>
      <c r="B88" s="253" t="inlineStr">
        <is>
          <t>01.7.15.05-0027</t>
        </is>
      </c>
      <c r="C88" s="252" t="inlineStr">
        <is>
          <t>Гайки шестигранные оцинкованные диаметр резьбы: 24 мм</t>
        </is>
      </c>
      <c r="D88" s="249" t="inlineStr">
        <is>
          <t>т</t>
        </is>
      </c>
      <c r="E88" s="144" t="n">
        <v>0.023616</v>
      </c>
      <c r="F88" s="254" t="n">
        <v>19978.06</v>
      </c>
      <c r="G88" s="32">
        <f>ROUND(E88*F88,2)</f>
        <v/>
      </c>
      <c r="H88" s="174">
        <f>G88/$G$126</f>
        <v/>
      </c>
      <c r="I88" s="32">
        <f>ROUND(F88*Прил.10!$D$13,2)</f>
        <v/>
      </c>
      <c r="J88" s="32">
        <f>ROUND(I88*E88,2)</f>
        <v/>
      </c>
    </row>
    <row r="89" outlineLevel="1" ht="14.25" customFormat="1" customHeight="1" s="12">
      <c r="A89" s="249" t="n">
        <v>61</v>
      </c>
      <c r="B89" s="253" t="inlineStr">
        <is>
          <t>14.4.02.09-0001</t>
        </is>
      </c>
      <c r="C89" s="252" t="inlineStr">
        <is>
          <t>Краска</t>
        </is>
      </c>
      <c r="D89" s="249" t="inlineStr">
        <is>
          <t>кг</t>
        </is>
      </c>
      <c r="E89" s="144" t="n">
        <v>15.058</v>
      </c>
      <c r="F89" s="254" t="n">
        <v>28.6</v>
      </c>
      <c r="G89" s="32">
        <f>ROUND(E89*F89,2)</f>
        <v/>
      </c>
      <c r="H89" s="174">
        <f>G89/$G$126</f>
        <v/>
      </c>
      <c r="I89" s="32">
        <f>ROUND(F89*Прил.10!$D$13,2)</f>
        <v/>
      </c>
      <c r="J89" s="32">
        <f>ROUND(I89*E89,2)</f>
        <v/>
      </c>
    </row>
    <row r="90" outlineLevel="1" ht="14.25" customFormat="1" customHeight="1" s="12">
      <c r="A90" s="249" t="n">
        <v>62</v>
      </c>
      <c r="B90" s="253" t="inlineStr">
        <is>
          <t>01.7.15.11-0052</t>
        </is>
      </c>
      <c r="C90" s="252" t="inlineStr">
        <is>
          <t>Шайбы оцинкованные, диаметр: 24 мм</t>
        </is>
      </c>
      <c r="D90" s="249" t="inlineStr">
        <is>
          <t>кг</t>
        </is>
      </c>
      <c r="E90" s="144" t="n">
        <v>13.344</v>
      </c>
      <c r="F90" s="254" t="n">
        <v>28.45</v>
      </c>
      <c r="G90" s="32">
        <f>ROUND(E90*F90,2)</f>
        <v/>
      </c>
      <c r="H90" s="174">
        <f>G90/$G$126</f>
        <v/>
      </c>
      <c r="I90" s="32">
        <f>ROUND(F90*Прил.10!$D$13,2)</f>
        <v/>
      </c>
      <c r="J90" s="32">
        <f>ROUND(I90*E90,2)</f>
        <v/>
      </c>
    </row>
    <row r="91" outlineLevel="1" ht="14.25" customFormat="1" customHeight="1" s="12">
      <c r="A91" s="249" t="n">
        <v>63</v>
      </c>
      <c r="B91" s="253" t="inlineStr">
        <is>
          <t>01.7.11.07-0034</t>
        </is>
      </c>
      <c r="C91" s="252" t="inlineStr">
        <is>
          <t>Электроды диаметром: 4 мм Э42А</t>
        </is>
      </c>
      <c r="D91" s="249" t="inlineStr">
        <is>
          <t>кг</t>
        </is>
      </c>
      <c r="E91" s="144" t="n">
        <v>32.9134</v>
      </c>
      <c r="F91" s="254" t="n">
        <v>10.57</v>
      </c>
      <c r="G91" s="32">
        <f>ROUND(E91*F91,2)</f>
        <v/>
      </c>
      <c r="H91" s="174">
        <f>G91/$G$126</f>
        <v/>
      </c>
      <c r="I91" s="32">
        <f>ROUND(F91*Прил.10!$D$13,2)</f>
        <v/>
      </c>
      <c r="J91" s="32">
        <f>ROUND(I91*E91,2)</f>
        <v/>
      </c>
    </row>
    <row r="92" outlineLevel="1" ht="25.5" customFormat="1" customHeight="1" s="12">
      <c r="A92" s="249" t="n">
        <v>64</v>
      </c>
      <c r="B92" s="253" t="inlineStr">
        <is>
          <t>08.3.08.02-0091</t>
        </is>
      </c>
      <c r="C92" s="252" t="inlineStr">
        <is>
          <t>Сталь угловая, марки Ст3, перфорированная УП 35х35 мм</t>
        </is>
      </c>
      <c r="D92" s="249" t="inlineStr">
        <is>
          <t>м</t>
        </is>
      </c>
      <c r="E92" s="144" t="n">
        <v>17.1</v>
      </c>
      <c r="F92" s="254" t="n">
        <v>15.13</v>
      </c>
      <c r="G92" s="32">
        <f>ROUND(E92*F92,2)</f>
        <v/>
      </c>
      <c r="H92" s="174">
        <f>G92/$G$126</f>
        <v/>
      </c>
      <c r="I92" s="32">
        <f>ROUND(F92*Прил.10!$D$13,2)</f>
        <v/>
      </c>
      <c r="J92" s="32">
        <f>ROUND(I92*E92,2)</f>
        <v/>
      </c>
    </row>
    <row r="93" outlineLevel="1" ht="14.25" customFormat="1" customHeight="1" s="12">
      <c r="A93" s="249" t="n">
        <v>65</v>
      </c>
      <c r="B93" s="253" t="inlineStr">
        <is>
          <t>01.3.02.08-0001</t>
        </is>
      </c>
      <c r="C93" s="252" t="inlineStr">
        <is>
          <t>Кислород технический: газообразный</t>
        </is>
      </c>
      <c r="D93" s="249" t="inlineStr">
        <is>
          <t>м3</t>
        </is>
      </c>
      <c r="E93" s="144" t="n">
        <v>33.3971</v>
      </c>
      <c r="F93" s="254" t="n">
        <v>6.22</v>
      </c>
      <c r="G93" s="32">
        <f>ROUND(E93*F93,2)</f>
        <v/>
      </c>
      <c r="H93" s="174">
        <f>G93/$G$126</f>
        <v/>
      </c>
      <c r="I93" s="32">
        <f>ROUND(F93*Прил.10!$D$13,2)</f>
        <v/>
      </c>
      <c r="J93" s="32">
        <f>ROUND(I93*E93,2)</f>
        <v/>
      </c>
    </row>
    <row r="94" outlineLevel="1" ht="14.25" customFormat="1" customHeight="1" s="12">
      <c r="A94" s="249" t="n">
        <v>66</v>
      </c>
      <c r="B94" s="253" t="inlineStr">
        <is>
          <t>01.3.02.03-0001</t>
        </is>
      </c>
      <c r="C94" s="252" t="inlineStr">
        <is>
          <t>Ацетилен газообразный технический</t>
        </is>
      </c>
      <c r="D94" s="249" t="inlineStr">
        <is>
          <t>м3</t>
        </is>
      </c>
      <c r="E94" s="144" t="n">
        <v>4.3412</v>
      </c>
      <c r="F94" s="254" t="n">
        <v>38.51</v>
      </c>
      <c r="G94" s="32">
        <f>ROUND(E94*F94,2)</f>
        <v/>
      </c>
      <c r="H94" s="174">
        <f>G94/$G$126</f>
        <v/>
      </c>
      <c r="I94" s="32">
        <f>ROUND(F94*Прил.10!$D$13,2)</f>
        <v/>
      </c>
      <c r="J94" s="32">
        <f>ROUND(I94*E94,2)</f>
        <v/>
      </c>
    </row>
    <row r="95" outlineLevel="1" ht="14.25" customFormat="1" customHeight="1" s="12">
      <c r="A95" s="249" t="n">
        <v>67</v>
      </c>
      <c r="B95" s="253" t="inlineStr">
        <is>
          <t>25.2.01.01-0001</t>
        </is>
      </c>
      <c r="C95" s="252" t="inlineStr">
        <is>
          <t>Бирки-оконцеватели</t>
        </is>
      </c>
      <c r="D95" s="249" t="inlineStr">
        <is>
          <t>100 шт</t>
        </is>
      </c>
      <c r="E95" s="144" t="n">
        <v>2.52</v>
      </c>
      <c r="F95" s="254" t="n">
        <v>63</v>
      </c>
      <c r="G95" s="32">
        <f>E95*F95</f>
        <v/>
      </c>
      <c r="H95" s="174">
        <f>G95/$G$126</f>
        <v/>
      </c>
      <c r="I95" s="32">
        <f>ROUND(F95*Прил.10!$D$13,2)</f>
        <v/>
      </c>
      <c r="J95" s="32">
        <f>ROUND(I95*E95,2)</f>
        <v/>
      </c>
    </row>
    <row r="96" outlineLevel="1" ht="14.25" customFormat="1" customHeight="1" s="12">
      <c r="A96" s="249" t="n">
        <v>68</v>
      </c>
      <c r="B96" s="253" t="inlineStr">
        <is>
          <t>14.4.02.09-0301</t>
        </is>
      </c>
      <c r="C96" s="252" t="inlineStr">
        <is>
          <t>Краска "Цинол"</t>
        </is>
      </c>
      <c r="D96" s="249" t="inlineStr">
        <is>
          <t>кг</t>
        </is>
      </c>
      <c r="E96" s="144" t="n">
        <v>0.644</v>
      </c>
      <c r="F96" s="254" t="n">
        <v>238.48</v>
      </c>
      <c r="G96" s="32">
        <f>ROUND(E96*F96,2)</f>
        <v/>
      </c>
      <c r="H96" s="174">
        <f>G96/$G$126</f>
        <v/>
      </c>
      <c r="I96" s="32">
        <f>ROUND(F96*Прил.10!$D$13,2)</f>
        <v/>
      </c>
      <c r="J96" s="32">
        <f>ROUND(I96*E96,2)</f>
        <v/>
      </c>
    </row>
    <row r="97" outlineLevel="1" ht="25.5" customFormat="1" customHeight="1" s="12">
      <c r="A97" s="249" t="n">
        <v>69</v>
      </c>
      <c r="B97" s="253" t="inlineStr">
        <is>
          <t>04.3.01.09-0014</t>
        </is>
      </c>
      <c r="C97" s="252" t="inlineStr">
        <is>
          <t>Раствор готовый кладочный цементный марки: 100</t>
        </is>
      </c>
      <c r="D97" s="249" t="inlineStr">
        <is>
          <t>м3</t>
        </is>
      </c>
      <c r="E97" s="144" t="n">
        <v>0.25857</v>
      </c>
      <c r="F97" s="254" t="n">
        <v>519.8</v>
      </c>
      <c r="G97" s="32">
        <f>ROUND(E97*F97,2)</f>
        <v/>
      </c>
      <c r="H97" s="174">
        <f>G97/$G$126</f>
        <v/>
      </c>
      <c r="I97" s="32">
        <f>ROUND(F97*Прил.10!$D$13,2)</f>
        <v/>
      </c>
      <c r="J97" s="32">
        <f>ROUND(I97*E97,2)</f>
        <v/>
      </c>
    </row>
    <row r="98" outlineLevel="1" ht="14.25" customFormat="1" customHeight="1" s="12">
      <c r="A98" s="249" t="n">
        <v>70</v>
      </c>
      <c r="B98" s="253" t="inlineStr">
        <is>
          <t>20.1.02.14-0001</t>
        </is>
      </c>
      <c r="C98" s="252" t="inlineStr">
        <is>
          <t>Серьга</t>
        </is>
      </c>
      <c r="D98" s="249" t="inlineStr">
        <is>
          <t>шт</t>
        </is>
      </c>
      <c r="E98" s="144" t="n">
        <v>10.8</v>
      </c>
      <c r="F98" s="254" t="n">
        <v>10.54</v>
      </c>
      <c r="G98" s="32">
        <f>ROUND(E98*F98,2)</f>
        <v/>
      </c>
      <c r="H98" s="174">
        <f>G98/$G$126</f>
        <v/>
      </c>
      <c r="I98" s="32">
        <f>ROUND(F98*Прил.10!$D$13,2)</f>
        <v/>
      </c>
      <c r="J98" s="32">
        <f>ROUND(I98*E98,2)</f>
        <v/>
      </c>
    </row>
    <row r="99" outlineLevel="1" ht="25.5" customFormat="1" customHeight="1" s="12">
      <c r="A99" s="249" t="n">
        <v>71</v>
      </c>
      <c r="B99" s="253" t="inlineStr">
        <is>
          <t>01.3.01.06-0050</t>
        </is>
      </c>
      <c r="C99" s="252" t="inlineStr">
        <is>
          <t>Смазка универсальная тугоплавкая УТ (консталин жировой)</t>
        </is>
      </c>
      <c r="D99" s="249" t="inlineStr">
        <is>
          <t>т</t>
        </is>
      </c>
      <c r="E99" s="144" t="n">
        <v>0.0062</v>
      </c>
      <c r="F99" s="254" t="n">
        <v>17500</v>
      </c>
      <c r="G99" s="32">
        <f>ROUND(E99*F99,2)</f>
        <v/>
      </c>
      <c r="H99" s="174">
        <f>G99/$G$126</f>
        <v/>
      </c>
      <c r="I99" s="32">
        <f>ROUND(F99*Прил.10!$D$13,2)</f>
        <v/>
      </c>
      <c r="J99" s="32">
        <f>ROUND(I99*E99,2)</f>
        <v/>
      </c>
    </row>
    <row r="100" outlineLevel="1" ht="25.5" customFormat="1" customHeight="1" s="12">
      <c r="A100" s="249" t="n">
        <v>72</v>
      </c>
      <c r="B100" s="253" t="inlineStr">
        <is>
          <t>08.3.05.02-0052</t>
        </is>
      </c>
      <c r="C100" s="252" t="inlineStr">
        <is>
          <t>Сталь листовая горячекатаная марки Ст3 толщиной: 2-6 мм</t>
        </is>
      </c>
      <c r="D100" s="249" t="inlineStr">
        <is>
          <t>т</t>
        </is>
      </c>
      <c r="E100" s="144" t="n">
        <v>0.018</v>
      </c>
      <c r="F100" s="254" t="n">
        <v>5941.89</v>
      </c>
      <c r="G100" s="32">
        <f>ROUND(E100*F100,2)</f>
        <v/>
      </c>
      <c r="H100" s="174">
        <f>G100/$G$126</f>
        <v/>
      </c>
      <c r="I100" s="32">
        <f>ROUND(F100*Прил.10!$D$13,2)</f>
        <v/>
      </c>
      <c r="J100" s="32">
        <f>ROUND(I100*E100,2)</f>
        <v/>
      </c>
    </row>
    <row r="101" outlineLevel="1" ht="14.25" customFormat="1" customHeight="1" s="12">
      <c r="A101" s="249" t="n">
        <v>73</v>
      </c>
      <c r="B101" s="253" t="inlineStr">
        <is>
          <t>01.7.20.08-0031</t>
        </is>
      </c>
      <c r="C101" s="252" t="inlineStr">
        <is>
          <t>Бязь суровая арт. 6804</t>
        </is>
      </c>
      <c r="D101" s="249" t="inlineStr">
        <is>
          <t>10 м2</t>
        </is>
      </c>
      <c r="E101" s="144" t="n">
        <v>1.092</v>
      </c>
      <c r="F101" s="254" t="n">
        <v>79.09999999999999</v>
      </c>
      <c r="G101" s="32">
        <f>ROUND(E101*F101,2)</f>
        <v/>
      </c>
      <c r="H101" s="174">
        <f>G101/$G$126</f>
        <v/>
      </c>
      <c r="I101" s="32">
        <f>ROUND(F101*Прил.10!$D$13,2)</f>
        <v/>
      </c>
      <c r="J101" s="32">
        <f>ROUND(I101*E101,2)</f>
        <v/>
      </c>
    </row>
    <row r="102" outlineLevel="1" ht="25.5" customFormat="1" customHeight="1" s="12">
      <c r="A102" s="249" t="n">
        <v>74</v>
      </c>
      <c r="B102" s="253" t="inlineStr">
        <is>
          <t>20.3.02.12-0002</t>
        </is>
      </c>
      <c r="C102" s="252" t="inlineStr">
        <is>
          <t>Лампа энергосберегающая: Camelion LH-11W</t>
        </is>
      </c>
      <c r="D102" s="249" t="inlineStr">
        <is>
          <t>шт</t>
        </is>
      </c>
      <c r="E102" s="144" t="n">
        <v>4</v>
      </c>
      <c r="F102" s="254" t="n">
        <v>18.46</v>
      </c>
      <c r="G102" s="32">
        <f>ROUND(E102*F102,2)</f>
        <v/>
      </c>
      <c r="H102" s="174">
        <f>G102/$G$126</f>
        <v/>
      </c>
      <c r="I102" s="32">
        <f>ROUND(F102*Прил.10!$D$13,2)</f>
        <v/>
      </c>
      <c r="J102" s="32">
        <f>ROUND(I102*E102,2)</f>
        <v/>
      </c>
    </row>
    <row r="103" outlineLevel="1" ht="25.5" customFormat="1" customHeight="1" s="12">
      <c r="A103" s="249" t="n">
        <v>75</v>
      </c>
      <c r="B103" s="253" t="inlineStr">
        <is>
          <t>02.3.01.02-0020</t>
        </is>
      </c>
      <c r="C103" s="252" t="inlineStr">
        <is>
          <t>Песок природный для строительных: растворов средний</t>
        </is>
      </c>
      <c r="D103" s="249" t="inlineStr">
        <is>
          <t>м3</t>
        </is>
      </c>
      <c r="E103" s="144" t="n">
        <v>0.8448</v>
      </c>
      <c r="F103" s="254" t="n">
        <v>59.99</v>
      </c>
      <c r="G103" s="32">
        <f>ROUND(E103*F103,2)</f>
        <v/>
      </c>
      <c r="H103" s="174">
        <f>G103/$G$126</f>
        <v/>
      </c>
      <c r="I103" s="32">
        <f>ROUND(F103*Прил.10!$D$13,2)</f>
        <v/>
      </c>
      <c r="J103" s="32">
        <f>ROUND(I103*E103,2)</f>
        <v/>
      </c>
    </row>
    <row r="104" outlineLevel="1" ht="14.25" customFormat="1" customHeight="1" s="12">
      <c r="A104" s="249" t="n">
        <v>76</v>
      </c>
      <c r="B104" s="253" t="inlineStr">
        <is>
          <t>20.1.02.23-0082</t>
        </is>
      </c>
      <c r="C104" s="252" t="inlineStr">
        <is>
          <t>Перемычки гибкие, тип ПГС-50</t>
        </is>
      </c>
      <c r="D104" s="249" t="inlineStr">
        <is>
          <t>10 шт.</t>
        </is>
      </c>
      <c r="E104" s="144" t="n">
        <v>1.1</v>
      </c>
      <c r="F104" s="254" t="n">
        <v>39</v>
      </c>
      <c r="G104" s="32">
        <f>ROUND(E104*F104,2)</f>
        <v/>
      </c>
      <c r="H104" s="174">
        <f>G104/$G$126</f>
        <v/>
      </c>
      <c r="I104" s="32">
        <f>ROUND(F104*Прил.10!$D$13,2)</f>
        <v/>
      </c>
      <c r="J104" s="32">
        <f>ROUND(I104*E104,2)</f>
        <v/>
      </c>
    </row>
    <row r="105" outlineLevel="1" ht="14.25" customFormat="1" customHeight="1" s="12">
      <c r="A105" s="249" t="n">
        <v>77</v>
      </c>
      <c r="B105" s="253" t="inlineStr">
        <is>
          <t>14.5.09.11-0101</t>
        </is>
      </c>
      <c r="C105" s="252" t="inlineStr">
        <is>
          <t>Уайт-спирит</t>
        </is>
      </c>
      <c r="D105" s="249" t="inlineStr">
        <is>
          <t>т</t>
        </is>
      </c>
      <c r="E105" s="144" t="n">
        <v>0.0061</v>
      </c>
      <c r="F105" s="254" t="n">
        <v>6667</v>
      </c>
      <c r="G105" s="32">
        <f>ROUND(E105*F105,2)</f>
        <v/>
      </c>
      <c r="H105" s="174">
        <f>G105/$G$126</f>
        <v/>
      </c>
      <c r="I105" s="32">
        <f>ROUND(F105*Прил.10!$D$13,2)</f>
        <v/>
      </c>
      <c r="J105" s="32">
        <f>ROUND(I105*E105,2)</f>
        <v/>
      </c>
    </row>
    <row r="106" outlineLevel="1" ht="14.25" customFormat="1" customHeight="1" s="12">
      <c r="A106" s="249" t="n">
        <v>78</v>
      </c>
      <c r="B106" s="253" t="inlineStr">
        <is>
          <t>01.7.11.07-0032</t>
        </is>
      </c>
      <c r="C106" s="252" t="inlineStr">
        <is>
          <t>Электроды диаметром: 4 мм Э42</t>
        </is>
      </c>
      <c r="D106" s="249" t="inlineStr">
        <is>
          <t>т</t>
        </is>
      </c>
      <c r="E106" s="144" t="n">
        <v>0.0035</v>
      </c>
      <c r="F106" s="254" t="n">
        <v>10315.01</v>
      </c>
      <c r="G106" s="32">
        <f>ROUND(E106*F106,2)</f>
        <v/>
      </c>
      <c r="H106" s="174">
        <f>G106/$G$126</f>
        <v/>
      </c>
      <c r="I106" s="32">
        <f>ROUND(F106*Прил.10!$D$13,2)</f>
        <v/>
      </c>
      <c r="J106" s="32">
        <f>ROUND(I106*E106,2)</f>
        <v/>
      </c>
    </row>
    <row r="107" outlineLevel="1" ht="38.25" customFormat="1" customHeight="1" s="12">
      <c r="A107" s="249" t="n">
        <v>79</v>
      </c>
      <c r="B107" s="253" t="inlineStr">
        <is>
          <t>01.7.06.05-0041</t>
        </is>
      </c>
      <c r="C107" s="252" t="inlineStr">
        <is>
          <t>Лента изоляционная прорезиненная односторонняя ширина 20 мм, толщина 0,25-0,35 мм</t>
        </is>
      </c>
      <c r="D107" s="249" t="inlineStr">
        <is>
          <t>кг</t>
        </is>
      </c>
      <c r="E107" s="144" t="n">
        <v>0.944</v>
      </c>
      <c r="F107" s="254" t="n">
        <v>30.4</v>
      </c>
      <c r="G107" s="32">
        <f>ROUND(E107*F107,2)</f>
        <v/>
      </c>
      <c r="H107" s="174">
        <f>G107/$G$126</f>
        <v/>
      </c>
      <c r="I107" s="32">
        <f>ROUND(F107*Прил.10!$D$13,2)</f>
        <v/>
      </c>
      <c r="J107" s="32">
        <f>ROUND(I107*E107,2)</f>
        <v/>
      </c>
    </row>
    <row r="108" outlineLevel="1" ht="25.5" customFormat="1" customHeight="1" s="12">
      <c r="A108" s="249" t="n">
        <v>80</v>
      </c>
      <c r="B108" s="253" t="inlineStr">
        <is>
          <t>01.7.07.12-0024</t>
        </is>
      </c>
      <c r="C108" s="252" t="inlineStr">
        <is>
          <t>Пленка полиэтиленовая толщиной: 0,15 мм</t>
        </is>
      </c>
      <c r="D108" s="249" t="inlineStr">
        <is>
          <t>м2</t>
        </is>
      </c>
      <c r="E108" s="144" t="n">
        <v>6</v>
      </c>
      <c r="F108" s="254" t="n">
        <v>3.62</v>
      </c>
      <c r="G108" s="32">
        <f>ROUND(E108*F108,2)</f>
        <v/>
      </c>
      <c r="H108" s="174">
        <f>G108/$G$126</f>
        <v/>
      </c>
      <c r="I108" s="32">
        <f>ROUND(F108*Прил.10!$D$13,2)</f>
        <v/>
      </c>
      <c r="J108" s="32">
        <f>ROUND(I108*E108,2)</f>
        <v/>
      </c>
    </row>
    <row r="109" outlineLevel="1" ht="14.25" customFormat="1" customHeight="1" s="12">
      <c r="A109" s="249" t="n">
        <v>81</v>
      </c>
      <c r="B109" s="253" t="inlineStr">
        <is>
          <t>01.3.01.02-0002</t>
        </is>
      </c>
      <c r="C109" s="252" t="inlineStr">
        <is>
          <t>Вазелин технический</t>
        </is>
      </c>
      <c r="D109" s="249" t="inlineStr">
        <is>
          <t>кг</t>
        </is>
      </c>
      <c r="E109" s="144" t="n">
        <v>0.472</v>
      </c>
      <c r="F109" s="254" t="n">
        <v>44.97</v>
      </c>
      <c r="G109" s="32">
        <f>ROUND(E109*F109,2)</f>
        <v/>
      </c>
      <c r="H109" s="174">
        <f>G109/$G$126</f>
        <v/>
      </c>
      <c r="I109" s="32">
        <f>ROUND(F109*Прил.10!$D$13,2)</f>
        <v/>
      </c>
      <c r="J109" s="32">
        <f>ROUND(I109*E109,2)</f>
        <v/>
      </c>
    </row>
    <row r="110" outlineLevel="1" ht="14.25" customFormat="1" customHeight="1" s="12">
      <c r="A110" s="249" t="n">
        <v>82</v>
      </c>
      <c r="B110" s="253" t="inlineStr">
        <is>
          <t>14.4.03.17-0011</t>
        </is>
      </c>
      <c r="C110" s="252" t="inlineStr">
        <is>
          <t>Лак электроизоляционный 318</t>
        </is>
      </c>
      <c r="D110" s="249" t="inlineStr">
        <is>
          <t>кг</t>
        </is>
      </c>
      <c r="E110" s="144" t="n">
        <v>0.472</v>
      </c>
      <c r="F110" s="254" t="n">
        <v>35.63</v>
      </c>
      <c r="G110" s="32">
        <f>ROUND(E110*F110,2)</f>
        <v/>
      </c>
      <c r="H110" s="174">
        <f>G110/$G$126</f>
        <v/>
      </c>
      <c r="I110" s="32">
        <f>ROUND(F110*Прил.10!$D$13,2)</f>
        <v/>
      </c>
      <c r="J110" s="32">
        <f>ROUND(I110*E110,2)</f>
        <v/>
      </c>
    </row>
    <row r="111" outlineLevel="1" ht="14.25" customFormat="1" customHeight="1" s="12">
      <c r="A111" s="249" t="n">
        <v>83</v>
      </c>
      <c r="B111" s="253" t="inlineStr">
        <is>
          <t>01.7.15.14-0043</t>
        </is>
      </c>
      <c r="C111" s="252" t="inlineStr">
        <is>
          <t>Шуруп самонарезающий: (LN) 3,5/11 мм</t>
        </is>
      </c>
      <c r="D111" s="249" t="inlineStr">
        <is>
          <t>100 шт</t>
        </is>
      </c>
      <c r="E111" s="144" t="n">
        <v>7.528</v>
      </c>
      <c r="F111" s="254" t="n">
        <v>2</v>
      </c>
      <c r="G111" s="32">
        <f>ROUND(E111*F111,2)</f>
        <v/>
      </c>
      <c r="H111" s="174">
        <f>G111/$G$126</f>
        <v/>
      </c>
      <c r="I111" s="32">
        <f>ROUND(F111*Прил.10!$D$13,2)</f>
        <v/>
      </c>
      <c r="J111" s="32">
        <f>ROUND(I111*E111,2)</f>
        <v/>
      </c>
    </row>
    <row r="112" outlineLevel="1" ht="14.25" customFormat="1" customHeight="1" s="12">
      <c r="A112" s="249" t="n">
        <v>84</v>
      </c>
      <c r="B112" s="253" t="inlineStr">
        <is>
          <t>14.4.04.09-0017</t>
        </is>
      </c>
      <c r="C112" s="252" t="inlineStr">
        <is>
          <t>Эмаль ХВ-124 защитная, зеленая</t>
        </is>
      </c>
      <c r="D112" s="249" t="inlineStr">
        <is>
          <t>т</t>
        </is>
      </c>
      <c r="E112" s="144" t="n">
        <v>0.0005</v>
      </c>
      <c r="F112" s="254" t="n">
        <v>28300.4</v>
      </c>
      <c r="G112" s="32">
        <f>ROUND(E112*F112,2)</f>
        <v/>
      </c>
      <c r="H112" s="174">
        <f>G112/$G$126</f>
        <v/>
      </c>
      <c r="I112" s="32">
        <f>ROUND(F112*Прил.10!$D$13,2)</f>
        <v/>
      </c>
      <c r="J112" s="32">
        <f>ROUND(I112*E112,2)</f>
        <v/>
      </c>
    </row>
    <row r="113" outlineLevel="1" ht="14.25" customFormat="1" customHeight="1" s="12">
      <c r="A113" s="249" t="n">
        <v>85</v>
      </c>
      <c r="B113" s="253" t="inlineStr">
        <is>
          <t>20.2.09.13-0011</t>
        </is>
      </c>
      <c r="C113" s="252" t="inlineStr">
        <is>
          <t>Муфта</t>
        </is>
      </c>
      <c r="D113" s="249" t="inlineStr">
        <is>
          <t>шт</t>
        </is>
      </c>
      <c r="E113" s="144" t="n">
        <v>2.16</v>
      </c>
      <c r="F113" s="254" t="n">
        <v>5</v>
      </c>
      <c r="G113" s="32">
        <f>ROUND(E113*F113,2)</f>
        <v/>
      </c>
      <c r="H113" s="174">
        <f>G113/$G$126</f>
        <v/>
      </c>
      <c r="I113" s="32">
        <f>ROUND(F113*Прил.10!$D$13,2)</f>
        <v/>
      </c>
      <c r="J113" s="32">
        <f>ROUND(I113*E113,2)</f>
        <v/>
      </c>
    </row>
    <row r="114" outlineLevel="1" ht="14.25" customFormat="1" customHeight="1" s="12">
      <c r="A114" s="249" t="n">
        <v>86</v>
      </c>
      <c r="B114" s="253" t="inlineStr">
        <is>
          <t>01.7.15.07-0007</t>
        </is>
      </c>
      <c r="C114" s="252" t="inlineStr">
        <is>
          <t>Дюбели пластмассовые диаметр 14 мм</t>
        </is>
      </c>
      <c r="D114" s="249" t="inlineStr">
        <is>
          <t>100 шт</t>
        </is>
      </c>
      <c r="E114" s="144" t="n">
        <v>0.36</v>
      </c>
      <c r="F114" s="254" t="n">
        <v>26.6</v>
      </c>
      <c r="G114" s="32">
        <f>ROUND(E114*F114,2)</f>
        <v/>
      </c>
      <c r="H114" s="174">
        <f>G114/$G$126</f>
        <v/>
      </c>
      <c r="I114" s="32">
        <f>ROUND(F114*Прил.10!$D$13,2)</f>
        <v/>
      </c>
      <c r="J114" s="32">
        <f>ROUND(I114*E114,2)</f>
        <v/>
      </c>
    </row>
    <row r="115" outlineLevel="1" ht="38.25" customFormat="1" customHeight="1" s="12">
      <c r="A115" s="249" t="n">
        <v>87</v>
      </c>
      <c r="B115" s="253" t="inlineStr">
        <is>
          <t>11.1.03.06-0087</t>
        </is>
      </c>
      <c r="C115" s="252" t="inlineStr">
        <is>
          <t>Доски обрезные хвойных пород длиной: 4-6,5 м, шириной 75-150 мм, толщиной 25 мм, III сорта</t>
        </is>
      </c>
      <c r="D115" s="249" t="inlineStr">
        <is>
          <t>м3</t>
        </is>
      </c>
      <c r="E115" s="144" t="n">
        <v>0.0081</v>
      </c>
      <c r="F115" s="254" t="n">
        <v>1100</v>
      </c>
      <c r="G115" s="32">
        <f>ROUND(E115*F115,2)</f>
        <v/>
      </c>
      <c r="H115" s="174">
        <f>G115/$G$126</f>
        <v/>
      </c>
      <c r="I115" s="32">
        <f>ROUND(F115*Прил.10!$D$13,2)</f>
        <v/>
      </c>
      <c r="J115" s="32">
        <f>ROUND(I115*E115,2)</f>
        <v/>
      </c>
    </row>
    <row r="116" outlineLevel="1" ht="14.25" customFormat="1" customHeight="1" s="12">
      <c r="A116" s="249" t="n">
        <v>88</v>
      </c>
      <c r="B116" s="253" t="inlineStr">
        <is>
          <t>14.4.01.01-0003</t>
        </is>
      </c>
      <c r="C116" s="252" t="inlineStr">
        <is>
          <t>Грунтовка: ГФ-021 красно-коричневая</t>
        </is>
      </c>
      <c r="D116" s="249" t="inlineStr">
        <is>
          <t>т</t>
        </is>
      </c>
      <c r="E116" s="144" t="n">
        <v>0.0005</v>
      </c>
      <c r="F116" s="254" t="n">
        <v>15620</v>
      </c>
      <c r="G116" s="32">
        <f>ROUND(E116*F116,2)</f>
        <v/>
      </c>
      <c r="H116" s="174">
        <f>G116/$G$126</f>
        <v/>
      </c>
      <c r="I116" s="32">
        <f>ROUND(F116*Прил.10!$D$13,2)</f>
        <v/>
      </c>
      <c r="J116" s="32">
        <f>ROUND(I116*E116,2)</f>
        <v/>
      </c>
    </row>
    <row r="117" outlineLevel="1" ht="14.25" customFormat="1" customHeight="1" s="12">
      <c r="A117" s="249" t="n">
        <v>89</v>
      </c>
      <c r="B117" s="253" t="inlineStr">
        <is>
          <t>08.3.07.01-0043</t>
        </is>
      </c>
      <c r="C117" s="252" t="inlineStr">
        <is>
          <t>Сталь полосовая: 40х5 мм, марка Ст3сп</t>
        </is>
      </c>
      <c r="D117" s="249" t="inlineStr">
        <is>
          <t>т</t>
        </is>
      </c>
      <c r="E117" s="144" t="n">
        <v>0.001154</v>
      </c>
      <c r="F117" s="254" t="n">
        <v>6159.22</v>
      </c>
      <c r="G117" s="32">
        <f>ROUND(E117*F117,2)</f>
        <v/>
      </c>
      <c r="H117" s="174">
        <f>G117/$G$126</f>
        <v/>
      </c>
      <c r="I117" s="32">
        <f>ROUND(F117*Прил.10!$D$13,2)</f>
        <v/>
      </c>
      <c r="J117" s="32">
        <f>ROUND(I117*E117,2)</f>
        <v/>
      </c>
    </row>
    <row r="118" outlineLevel="1" ht="14.25" customFormat="1" customHeight="1" s="12">
      <c r="A118" s="249" t="n">
        <v>90</v>
      </c>
      <c r="B118" s="253" t="inlineStr">
        <is>
          <t>01.7.20.04-0005</t>
        </is>
      </c>
      <c r="C118" s="252" t="inlineStr">
        <is>
          <t>Нитки швейные</t>
        </is>
      </c>
      <c r="D118" s="249" t="inlineStr">
        <is>
          <t>кг</t>
        </is>
      </c>
      <c r="E118" s="144" t="n">
        <v>0.046</v>
      </c>
      <c r="F118" s="254" t="n">
        <v>133.05</v>
      </c>
      <c r="G118" s="32">
        <f>ROUND(E118*F118,2)</f>
        <v/>
      </c>
      <c r="H118" s="174">
        <f>G118/$G$126</f>
        <v/>
      </c>
      <c r="I118" s="32">
        <f>ROUND(F118*Прил.10!$D$13,2)</f>
        <v/>
      </c>
      <c r="J118" s="32">
        <f>ROUND(I118*E118,2)</f>
        <v/>
      </c>
    </row>
    <row r="119" outlineLevel="1" ht="25.5" customFormat="1" customHeight="1" s="12">
      <c r="A119" s="249" t="n">
        <v>91</v>
      </c>
      <c r="B119" s="253" t="inlineStr">
        <is>
          <t>01.7.15.03-0031</t>
        </is>
      </c>
      <c r="C119" s="252" t="inlineStr">
        <is>
          <t>Болты с гайками и шайбами оцинкованные, диаметр: 6 мм</t>
        </is>
      </c>
      <c r="D119" s="249" t="inlineStr">
        <is>
          <t>кг</t>
        </is>
      </c>
      <c r="E119" s="144" t="n">
        <v>0.18</v>
      </c>
      <c r="F119" s="254" t="n">
        <v>28.22</v>
      </c>
      <c r="G119" s="32">
        <f>ROUND(E119*F119,2)</f>
        <v/>
      </c>
      <c r="H119" s="174">
        <f>G119/$G$126</f>
        <v/>
      </c>
      <c r="I119" s="32">
        <f>ROUND(F119*Прил.10!$D$13,2)</f>
        <v/>
      </c>
      <c r="J119" s="32">
        <f>ROUND(I119*E119,2)</f>
        <v/>
      </c>
    </row>
    <row r="120" outlineLevel="1" ht="14.25" customFormat="1" customHeight="1" s="12">
      <c r="A120" s="249" t="n">
        <v>92</v>
      </c>
      <c r="B120" s="253" t="inlineStr">
        <is>
          <t>14.5.09.07-0029</t>
        </is>
      </c>
      <c r="C120" s="252" t="inlineStr">
        <is>
          <t>Растворитель марки: Р-4</t>
        </is>
      </c>
      <c r="D120" s="249" t="inlineStr">
        <is>
          <t>т</t>
        </is>
      </c>
      <c r="E120" s="144" t="n">
        <v>0.0004</v>
      </c>
      <c r="F120" s="254" t="n">
        <v>9420</v>
      </c>
      <c r="G120" s="32">
        <f>ROUND(E120*F120,2)</f>
        <v/>
      </c>
      <c r="H120" s="174">
        <f>G120/$G$126</f>
        <v/>
      </c>
      <c r="I120" s="32">
        <f>ROUND(F120*Прил.10!$D$13,2)</f>
        <v/>
      </c>
      <c r="J120" s="32">
        <f>ROUND(I120*E120,2)</f>
        <v/>
      </c>
    </row>
    <row r="121" outlineLevel="1" ht="38.25" customFormat="1" customHeight="1" s="12">
      <c r="A121" s="249" t="n">
        <v>93</v>
      </c>
      <c r="B121" s="253" t="inlineStr">
        <is>
          <t>11.1.03.06-0095</t>
        </is>
      </c>
      <c r="C121" s="252" t="inlineStr">
        <is>
          <t>Доски обрезные хвойных пород длиной: 4-6,5 м, шириной 75-150 мм, толщиной 44 мм и более, III сорта</t>
        </is>
      </c>
      <c r="D121" s="249" t="inlineStr">
        <is>
          <t>м3</t>
        </is>
      </c>
      <c r="E121" s="144" t="n">
        <v>0.0035</v>
      </c>
      <c r="F121" s="254" t="n">
        <v>1056</v>
      </c>
      <c r="G121" s="32">
        <f>ROUND(E121*F121,2)</f>
        <v/>
      </c>
      <c r="H121" s="174">
        <f>G121/$G$126</f>
        <v/>
      </c>
      <c r="I121" s="32">
        <f>ROUND(F121*Прил.10!$D$13,2)</f>
        <v/>
      </c>
      <c r="J121" s="32">
        <f>ROUND(I121*E121,2)</f>
        <v/>
      </c>
    </row>
    <row r="122" outlineLevel="1" ht="14.25" customFormat="1" customHeight="1" s="12">
      <c r="A122" s="249" t="n">
        <v>94</v>
      </c>
      <c r="B122" s="253" t="inlineStr">
        <is>
          <t>01.7.15.06-0111</t>
        </is>
      </c>
      <c r="C122" s="252" t="inlineStr">
        <is>
          <t>Гвозди строительные</t>
        </is>
      </c>
      <c r="D122" s="249" t="inlineStr">
        <is>
          <t>т</t>
        </is>
      </c>
      <c r="E122" s="144" t="n">
        <v>0.0003</v>
      </c>
      <c r="F122" s="254" t="n">
        <v>11978</v>
      </c>
      <c r="G122" s="32">
        <f>ROUND(E122*F122,2)</f>
        <v/>
      </c>
      <c r="H122" s="174">
        <f>G122/$G$126</f>
        <v/>
      </c>
      <c r="I122" s="32">
        <f>ROUND(F122*Прил.10!$D$13,2)</f>
        <v/>
      </c>
      <c r="J122" s="32">
        <f>ROUND(I122*E122,2)</f>
        <v/>
      </c>
    </row>
    <row r="123" outlineLevel="1" ht="14.25" customFormat="1" customHeight="1" s="12">
      <c r="A123" s="249" t="n">
        <v>95</v>
      </c>
      <c r="B123" s="253" t="inlineStr">
        <is>
          <t>01.7.02.09-0002</t>
        </is>
      </c>
      <c r="C123" s="252" t="inlineStr">
        <is>
          <t>Шпагат бумажный</t>
        </is>
      </c>
      <c r="D123" s="249" t="inlineStr">
        <is>
          <t>кг</t>
        </is>
      </c>
      <c r="E123" s="144" t="n">
        <v>0.095</v>
      </c>
      <c r="F123" s="254" t="n">
        <v>11.5</v>
      </c>
      <c r="G123" s="32">
        <f>ROUND(E123*F123,2)</f>
        <v/>
      </c>
      <c r="H123" s="174">
        <f>G123/$G$126</f>
        <v/>
      </c>
      <c r="I123" s="32">
        <f>ROUND(F123*Прил.10!$D$13,2)</f>
        <v/>
      </c>
      <c r="J123" s="32">
        <f>ROUND(I123*E123,2)</f>
        <v/>
      </c>
    </row>
    <row r="124" outlineLevel="1" ht="14.25" customFormat="1" customHeight="1" s="12">
      <c r="A124" s="249" t="n">
        <v>96</v>
      </c>
      <c r="B124" s="253" t="inlineStr">
        <is>
          <t>01.7.03.01-0001</t>
        </is>
      </c>
      <c r="C124" s="252" t="inlineStr">
        <is>
          <t>Вода</t>
        </is>
      </c>
      <c r="D124" s="249" t="inlineStr">
        <is>
          <t>м3</t>
        </is>
      </c>
      <c r="E124" s="144" t="n">
        <v>0.0048</v>
      </c>
      <c r="F124" s="254" t="n">
        <v>2.44</v>
      </c>
      <c r="G124" s="32">
        <f>ROUND(E124*F124,2)</f>
        <v/>
      </c>
      <c r="H124" s="174">
        <f>G124/$G$126</f>
        <v/>
      </c>
      <c r="I124" s="32">
        <f>ROUND(F124*Прил.10!$D$13,2)</f>
        <v/>
      </c>
      <c r="J124" s="32">
        <f>ROUND(I124*E124,2)</f>
        <v/>
      </c>
    </row>
    <row r="125" ht="14.25" customFormat="1" customHeight="1" s="12">
      <c r="A125" s="249" t="n"/>
      <c r="B125" s="249" t="n"/>
      <c r="C125" s="252" t="inlineStr">
        <is>
          <t>Итого прочие материалы</t>
        </is>
      </c>
      <c r="D125" s="249" t="n"/>
      <c r="E125" s="253" t="n"/>
      <c r="F125" s="254" t="n"/>
      <c r="G125" s="32">
        <f>SUM(G74:G124)</f>
        <v/>
      </c>
      <c r="H125" s="255">
        <f>G125/G126</f>
        <v/>
      </c>
      <c r="I125" s="32" t="n"/>
      <c r="J125" s="32">
        <f>SUM(J74:J124)</f>
        <v/>
      </c>
    </row>
    <row r="126" ht="14.25" customFormat="1" customHeight="1" s="12">
      <c r="A126" s="249" t="n"/>
      <c r="B126" s="249" t="n"/>
      <c r="C126" s="256" t="inlineStr">
        <is>
          <t>Итого по разделу «Материалы»</t>
        </is>
      </c>
      <c r="D126" s="249" t="n"/>
      <c r="E126" s="253" t="n"/>
      <c r="F126" s="254" t="n"/>
      <c r="G126" s="32">
        <f>G73+G125</f>
        <v/>
      </c>
      <c r="H126" s="255" t="n">
        <v>1</v>
      </c>
      <c r="I126" s="32" t="n"/>
      <c r="J126" s="32">
        <f>J73+J125</f>
        <v/>
      </c>
    </row>
    <row r="127" ht="14.25" customFormat="1" customHeight="1" s="12">
      <c r="A127" s="249" t="n"/>
      <c r="B127" s="249" t="n"/>
      <c r="C127" s="252" t="inlineStr">
        <is>
          <t>ИТОГО ПО РМ</t>
        </is>
      </c>
      <c r="D127" s="249" t="n"/>
      <c r="E127" s="253" t="n"/>
      <c r="F127" s="254" t="n"/>
      <c r="G127" s="32">
        <f>G17+G51+G126</f>
        <v/>
      </c>
      <c r="H127" s="255" t="n"/>
      <c r="I127" s="32" t="n"/>
      <c r="J127" s="32">
        <f>J17+J51+J126</f>
        <v/>
      </c>
    </row>
    <row r="128" ht="14.25" customFormat="1" customHeight="1" s="12">
      <c r="A128" s="249" t="n"/>
      <c r="B128" s="249" t="n"/>
      <c r="C128" s="252" t="inlineStr">
        <is>
          <t>Накладные расходы</t>
        </is>
      </c>
      <c r="D128" s="180">
        <f>ROUND(G128/(G$19+$G$17),2)</f>
        <v/>
      </c>
      <c r="E128" s="253" t="n"/>
      <c r="F128" s="254" t="n"/>
      <c r="G128" s="32" t="n">
        <v>61710.04</v>
      </c>
      <c r="H128" s="255" t="n"/>
      <c r="I128" s="32" t="n"/>
      <c r="J128" s="32">
        <f>ROUND(D128*(J17+J19),2)</f>
        <v/>
      </c>
    </row>
    <row r="129" ht="14.25" customFormat="1" customHeight="1" s="12">
      <c r="A129" s="249" t="n"/>
      <c r="B129" s="249" t="n"/>
      <c r="C129" s="252" t="inlineStr">
        <is>
          <t>Сметная прибыль</t>
        </is>
      </c>
      <c r="D129" s="180">
        <f>ROUND(G129/(G$17+G$19),2)</f>
        <v/>
      </c>
      <c r="E129" s="253" t="n"/>
      <c r="F129" s="254" t="n"/>
      <c r="G129" s="32" t="n">
        <v>43672.49</v>
      </c>
      <c r="H129" s="255" t="n"/>
      <c r="I129" s="32" t="n"/>
      <c r="J129" s="32">
        <f>ROUND(D129*(J17+J19),2)</f>
        <v/>
      </c>
    </row>
    <row r="130" ht="14.25" customFormat="1" customHeight="1" s="12">
      <c r="A130" s="249" t="n"/>
      <c r="B130" s="249" t="n"/>
      <c r="C130" s="252" t="inlineStr">
        <is>
          <t>Итого СМР (с НР и СП)</t>
        </is>
      </c>
      <c r="D130" s="249" t="n"/>
      <c r="E130" s="253" t="n"/>
      <c r="F130" s="254" t="n"/>
      <c r="G130" s="32">
        <f>G17+G51+G126+G128+G129</f>
        <v/>
      </c>
      <c r="H130" s="255" t="n"/>
      <c r="I130" s="32" t="n"/>
      <c r="J130" s="32">
        <f>J17+J51+J126+J128+J129</f>
        <v/>
      </c>
    </row>
    <row r="131" ht="14.25" customFormat="1" customHeight="1" s="12">
      <c r="A131" s="249" t="n"/>
      <c r="B131" s="249" t="n"/>
      <c r="C131" s="252" t="inlineStr">
        <is>
          <t>ВСЕГО СМР + ОБОРУДОВАНИЕ</t>
        </is>
      </c>
      <c r="D131" s="249" t="n"/>
      <c r="E131" s="253" t="n"/>
      <c r="F131" s="254" t="n"/>
      <c r="G131" s="32">
        <f>G130+G60</f>
        <v/>
      </c>
      <c r="H131" s="255" t="n"/>
      <c r="I131" s="32" t="n"/>
      <c r="J131" s="32">
        <f>J130+J60</f>
        <v/>
      </c>
    </row>
    <row r="132" ht="14.25" customFormat="1" customHeight="1" s="12">
      <c r="A132" s="249" t="n"/>
      <c r="B132" s="249" t="n"/>
      <c r="C132" s="252" t="inlineStr">
        <is>
          <t>ИТОГО ПОКАЗАТЕЛЬ НА ЕД. ИЗМ.</t>
        </is>
      </c>
      <c r="D132" s="249" t="inlineStr">
        <is>
          <t>ед.</t>
        </is>
      </c>
      <c r="E132" s="253" t="n">
        <v>7</v>
      </c>
      <c r="F132" s="254" t="n"/>
      <c r="G132" s="32">
        <f>G131/E132</f>
        <v/>
      </c>
      <c r="H132" s="255" t="n"/>
      <c r="I132" s="32" t="n"/>
      <c r="J132" s="32">
        <f>J131/E132</f>
        <v/>
      </c>
    </row>
    <row r="134" ht="14.25" customFormat="1" customHeight="1" s="12">
      <c r="A134" s="4" t="inlineStr">
        <is>
          <t>Составил ______________________    Е. М. Добровольская</t>
        </is>
      </c>
    </row>
    <row r="135" ht="14.25" customFormat="1" customHeight="1" s="12">
      <c r="A135" s="33" t="inlineStr">
        <is>
          <t xml:space="preserve">                         (подпись, инициалы, фамилия)</t>
        </is>
      </c>
    </row>
    <row r="136" ht="14.25" customFormat="1" customHeight="1" s="12">
      <c r="A136" s="4" t="n"/>
    </row>
    <row r="137" ht="14.25" customFormat="1" customHeight="1" s="12">
      <c r="A137" s="4" t="inlineStr">
        <is>
          <t>Проверил ______________________        А.В. Костянецкая</t>
        </is>
      </c>
    </row>
    <row r="138" ht="14.25" customFormat="1" customHeight="1" s="12">
      <c r="A138" s="33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B20:H20"/>
    <mergeCell ref="B63:H63"/>
    <mergeCell ref="A7:H7"/>
    <mergeCell ref="H10:H11"/>
    <mergeCell ref="B10:B11"/>
    <mergeCell ref="B18:H18"/>
    <mergeCell ref="B21:H21"/>
    <mergeCell ref="D6:J6"/>
    <mergeCell ref="A10:A11"/>
    <mergeCell ref="A8:H8"/>
    <mergeCell ref="B62:J62"/>
    <mergeCell ref="D10:D11"/>
    <mergeCell ref="B13:H13"/>
    <mergeCell ref="B53:H53"/>
    <mergeCell ref="I10:J10"/>
    <mergeCell ref="A6:C6"/>
    <mergeCell ref="B52:J52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3"/>
  <sheetViews>
    <sheetView view="pageBreakPreview" workbookViewId="0">
      <selection activeCell="C28" sqref="C2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8" t="inlineStr">
        <is>
          <t>Расчет стоимости оборудования</t>
        </is>
      </c>
    </row>
    <row r="4" ht="25.5" customHeight="1">
      <c r="A4" s="221" t="inlineStr">
        <is>
          <t>Наименование разрабатываемого показателя УНЦ — ТТ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9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10" t="n"/>
    </row>
    <row r="7">
      <c r="A7" s="312" t="n"/>
      <c r="B7" s="312" t="n"/>
      <c r="C7" s="312" t="n"/>
      <c r="D7" s="312" t="n"/>
      <c r="E7" s="312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52" t="inlineStr">
        <is>
          <t>ИНЖЕНЕРНОЕ ОБОРУДОВАНИЕ</t>
        </is>
      </c>
      <c r="C9" s="309" t="n"/>
      <c r="D9" s="309" t="n"/>
      <c r="E9" s="309" t="n"/>
      <c r="F9" s="309" t="n"/>
      <c r="G9" s="310" t="n"/>
    </row>
    <row r="10" ht="27" customHeight="1">
      <c r="A10" s="249" t="n"/>
      <c r="B10" s="256" t="n"/>
      <c r="C10" s="252" t="inlineStr">
        <is>
          <t>ИТОГО ИНЖЕНЕРНОЕ ОБОРУДОВАНИЕ</t>
        </is>
      </c>
      <c r="D10" s="256" t="n"/>
      <c r="E10" s="182" t="n"/>
      <c r="F10" s="254" t="n"/>
      <c r="G10" s="254" t="n">
        <v>0</v>
      </c>
    </row>
    <row r="11">
      <c r="A11" s="249" t="n"/>
      <c r="B11" s="252" t="inlineStr">
        <is>
          <t>ТЕХНОЛОГИЧЕСКОЕ ОБОРУДОВАНИЕ</t>
        </is>
      </c>
      <c r="C11" s="309" t="n"/>
      <c r="D11" s="309" t="n"/>
      <c r="E11" s="309" t="n"/>
      <c r="F11" s="309" t="n"/>
      <c r="G11" s="310" t="n"/>
    </row>
    <row r="12">
      <c r="A12" s="249" t="n">
        <v>1</v>
      </c>
      <c r="B12" s="166" t="inlineStr">
        <is>
          <t>БЦ.14.239</t>
        </is>
      </c>
      <c r="C12" s="252">
        <f>'Прил.5 Расчет СМР и ОБ'!C54</f>
        <v/>
      </c>
      <c r="D12" s="249" t="inlineStr">
        <is>
          <t>шт.</t>
        </is>
      </c>
      <c r="E12" s="144" t="n">
        <v>21</v>
      </c>
      <c r="F12" s="32">
        <f>'Прил.5 Расчет СМР и ОБ'!F54</f>
        <v/>
      </c>
      <c r="G12" s="32">
        <f>E12*F12</f>
        <v/>
      </c>
    </row>
    <row r="13" ht="25.5" customHeight="1">
      <c r="A13" s="249" t="n">
        <v>3</v>
      </c>
      <c r="B13" s="153" t="inlineStr">
        <is>
          <t>БЦ.30_1.149</t>
        </is>
      </c>
      <c r="C13" s="252" t="inlineStr">
        <is>
          <t>Шкаф промежуточных зажимов ШЗВ-60 УХЛ1</t>
        </is>
      </c>
      <c r="D13" s="249" t="inlineStr">
        <is>
          <t>шт.</t>
        </is>
      </c>
      <c r="E13" s="144" t="n">
        <v>7</v>
      </c>
      <c r="F13" s="249">
        <f>'Прил.5 Расчет СМР и ОБ'!F56</f>
        <v/>
      </c>
      <c r="G13" s="32">
        <f>E13*F13</f>
        <v/>
      </c>
    </row>
    <row r="14" ht="25.5" customHeight="1">
      <c r="A14" s="249" t="n">
        <v>4</v>
      </c>
      <c r="B14" s="153" t="inlineStr">
        <is>
          <t>Прайс из СД ОП</t>
        </is>
      </c>
      <c r="C14" s="252" t="inlineStr">
        <is>
          <t>Коробка зажимов для цепей контроля давления элегаза с (WAGO) К3-11</t>
        </is>
      </c>
      <c r="D14" s="249" t="inlineStr">
        <is>
          <t>шт.</t>
        </is>
      </c>
      <c r="E14" s="144" t="n">
        <v>7</v>
      </c>
      <c r="F14" s="249">
        <f>'Прил.5 Расчет СМР и ОБ'!F57</f>
        <v/>
      </c>
      <c r="G14" s="32">
        <f>E14*F14</f>
        <v/>
      </c>
    </row>
    <row r="15" ht="25.5" customHeight="1">
      <c r="A15" s="249" t="n">
        <v>5</v>
      </c>
      <c r="B15" s="153" t="inlineStr">
        <is>
          <t>Прайс из СД ОП</t>
        </is>
      </c>
      <c r="C15" s="252" t="inlineStr">
        <is>
          <t>Коробка зажимов для цепей тока с (КИ-10) К3-11-АСКУЭ</t>
        </is>
      </c>
      <c r="D15" s="249" t="inlineStr">
        <is>
          <t>шт.</t>
        </is>
      </c>
      <c r="E15" s="144" t="n">
        <v>7</v>
      </c>
      <c r="F15" s="249">
        <f>'Прил.5 Расчет СМР и ОБ'!F58</f>
        <v/>
      </c>
      <c r="G15" s="32">
        <f>E15*F15</f>
        <v/>
      </c>
    </row>
    <row r="16" ht="25.5" customHeight="1">
      <c r="A16" s="249" t="n"/>
      <c r="B16" s="252" t="n"/>
      <c r="C16" s="252" t="inlineStr">
        <is>
          <t>ИТОГО ТЕХНОЛОГИЧЕСКОЕ ОБОРУДОВАНИЕ</t>
        </is>
      </c>
      <c r="D16" s="252" t="n"/>
      <c r="E16" s="261" t="n"/>
      <c r="F16" s="254" t="n"/>
      <c r="G16" s="32">
        <f>SUM(G12:G15)</f>
        <v/>
      </c>
    </row>
    <row r="17" ht="19.5" customHeight="1">
      <c r="A17" s="249" t="n"/>
      <c r="B17" s="252" t="n"/>
      <c r="C17" s="252" t="inlineStr">
        <is>
          <t>Всего по разделу «Оборудование»</t>
        </is>
      </c>
      <c r="D17" s="252" t="n"/>
      <c r="E17" s="261" t="n"/>
      <c r="F17" s="254" t="n"/>
      <c r="G17" s="32">
        <f>G10+G16</f>
        <v/>
      </c>
    </row>
    <row r="18">
      <c r="A18" s="30" t="n"/>
      <c r="B18" s="105" t="n"/>
      <c r="C18" s="30" t="n"/>
      <c r="D18" s="30" t="n"/>
      <c r="E18" s="30" t="n"/>
      <c r="F18" s="30" t="n"/>
      <c r="G18" s="30" t="n"/>
    </row>
    <row r="19">
      <c r="A19" s="4" t="inlineStr">
        <is>
          <t>Составил ______________________    Е. М. Добровольская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  <row r="21">
      <c r="A21" s="4" t="n"/>
      <c r="B21" s="12" t="n"/>
      <c r="C21" s="12" t="n"/>
      <c r="D21" s="30" t="n"/>
      <c r="E21" s="30" t="n"/>
      <c r="F21" s="30" t="n"/>
      <c r="G21" s="30" t="n"/>
    </row>
    <row r="22">
      <c r="A22" s="4" t="inlineStr">
        <is>
          <t>Проверил ______________________        А.В. Костянецкая</t>
        </is>
      </c>
      <c r="B22" s="12" t="n"/>
      <c r="C22" s="12" t="n"/>
      <c r="D22" s="30" t="n"/>
      <c r="E22" s="30" t="n"/>
      <c r="F22" s="30" t="n"/>
      <c r="G22" s="30" t="n"/>
    </row>
    <row r="23">
      <c r="A23" s="33" t="inlineStr">
        <is>
          <t xml:space="preserve">                        (подпись, инициалы, фамилия)</t>
        </is>
      </c>
      <c r="B23" s="12" t="n"/>
      <c r="C23" s="12" t="n"/>
      <c r="D23" s="30" t="n"/>
      <c r="E23" s="30" t="n"/>
      <c r="F23" s="30" t="n"/>
      <c r="G23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8" sqref="C28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57" t="inlineStr">
        <is>
          <t>Приложение №7</t>
        </is>
      </c>
    </row>
    <row r="2">
      <c r="A2" s="257" t="n"/>
      <c r="B2" s="257" t="n"/>
      <c r="C2" s="257" t="n"/>
      <c r="D2" s="257" t="n"/>
    </row>
    <row r="3" ht="24.75" customHeight="1">
      <c r="A3" s="218" t="inlineStr">
        <is>
          <t>Расчет показателя УНЦ</t>
        </is>
      </c>
    </row>
    <row r="4" ht="24.75" customHeight="1">
      <c r="A4" s="218" t="n"/>
      <c r="B4" s="218" t="n"/>
      <c r="C4" s="218" t="n"/>
      <c r="D4" s="218" t="n"/>
    </row>
    <row r="5" ht="47.2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9.9" customHeight="1">
      <c r="A6" s="263" t="inlineStr">
        <is>
          <t>Единица измерения  — 1 ед</t>
        </is>
      </c>
      <c r="D6" s="263" t="n"/>
    </row>
    <row r="7">
      <c r="A7" s="210" t="n"/>
      <c r="B7" s="210" t="n"/>
      <c r="C7" s="210" t="n"/>
      <c r="D7" s="210" t="n"/>
    </row>
    <row r="8" ht="14.45" customHeight="1">
      <c r="A8" s="264" t="inlineStr">
        <is>
          <t>Код показателя</t>
        </is>
      </c>
      <c r="B8" s="264" t="inlineStr">
        <is>
          <t>Наименование показателя</t>
        </is>
      </c>
      <c r="C8" s="264" t="inlineStr">
        <is>
          <t>Наименование РМ, входящих в состав показателя</t>
        </is>
      </c>
      <c r="D8" s="264" t="inlineStr">
        <is>
          <t>Норматив цены на 01.01.2023, тыс.руб.</t>
        </is>
      </c>
    </row>
    <row r="9" ht="15" customHeight="1">
      <c r="A9" s="312" t="n"/>
      <c r="B9" s="312" t="n"/>
      <c r="C9" s="312" t="n"/>
      <c r="D9" s="312" t="n"/>
    </row>
    <row r="10">
      <c r="A10" s="211" t="n">
        <v>1</v>
      </c>
      <c r="B10" s="211" t="n">
        <v>2</v>
      </c>
      <c r="C10" s="211" t="n">
        <v>3</v>
      </c>
      <c r="D10" s="211" t="n">
        <v>4</v>
      </c>
    </row>
    <row r="11" ht="41.45" customHeight="1">
      <c r="A11" s="211" t="inlineStr">
        <is>
          <t>И5-01-3</t>
        </is>
      </c>
      <c r="B11" s="211" t="inlineStr">
        <is>
          <t xml:space="preserve">УНЦ элементов ПС с устройством фундаментов </t>
        </is>
      </c>
      <c r="C11" s="212">
        <f>D5</f>
        <v/>
      </c>
      <c r="D11" s="213">
        <f>'Прил.4 РМ'!C41/1000</f>
        <v/>
      </c>
      <c r="E11" s="142" t="n"/>
    </row>
    <row r="12">
      <c r="A12" s="214" t="n"/>
      <c r="B12" s="215" t="n"/>
      <c r="C12" s="214" t="n"/>
      <c r="D12" s="214" t="n"/>
    </row>
    <row r="13">
      <c r="A13" s="210" t="inlineStr">
        <is>
          <t>Составил ______________________      Е. М. Добровольская</t>
        </is>
      </c>
      <c r="B13" s="216" t="n"/>
      <c r="C13" s="216" t="n"/>
      <c r="D13" s="214" t="n"/>
    </row>
    <row r="14">
      <c r="A14" s="217" t="inlineStr">
        <is>
          <t xml:space="preserve">                         (подпись, инициалы, фамилия)</t>
        </is>
      </c>
      <c r="B14" s="216" t="n"/>
      <c r="C14" s="216" t="n"/>
      <c r="D14" s="214" t="n"/>
    </row>
    <row r="15">
      <c r="A15" s="210" t="n"/>
      <c r="B15" s="216" t="n"/>
      <c r="C15" s="216" t="n"/>
      <c r="D15" s="214" t="n"/>
    </row>
    <row r="16">
      <c r="A16" s="210" t="inlineStr">
        <is>
          <t>Проверил ______________________        А.В. Костянецкая</t>
        </is>
      </c>
      <c r="B16" s="216" t="n"/>
      <c r="C16" s="216" t="n"/>
      <c r="D16" s="214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8"/>
  <sheetViews>
    <sheetView tabSelected="1" view="pageBreakPreview" topLeftCell="A19" zoomScale="60" zoomScaleNormal="85" workbookViewId="0">
      <selection activeCell="Q30" sqref="Q30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26" t="inlineStr">
        <is>
          <t>Приложение № 10</t>
        </is>
      </c>
    </row>
    <row r="5" ht="18.75" customHeight="1">
      <c r="B5" s="137" t="n"/>
    </row>
    <row r="6" ht="15.75" customHeight="1">
      <c r="B6" s="230" t="inlineStr">
        <is>
          <t>Используемые индексы изменений сметной стоимости и нормы сопутствующих затрат</t>
        </is>
      </c>
    </row>
    <row r="7">
      <c r="B7" s="265" t="inlineStr">
        <is>
          <t>*Стоимость ПНР принята на основании СД ОП</t>
        </is>
      </c>
    </row>
    <row r="8">
      <c r="B8" s="265" t="n"/>
      <c r="C8" s="265" t="n"/>
      <c r="D8" s="265" t="n"/>
      <c r="E8" s="265" t="n"/>
    </row>
    <row r="9" ht="47.25" customHeight="1">
      <c r="B9" s="231" t="inlineStr">
        <is>
          <t>Наименование индекса / норм сопутствующих затрат</t>
        </is>
      </c>
      <c r="C9" s="231" t="inlineStr">
        <is>
          <t>Дата применения и обоснование индекса / норм сопутствующих затрат</t>
        </is>
      </c>
      <c r="D9" s="231" t="inlineStr">
        <is>
          <t>Размер индекса / норма сопутствующих затрат</t>
        </is>
      </c>
    </row>
    <row r="10" ht="15.75" customHeight="1">
      <c r="B10" s="231" t="n">
        <v>1</v>
      </c>
      <c r="C10" s="231" t="n">
        <v>2</v>
      </c>
      <c r="D10" s="231" t="n">
        <v>3</v>
      </c>
    </row>
    <row r="11" ht="45" customHeight="1">
      <c r="B11" s="231" t="inlineStr">
        <is>
          <t xml:space="preserve">Индекс изменения сметной стоимости на 1 квартал 2023 года. ОЗП </t>
        </is>
      </c>
      <c r="C11" s="231" t="inlineStr">
        <is>
          <t>Письмо Минстроя России от 30.03.2023г. №17106-ИФ/09  прил.1</t>
        </is>
      </c>
      <c r="D11" s="231" t="n">
        <v>44.29</v>
      </c>
    </row>
    <row r="12" ht="29.25" customHeight="1">
      <c r="B12" s="231" t="inlineStr">
        <is>
          <t>Индекс изменения сметной стоимости на 1 квартал 2023 года. ЭМ</t>
        </is>
      </c>
      <c r="C12" s="231" t="inlineStr">
        <is>
          <t>Письмо Минстроя России от 30.03.2023г. №17106-ИФ/09  прил.1</t>
        </is>
      </c>
      <c r="D12" s="231" t="n">
        <v>13.47</v>
      </c>
    </row>
    <row r="13" ht="29.25" customHeight="1">
      <c r="B13" s="231" t="inlineStr">
        <is>
          <t>Индекс изменения сметной стоимости на 1 квартал 2023 года. МАТ</t>
        </is>
      </c>
      <c r="C13" s="231" t="inlineStr">
        <is>
          <t>Письмо Минстроя России от 30.03.2023г. №17106-ИФ/09  прил.1</t>
        </is>
      </c>
      <c r="D13" s="231" t="n">
        <v>8.039999999999999</v>
      </c>
    </row>
    <row r="14" ht="30.75" customHeight="1">
      <c r="B14" s="231" t="inlineStr">
        <is>
          <t>Индекс изменения сметной стоимости на 1 квартал 2023 года. ОБ</t>
        </is>
      </c>
      <c r="C14" s="119" t="inlineStr">
        <is>
          <t>Письмо Минстроя России от 23.02.2023г. №9791-ИФ/09 прил.6</t>
        </is>
      </c>
      <c r="D14" s="231" t="n">
        <v>6.26</v>
      </c>
    </row>
    <row r="15" ht="89.25" customHeight="1">
      <c r="B15" s="231" t="inlineStr">
        <is>
          <t>Временные здания и сооружения</t>
        </is>
      </c>
      <c r="C15" s="2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8" t="n">
        <v>0.039</v>
      </c>
    </row>
    <row r="16" ht="78.75" customHeight="1">
      <c r="B16" s="231" t="inlineStr">
        <is>
          <t>Дополнительные затраты при производстве строительно-монтажных работ в зимнее время</t>
        </is>
      </c>
      <c r="C16" s="2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8" t="n">
        <v>0.021</v>
      </c>
    </row>
    <row r="17" ht="34.5" customHeight="1">
      <c r="B17" s="231" t="inlineStr">
        <is>
          <t>Пусконаладочные работы*</t>
        </is>
      </c>
      <c r="C17" s="231" t="n"/>
      <c r="D17" s="231" t="inlineStr">
        <is>
          <t>Расчет</t>
        </is>
      </c>
    </row>
    <row r="18" ht="31.5" customHeight="1">
      <c r="B18" s="231" t="inlineStr">
        <is>
          <t>Строительный контроль</t>
        </is>
      </c>
      <c r="C18" s="231" t="inlineStr">
        <is>
          <t>Постановление Правительства РФ от 21.06.10 г. № 468</t>
        </is>
      </c>
      <c r="D18" s="138" t="n">
        <v>0.0214</v>
      </c>
    </row>
    <row r="19" ht="31.5" customHeight="1">
      <c r="B19" s="231" t="inlineStr">
        <is>
          <t>Авторский надзор - 0,2%</t>
        </is>
      </c>
      <c r="C19" s="231" t="inlineStr">
        <is>
          <t>Приказ от 4.08.2020 № 421/пр п.173</t>
        </is>
      </c>
      <c r="D19" s="138" t="n">
        <v>0.002</v>
      </c>
    </row>
    <row r="20" ht="24" customHeight="1">
      <c r="B20" s="231" t="inlineStr">
        <is>
          <t>Непредвиденные расходы</t>
        </is>
      </c>
      <c r="C20" s="231" t="inlineStr">
        <is>
          <t>Приказ от 4.08.2020 № 421/пр п.179</t>
        </is>
      </c>
      <c r="D20" s="138" t="n">
        <v>0.03</v>
      </c>
    </row>
    <row r="21" ht="18.75" customHeight="1">
      <c r="B21" s="116" t="n"/>
    </row>
    <row r="24">
      <c r="B24" s="4" t="inlineStr">
        <is>
          <t>Составил ______________________        Е.М. Добровольская</t>
        </is>
      </c>
      <c r="C24" s="12" t="n"/>
    </row>
    <row r="25">
      <c r="B25" s="33" t="inlineStr">
        <is>
          <t xml:space="preserve">                         (подпись, инициалы, фамилия)</t>
        </is>
      </c>
      <c r="C25" s="12" t="n"/>
    </row>
    <row r="26">
      <c r="B26" s="4" t="n"/>
      <c r="C26" s="12" t="n"/>
    </row>
    <row r="27">
      <c r="B27" s="4" t="inlineStr">
        <is>
          <t>Проверил ______________________        А.В. Костянецкая</t>
        </is>
      </c>
      <c r="C27" s="12" t="n"/>
    </row>
    <row r="28">
      <c r="B28" s="33" t="inlineStr">
        <is>
          <t xml:space="preserve">                        (подпись, инициалы, фамилия)</t>
        </is>
      </c>
      <c r="C28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" workbookViewId="0">
      <selection activeCell="C28" sqref="C28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4" t="inlineStr">
        <is>
          <t>Составлен в уровне цен на 01.01.2023 г.</t>
        </is>
      </c>
      <c r="B4" s="206" t="n"/>
      <c r="C4" s="206" t="n"/>
      <c r="D4" s="206" t="n"/>
      <c r="E4" s="206" t="n"/>
      <c r="F4" s="206" t="n"/>
      <c r="G4" s="206" t="n"/>
    </row>
    <row r="5" ht="15.75" customHeight="1">
      <c r="A5" s="204" t="inlineStr">
        <is>
          <t>№ пп.</t>
        </is>
      </c>
      <c r="B5" s="204" t="inlineStr">
        <is>
          <t>Наименование элемента</t>
        </is>
      </c>
      <c r="C5" s="204" t="inlineStr">
        <is>
          <t>Обозначение</t>
        </is>
      </c>
      <c r="D5" s="204" t="inlineStr">
        <is>
          <t>Формула</t>
        </is>
      </c>
      <c r="E5" s="204" t="inlineStr">
        <is>
          <t>Величина элемента</t>
        </is>
      </c>
      <c r="F5" s="204" t="inlineStr">
        <is>
          <t>Наименования обосновывающих документов</t>
        </is>
      </c>
      <c r="G5" s="206" t="n"/>
    </row>
    <row r="6" ht="15.75" customHeight="1">
      <c r="A6" s="204" t="n">
        <v>1</v>
      </c>
      <c r="B6" s="204" t="n">
        <v>2</v>
      </c>
      <c r="C6" s="204" t="n">
        <v>3</v>
      </c>
      <c r="D6" s="204" t="n">
        <v>4</v>
      </c>
      <c r="E6" s="204" t="n">
        <v>5</v>
      </c>
      <c r="F6" s="204" t="n">
        <v>6</v>
      </c>
      <c r="G6" s="206" t="n"/>
    </row>
    <row r="7" ht="110.25" customHeight="1">
      <c r="A7" s="127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1" t="inlineStr">
        <is>
          <t>С1ср</t>
        </is>
      </c>
      <c r="D7" s="231" t="inlineStr">
        <is>
          <t>-</t>
        </is>
      </c>
      <c r="E7" s="61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6" t="n"/>
    </row>
    <row r="8" ht="31.5" customHeight="1">
      <c r="A8" s="127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31" t="inlineStr">
        <is>
          <t>tср</t>
        </is>
      </c>
      <c r="D8" s="231" t="inlineStr">
        <is>
          <t>1973ч/12мес.</t>
        </is>
      </c>
      <c r="E8" s="129">
        <f>1973/12</f>
        <v/>
      </c>
      <c r="F8" s="202" t="inlineStr">
        <is>
          <t>Производственный календарь 2023 год
(40-часов.неделя)</t>
        </is>
      </c>
      <c r="G8" s="130" t="n"/>
    </row>
    <row r="9" ht="15.75" customHeight="1">
      <c r="A9" s="127" t="inlineStr">
        <is>
          <t>1.3</t>
        </is>
      </c>
      <c r="B9" s="202" t="inlineStr">
        <is>
          <t>Коэффициент увеличения</t>
        </is>
      </c>
      <c r="C9" s="231" t="inlineStr">
        <is>
          <t>Кув</t>
        </is>
      </c>
      <c r="D9" s="231" t="inlineStr">
        <is>
          <t>-</t>
        </is>
      </c>
      <c r="E9" s="129" t="n">
        <v>1</v>
      </c>
      <c r="F9" s="202" t="n"/>
      <c r="G9" s="130" t="n"/>
    </row>
    <row r="10" ht="15.75" customHeight="1">
      <c r="A10" s="127" t="inlineStr">
        <is>
          <t>1.4</t>
        </is>
      </c>
      <c r="B10" s="202" t="inlineStr">
        <is>
          <t>Средний разряд работ</t>
        </is>
      </c>
      <c r="C10" s="231" t="n"/>
      <c r="D10" s="231" t="n"/>
      <c r="E10" s="131" t="n">
        <v>3.6</v>
      </c>
      <c r="F10" s="202" t="inlineStr">
        <is>
          <t>РТМ</t>
        </is>
      </c>
      <c r="G10" s="130" t="n"/>
    </row>
    <row r="11" ht="78.75" customHeight="1">
      <c r="A11" s="127" t="inlineStr">
        <is>
          <t>1.5</t>
        </is>
      </c>
      <c r="B11" s="202" t="inlineStr">
        <is>
          <t>Тарифный коэффициент среднего разряда работ</t>
        </is>
      </c>
      <c r="C11" s="231" t="inlineStr">
        <is>
          <t>КТ</t>
        </is>
      </c>
      <c r="D11" s="231" t="inlineStr">
        <is>
          <t>-</t>
        </is>
      </c>
      <c r="E11" s="132" t="n">
        <v>1.278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6" t="n"/>
    </row>
    <row r="12" ht="78.75" customHeight="1">
      <c r="A12" s="127" t="inlineStr">
        <is>
          <t>1.6</t>
        </is>
      </c>
      <c r="B12" s="118" t="inlineStr">
        <is>
          <t>Коэффициент инфляции, определяемый поквартально</t>
        </is>
      </c>
      <c r="C12" s="231" t="inlineStr">
        <is>
          <t>Кинф</t>
        </is>
      </c>
      <c r="D12" s="231" t="inlineStr">
        <is>
          <t>-</t>
        </is>
      </c>
      <c r="E12" s="133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7" t="inlineStr">
        <is>
          <t>1.7</t>
        </is>
      </c>
      <c r="B13" s="135" t="inlineStr">
        <is>
          <t>Размер средств на оплату труда рабочих-строителей в текущем уровне цен (ФОТр.тек.), руб/чел.-ч</t>
        </is>
      </c>
      <c r="C13" s="231" t="inlineStr">
        <is>
          <t>ФОТр.тек.</t>
        </is>
      </c>
      <c r="D13" s="231" t="inlineStr">
        <is>
          <t>(С1ср/tср*КТ*Т*Кув)*Кинф</t>
        </is>
      </c>
      <c r="E13" s="136">
        <f>((E7*E9/E8)*E11)*E12</f>
        <v/>
      </c>
      <c r="F13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6" t="n"/>
    </row>
    <row r="14">
      <c r="B14" s="252" t="inlineStr">
        <is>
          <t>Инженер I категории</t>
        </is>
      </c>
    </row>
    <row r="15" ht="90" customHeight="1">
      <c r="A15" s="158" t="inlineStr">
        <is>
          <t>1.1</t>
        </is>
      </c>
      <c r="B15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88" t="inlineStr">
        <is>
          <t>С1ср</t>
        </is>
      </c>
      <c r="D15" s="288" t="inlineStr">
        <is>
          <t>-</t>
        </is>
      </c>
      <c r="E15" s="61" t="n">
        <v>43361</v>
      </c>
      <c r="F15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30" customHeight="1">
      <c r="A16" s="158" t="inlineStr">
        <is>
          <t>1.2</t>
        </is>
      </c>
      <c r="B16" s="63" t="inlineStr">
        <is>
          <t>Среднегодовое нормативное число часов работы одного рабочего в месяц, часы (ч.)</t>
        </is>
      </c>
      <c r="C16" s="288" t="inlineStr">
        <is>
          <t>tср</t>
        </is>
      </c>
      <c r="D16" s="288" t="inlineStr">
        <is>
          <t>1973ч/12мес.</t>
        </is>
      </c>
      <c r="E16" s="61">
        <f>1973/12</f>
        <v/>
      </c>
      <c r="F16" s="63" t="inlineStr">
        <is>
          <t>Производственный календарь 2023 год
(40-часов.неделя)</t>
        </is>
      </c>
    </row>
    <row r="17">
      <c r="A17" s="158" t="inlineStr">
        <is>
          <t>1.3</t>
        </is>
      </c>
      <c r="B17" s="63" t="inlineStr">
        <is>
          <t>Коэффициент увеличения</t>
        </is>
      </c>
      <c r="C17" s="288" t="inlineStr">
        <is>
          <t>Кув</t>
        </is>
      </c>
      <c r="D17" s="288" t="inlineStr">
        <is>
          <t>-</t>
        </is>
      </c>
      <c r="E17" s="61" t="n">
        <v>1</v>
      </c>
      <c r="F17" s="63" t="n"/>
    </row>
    <row r="18">
      <c r="A18" s="158" t="inlineStr">
        <is>
          <t>1.4</t>
        </is>
      </c>
      <c r="B18" s="63" t="inlineStr">
        <is>
          <t>Средний разряд работ</t>
        </is>
      </c>
      <c r="C18" s="288" t="n"/>
      <c r="D18" s="288" t="n"/>
      <c r="E18" s="159" t="n">
        <v>1</v>
      </c>
      <c r="F18" s="63" t="inlineStr">
        <is>
          <t>РТМ</t>
        </is>
      </c>
    </row>
    <row r="19" ht="75" customHeight="1">
      <c r="A19" s="158" t="inlineStr">
        <is>
          <t>1.5</t>
        </is>
      </c>
      <c r="B19" s="63" t="inlineStr">
        <is>
          <t>Тарифный коэффициент среднего разряда работ</t>
        </is>
      </c>
      <c r="C19" s="288" t="inlineStr">
        <is>
          <t>КТ</t>
        </is>
      </c>
      <c r="D19" s="288" t="inlineStr">
        <is>
          <t>-</t>
        </is>
      </c>
      <c r="E19" s="160" t="n">
        <v>2.15</v>
      </c>
      <c r="F19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75" customHeight="1">
      <c r="A20" s="158" t="inlineStr">
        <is>
          <t>1.6</t>
        </is>
      </c>
      <c r="B20" s="161" t="inlineStr">
        <is>
          <t>Коэффициент инфляции, определяемый поквартально</t>
        </is>
      </c>
      <c r="C20" s="288" t="inlineStr">
        <is>
          <t>Кинф</t>
        </is>
      </c>
      <c r="D20" s="288" t="inlineStr">
        <is>
          <t>-</t>
        </is>
      </c>
      <c r="E20" s="162" t="n">
        <v>1.139</v>
      </c>
      <c r="F20" s="1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60" customHeight="1">
      <c r="A21" s="158" t="inlineStr">
        <is>
          <t>1.7</t>
        </is>
      </c>
      <c r="B21" s="164" t="inlineStr">
        <is>
          <t>Размер средств на оплату труда рабочих-строителей в текущем уровне цен (ФОТи.тек.), руб/чел.-ч</t>
        </is>
      </c>
      <c r="C21" s="288" t="inlineStr">
        <is>
          <t>ФОТр.тек.</t>
        </is>
      </c>
      <c r="D21" s="288" t="inlineStr">
        <is>
          <t>(С1ср/tср*КТ*Т*Кув)*Кинф</t>
        </is>
      </c>
      <c r="E21" s="165">
        <f>((E15*E17/E16)*E19)*E20</f>
        <v/>
      </c>
      <c r="F21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B22" s="252" t="inlineStr">
        <is>
          <t>Инженер II категории</t>
        </is>
      </c>
    </row>
    <row r="23" ht="90" customHeight="1">
      <c r="A23" s="158" t="inlineStr">
        <is>
          <t>1.1</t>
        </is>
      </c>
      <c r="B23" s="6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88" t="inlineStr">
        <is>
          <t>С1ср</t>
        </is>
      </c>
      <c r="D23" s="288" t="inlineStr">
        <is>
          <t>-</t>
        </is>
      </c>
      <c r="E23" s="61" t="n">
        <v>43361</v>
      </c>
      <c r="F23" s="6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30" customHeight="1">
      <c r="A24" s="158" t="inlineStr">
        <is>
          <t>1.2</t>
        </is>
      </c>
      <c r="B24" s="63" t="inlineStr">
        <is>
          <t>Среднегодовое нормативное число часов работы одного рабочего в месяц, часы (ч.)</t>
        </is>
      </c>
      <c r="C24" s="288" t="inlineStr">
        <is>
          <t>tср</t>
        </is>
      </c>
      <c r="D24" s="288" t="inlineStr">
        <is>
          <t>1973ч/12мес.</t>
        </is>
      </c>
      <c r="E24" s="61">
        <f>1973/12</f>
        <v/>
      </c>
      <c r="F24" s="63" t="inlineStr">
        <is>
          <t>Производственный календарь 2023 год
(40-часов.неделя)</t>
        </is>
      </c>
    </row>
    <row r="25">
      <c r="A25" s="158" t="inlineStr">
        <is>
          <t>1.3</t>
        </is>
      </c>
      <c r="B25" s="63" t="inlineStr">
        <is>
          <t>Коэффициент увеличения</t>
        </is>
      </c>
      <c r="C25" s="288" t="inlineStr">
        <is>
          <t>Кув</t>
        </is>
      </c>
      <c r="D25" s="288" t="inlineStr">
        <is>
          <t>-</t>
        </is>
      </c>
      <c r="E25" s="61" t="n">
        <v>1</v>
      </c>
      <c r="F25" s="63" t="n"/>
    </row>
    <row r="26">
      <c r="A26" s="158" t="inlineStr">
        <is>
          <t>1.4</t>
        </is>
      </c>
      <c r="B26" s="63" t="inlineStr">
        <is>
          <t>Средний разряд работ</t>
        </is>
      </c>
      <c r="C26" s="288" t="n"/>
      <c r="D26" s="288" t="n"/>
      <c r="E26" s="159" t="n">
        <v>1</v>
      </c>
      <c r="F26" s="63" t="inlineStr">
        <is>
          <t>РТМ</t>
        </is>
      </c>
    </row>
    <row r="27" ht="75" customHeight="1">
      <c r="A27" s="158" t="inlineStr">
        <is>
          <t>1.5</t>
        </is>
      </c>
      <c r="B27" s="63" t="inlineStr">
        <is>
          <t>Тарифный коэффициент среднего разряда работ</t>
        </is>
      </c>
      <c r="C27" s="288" t="inlineStr">
        <is>
          <t>КТ</t>
        </is>
      </c>
      <c r="D27" s="288" t="inlineStr">
        <is>
          <t>-</t>
        </is>
      </c>
      <c r="E27" s="160" t="n">
        <v>1.96</v>
      </c>
      <c r="F27" s="6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75" customHeight="1">
      <c r="A28" s="158" t="inlineStr">
        <is>
          <t>1.6</t>
        </is>
      </c>
      <c r="B28" s="161" t="inlineStr">
        <is>
          <t>Коэффициент инфляции, определяемый поквартально</t>
        </is>
      </c>
      <c r="C28" s="288" t="inlineStr">
        <is>
          <t>Кинф</t>
        </is>
      </c>
      <c r="D28" s="288" t="inlineStr">
        <is>
          <t>-</t>
        </is>
      </c>
      <c r="E28" s="162" t="n">
        <v>1.139</v>
      </c>
      <c r="F28" s="16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60" customHeight="1">
      <c r="A29" s="158" t="inlineStr">
        <is>
          <t>1.7</t>
        </is>
      </c>
      <c r="B29" s="164" t="inlineStr">
        <is>
          <t>Размер средств на оплату труда рабочих-строителей в текущем уровне цен (ФОТи.тек.), руб/чел.-ч</t>
        </is>
      </c>
      <c r="C29" s="288" t="inlineStr">
        <is>
          <t>ФОТр.тек.</t>
        </is>
      </c>
      <c r="D29" s="288" t="inlineStr">
        <is>
          <t>(С1ср/tср*КТ*Т*Кув)*Кинф</t>
        </is>
      </c>
      <c r="E29" s="165">
        <f>((E23*E25/E24)*E27)*E28</f>
        <v/>
      </c>
      <c r="F29" s="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2025-01-24T12:02:06Z</dcterms:modified>
  <cp:lastModifiedBy>Danil</cp:lastModifiedBy>
  <cp:lastPrinted>2023-11-27T13:00:00Z</cp:lastPrinted>
</cp:coreProperties>
</file>