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'Прил.3'!$A$1:$H$65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11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0.00000"/>
    <numFmt numFmtId="173" formatCode="#,##0.00000"/>
    <numFmt numFmtId="174" formatCode="0.000"/>
  </numFmts>
  <fonts count="39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Calibri"/>
      <charset val="204"/>
      <family val="2"/>
      <b val="1"/>
      <color rgb="FF000000"/>
      <sz val="12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Arial"/>
      <charset val="204"/>
      <family val="2"/>
      <i val="1"/>
      <color rgb="FF00B050"/>
      <sz val="10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72" fontId="1" fillId="0" borderId="1" applyAlignment="1" pivotButton="0" quotePrefix="0" xfId="0">
      <alignment horizontal="center" vertical="center" wrapText="1"/>
    </xf>
    <xf numFmtId="173" fontId="1" fillId="0" borderId="1" applyAlignment="1" pivotButton="0" quotePrefix="0" xfId="0">
      <alignment horizontal="center" vertical="center" wrapText="1"/>
    </xf>
    <xf numFmtId="9" fontId="0" fillId="0" borderId="0" pivotButton="0" quotePrefix="0" xfId="0"/>
    <xf numFmtId="4" fontId="2" fillId="0" borderId="1" applyAlignment="1" pivotButton="0" quotePrefix="0" xfId="0">
      <alignment horizontal="right" vertical="center" wrapText="1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7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3" fillId="0" borderId="1" applyAlignment="1" pivotButton="0" quotePrefix="0" xfId="0">
      <alignment horizontal="center" vertical="top" wrapText="1"/>
    </xf>
    <xf numFmtId="0" fontId="23" fillId="0" borderId="0" pivotButton="0" quotePrefix="0" xfId="0"/>
    <xf numFmtId="0" fontId="23" fillId="0" borderId="0" applyAlignment="1" pivotButton="0" quotePrefix="0" xfId="0">
      <alignment vertical="center"/>
    </xf>
    <xf numFmtId="49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horizontal="left" vertical="center" wrapText="1"/>
    </xf>
    <xf numFmtId="0" fontId="23" fillId="0" borderId="1" applyAlignment="1" pivotButton="0" quotePrefix="0" xfId="0">
      <alignment horizontal="center" vertical="center" wrapText="1"/>
    </xf>
    <xf numFmtId="4" fontId="23" fillId="0" borderId="1" applyAlignment="1" pivotButton="0" quotePrefix="0" xfId="0">
      <alignment horizontal="center" vertical="center"/>
    </xf>
    <xf numFmtId="166" fontId="23" fillId="0" borderId="1" applyAlignment="1" pivotButton="0" quotePrefix="0" xfId="0">
      <alignment horizontal="center" vertical="center"/>
    </xf>
    <xf numFmtId="167" fontId="23" fillId="0" borderId="1" applyAlignment="1" pivotButton="0" quotePrefix="0" xfId="0">
      <alignment horizontal="center" vertical="center"/>
    </xf>
    <xf numFmtId="0" fontId="23" fillId="0" borderId="1" applyAlignment="1" pivotButton="0" quotePrefix="0" xfId="0">
      <alignment vertical="center" wrapText="1"/>
    </xf>
    <xf numFmtId="168" fontId="23" fillId="4" borderId="1" applyAlignment="1" pivotButton="0" quotePrefix="0" xfId="0">
      <alignment horizontal="center" vertical="center"/>
    </xf>
    <xf numFmtId="0" fontId="23" fillId="0" borderId="1" applyAlignment="1" pivotButton="0" quotePrefix="0" xfId="0">
      <alignment wrapText="1"/>
    </xf>
    <xf numFmtId="0" fontId="24" fillId="0" borderId="1" applyAlignment="1" pivotButton="0" quotePrefix="0" xfId="0">
      <alignment vertical="center" wrapText="1"/>
    </xf>
    <xf numFmtId="4" fontId="24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left" vertical="center" wrapText="1"/>
    </xf>
    <xf numFmtId="2" fontId="17" fillId="0" borderId="1" applyAlignment="1" pivotButton="0" quotePrefix="0" xfId="0">
      <alignment horizontal="center" vertical="center"/>
    </xf>
    <xf numFmtId="2" fontId="17" fillId="0" borderId="1" applyAlignment="1" pivotButton="0" quotePrefix="0" xfId="0">
      <alignment horizontal="center" vertical="center" wrapText="1"/>
    </xf>
    <xf numFmtId="0" fontId="17" fillId="0" borderId="0" pivotButton="0" quotePrefix="0" xfId="0"/>
    <xf numFmtId="2" fontId="25" fillId="0" borderId="1" applyAlignment="1" pivotButton="0" quotePrefix="0" xfId="0">
      <alignment vertical="center" wrapText="1"/>
    </xf>
    <xf numFmtId="0" fontId="26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8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30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/>
  </sheetPr>
  <dimension ref="B3:D31"/>
  <sheetViews>
    <sheetView tabSelected="1" view="pageBreakPreview" topLeftCell="A28" zoomScale="70" zoomScaleNormal="70" workbookViewId="0">
      <selection activeCell="C26" sqref="C26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6" t="inlineStr">
        <is>
          <t>Приложение № 1</t>
        </is>
      </c>
    </row>
    <row r="4" ht="18.75" customHeight="1">
      <c r="B4" s="237" t="inlineStr">
        <is>
          <t>Сравнительная таблица отбора объекта-представителя</t>
        </is>
      </c>
    </row>
    <row r="5" ht="84" customHeight="1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5" t="inlineStr">
        <is>
          <t>Наименование разрабатываемого показателя УНЦ — ТН (до трех вторичных обмоток) на три фазы с устройством фундамента напряжение 35(20) кВ</t>
        </is>
      </c>
    </row>
    <row r="8" ht="31.5" customHeight="1">
      <c r="B8" s="235" t="inlineStr">
        <is>
          <t>Сопоставимый уровень цен: 1 квартал 2017 г</t>
        </is>
      </c>
    </row>
    <row r="9" ht="15.75" customHeight="1">
      <c r="B9" s="235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>Объект-представитель</t>
        </is>
      </c>
    </row>
    <row r="12" ht="41.25" customHeight="1">
      <c r="B12" s="241" t="n">
        <v>1</v>
      </c>
      <c r="C12" s="119" t="inlineStr">
        <is>
          <t>Наименование объекта-представителя</t>
        </is>
      </c>
      <c r="D12" s="241" t="inlineStr">
        <is>
          <t>ПС Бугры (МЭС Центра)</t>
        </is>
      </c>
    </row>
    <row r="13" ht="31.5" customHeight="1">
      <c r="B13" s="241" t="n">
        <v>2</v>
      </c>
      <c r="C13" s="119" t="inlineStr">
        <is>
          <t>Наименование субъекта Российской Федерации</t>
        </is>
      </c>
      <c r="D13" s="216" t="inlineStr">
        <is>
          <t>Республика Ингушетия</t>
        </is>
      </c>
    </row>
    <row r="14" ht="15.75" customHeight="1">
      <c r="B14" s="241" t="n">
        <v>3</v>
      </c>
      <c r="C14" s="119" t="inlineStr">
        <is>
          <t>Климатический район и подрайон</t>
        </is>
      </c>
      <c r="D14" s="296" t="inlineStr">
        <is>
          <t>III</t>
        </is>
      </c>
    </row>
    <row r="15" ht="15.75" customHeight="1">
      <c r="B15" s="241" t="n">
        <v>4</v>
      </c>
      <c r="C15" s="119" t="inlineStr">
        <is>
          <t>Мощность объекта</t>
        </is>
      </c>
      <c r="D15" s="241" t="inlineStr">
        <is>
          <t>Трансформатор - 1 компл</t>
        </is>
      </c>
    </row>
    <row r="16" ht="160.5" customHeight="1">
      <c r="B16" s="241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Трансформатор напряжения 35кВ (три фазы)</t>
        </is>
      </c>
    </row>
    <row r="17" ht="95.25" customHeight="1">
      <c r="B17" s="241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7">
        <f>'Прил.2 Расч стоим'!J12</f>
        <v/>
      </c>
    </row>
    <row r="18" ht="15.75" customHeight="1">
      <c r="B18" s="210" t="inlineStr">
        <is>
          <t>6.1</t>
        </is>
      </c>
      <c r="C18" s="119" t="inlineStr">
        <is>
          <t>строительно-монтажные работы</t>
        </is>
      </c>
      <c r="D18" s="207">
        <f>'Прил.2 Расч стоим'!G12</f>
        <v/>
      </c>
    </row>
    <row r="19" ht="15.75" customHeight="1">
      <c r="B19" s="210" t="inlineStr">
        <is>
          <t>6.2</t>
        </is>
      </c>
      <c r="C19" s="119" t="inlineStr">
        <is>
          <t>оборудование и инвентарь</t>
        </is>
      </c>
      <c r="D19" s="207">
        <f>'Прил.2 Расч стоим'!H12</f>
        <v/>
      </c>
    </row>
    <row r="20" ht="15.75" customHeight="1">
      <c r="B20" s="210" t="inlineStr">
        <is>
          <t>6.3</t>
        </is>
      </c>
      <c r="C20" s="119" t="inlineStr">
        <is>
          <t>пусконаладочные работы</t>
        </is>
      </c>
      <c r="D20" s="207">
        <f>D19*0.8*7%</f>
        <v/>
      </c>
    </row>
    <row r="21" ht="31.5" customHeight="1">
      <c r="B21" s="210" t="inlineStr">
        <is>
          <t>6.4</t>
        </is>
      </c>
      <c r="C21" s="119" t="inlineStr">
        <is>
          <t>прочие и лимитированные затраты</t>
        </is>
      </c>
      <c r="D21" s="207">
        <f>D17-D18-D19-D20</f>
        <v/>
      </c>
    </row>
    <row r="22" ht="15.75" customHeight="1">
      <c r="B22" s="241" t="n">
        <v>7</v>
      </c>
      <c r="C22" s="119" t="inlineStr">
        <is>
          <t>Сопоставимый уровень цен</t>
        </is>
      </c>
      <c r="D22" s="210" t="inlineStr">
        <is>
          <t>1 квартал 2017 г</t>
        </is>
      </c>
    </row>
    <row r="23" ht="110.25" customHeight="1">
      <c r="B23" s="241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7">
        <f>D17</f>
        <v/>
      </c>
    </row>
    <row r="24" ht="61.5" customHeight="1">
      <c r="B24" s="241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07">
        <f>D23/1</f>
        <v/>
      </c>
    </row>
    <row r="25" ht="37.5" customHeight="1">
      <c r="B25" s="122" t="n"/>
      <c r="C25" s="123" t="n"/>
      <c r="D25" s="12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8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60" zoomScaleNormal="70" workbookViewId="0">
      <selection activeCell="C26" sqref="C26"/>
    </sheetView>
  </sheetViews>
  <sheetFormatPr baseColWidth="8" defaultRowHeight="15"/>
  <cols>
    <col width="5.5703125" customWidth="1" min="1" max="1"/>
    <col width="35.28515625" customWidth="1" min="3" max="3"/>
    <col width="16.71093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6" t="inlineStr">
        <is>
          <t>Приложение № 2</t>
        </is>
      </c>
    </row>
    <row r="4" ht="15.75" customHeight="1">
      <c r="B4" s="240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5" t="inlineStr">
        <is>
          <t>Наименование разрабатываемого показателя УНЦ - ТН (до трех вторичных обмоток) на три фазы с устройством фундамента напряжение 35(20) кВ</t>
        </is>
      </c>
    </row>
    <row r="7" ht="15.75" customHeight="1">
      <c r="B7" s="235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>
      <c r="B10" s="322" t="n"/>
      <c r="C10" s="322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1 кв. 2017 г., тыс. руб.</t>
        </is>
      </c>
      <c r="G10" s="320" t="n"/>
      <c r="H10" s="320" t="n"/>
      <c r="I10" s="320" t="n"/>
      <c r="J10" s="321" t="n"/>
    </row>
    <row r="11" ht="31.5" customHeight="1">
      <c r="B11" s="323" t="n"/>
      <c r="C11" s="323" t="n"/>
      <c r="D11" s="323" t="n"/>
      <c r="E11" s="323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81" customFormat="1" customHeight="1" s="214">
      <c r="B12" s="208" t="n">
        <v>1</v>
      </c>
      <c r="C12" s="241" t="inlineStr">
        <is>
          <t>Трансформатор напряжения 35кВ (три фазы)</t>
        </is>
      </c>
      <c r="D12" s="210" t="inlineStr">
        <is>
          <t>ЛС 02-01-02</t>
        </is>
      </c>
      <c r="E12" s="211" t="inlineStr">
        <is>
          <t>Приобретение и монтаж оборудования на  ПС Плиево-Новая 1 ПК</t>
        </is>
      </c>
      <c r="F12" s="212" t="n"/>
      <c r="G12" s="212">
        <f>55128*6.19/1000</f>
        <v/>
      </c>
      <c r="H12" s="212">
        <f>172223*4.28/1000</f>
        <v/>
      </c>
      <c r="I12" s="212">
        <f>48418*6.19/1000</f>
        <v/>
      </c>
      <c r="J12" s="213">
        <f>SUM(F12:I12)</f>
        <v/>
      </c>
    </row>
    <row r="13" ht="15.75" customHeight="1">
      <c r="B13" s="239" t="inlineStr">
        <is>
          <t>Всего по объекту:</t>
        </is>
      </c>
      <c r="C13" s="320" t="n"/>
      <c r="D13" s="320" t="n"/>
      <c r="E13" s="321" t="n"/>
      <c r="F13" s="215">
        <f>F12</f>
        <v/>
      </c>
      <c r="G13" s="215">
        <f>G12</f>
        <v/>
      </c>
      <c r="H13" s="215">
        <f>H12</f>
        <v/>
      </c>
      <c r="I13" s="215">
        <f>I12</f>
        <v/>
      </c>
      <c r="J13" s="215">
        <f>J12</f>
        <v/>
      </c>
    </row>
    <row r="14" ht="28.5" customHeight="1">
      <c r="B14" s="239" t="inlineStr">
        <is>
          <t>Всего по объекту в сопоставимом уровне цен 1 кв. 2017 г:</t>
        </is>
      </c>
      <c r="C14" s="320" t="n"/>
      <c r="D14" s="320" t="n"/>
      <c r="E14" s="321" t="n"/>
      <c r="F14" s="215">
        <f>F13</f>
        <v/>
      </c>
      <c r="G14" s="215">
        <f>G13</f>
        <v/>
      </c>
      <c r="H14" s="215">
        <f>H13</f>
        <v/>
      </c>
      <c r="I14" s="215">
        <f>I13</f>
        <v/>
      </c>
      <c r="J14" s="215">
        <f>J13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65"/>
  <sheetViews>
    <sheetView view="pageBreakPreview" topLeftCell="A46" workbookViewId="0">
      <selection activeCell="C26" sqref="C26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8" min="8" max="8"/>
    <col width="10.140625" customWidth="1" min="9" max="9"/>
  </cols>
  <sheetData>
    <row r="2" ht="15.75" customHeight="1">
      <c r="A2" s="236" t="inlineStr">
        <is>
          <t xml:space="preserve">Приложение № 3 </t>
        </is>
      </c>
      <c r="I2" s="122" t="n"/>
    </row>
    <row r="3" ht="18.75" customHeight="1">
      <c r="A3" s="237" t="inlineStr">
        <is>
          <t>Объектная ресурсная ведомость</t>
        </is>
      </c>
    </row>
    <row r="4" ht="25.5" customHeight="1">
      <c r="B4" s="167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9" t="n"/>
      <c r="D5" s="149" t="n"/>
      <c r="E5" s="149" t="n"/>
      <c r="F5" s="149" t="n"/>
      <c r="G5" s="149" t="n"/>
      <c r="H5" s="150" t="n"/>
    </row>
    <row r="6" ht="15" customHeight="1">
      <c r="A6" s="250" t="inlineStr">
        <is>
          <t>Наименование разрабатываемого показателя УНЦ - ТН (до трех вторичных обмоток) на три фазы с устройством фундамента напряжение 35(20) кВ</t>
        </is>
      </c>
    </row>
    <row r="7" ht="14.25" customHeight="1"/>
    <row r="8" ht="15.75" customHeight="1">
      <c r="C8" s="151" t="n"/>
      <c r="D8" s="152" t="n"/>
      <c r="E8" s="153" t="n"/>
      <c r="F8" s="154" t="n"/>
      <c r="G8" s="155" t="n"/>
      <c r="H8" s="156" t="n"/>
    </row>
    <row r="9" ht="38.25" customHeight="1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1" t="n"/>
    </row>
    <row r="10" ht="40.5" customHeight="1">
      <c r="A10" s="323" t="n"/>
      <c r="B10" s="323" t="n"/>
      <c r="C10" s="323" t="n"/>
      <c r="D10" s="323" t="n"/>
      <c r="E10" s="323" t="n"/>
      <c r="F10" s="323" t="n"/>
      <c r="G10" s="241" t="inlineStr">
        <is>
          <t>на ед.изм.</t>
        </is>
      </c>
      <c r="H10" s="241" t="inlineStr">
        <is>
          <t>общая</t>
        </is>
      </c>
    </row>
    <row r="11" ht="15.75" customHeight="1">
      <c r="A11" s="241" t="n">
        <v>1</v>
      </c>
      <c r="B11" s="157" t="n"/>
      <c r="C11" s="241" t="n">
        <v>2</v>
      </c>
      <c r="D11" s="241" t="inlineStr">
        <is>
          <t>З</t>
        </is>
      </c>
      <c r="E11" s="241" t="n">
        <v>4</v>
      </c>
      <c r="F11" s="241" t="n">
        <v>5</v>
      </c>
      <c r="G11" s="157" t="n">
        <v>6</v>
      </c>
      <c r="H11" s="157" t="n">
        <v>7</v>
      </c>
    </row>
    <row r="12" ht="15" customHeight="1">
      <c r="A12" s="246" t="inlineStr">
        <is>
          <t>Затраты труда рабочих</t>
        </is>
      </c>
      <c r="B12" s="320" t="n"/>
      <c r="C12" s="320" t="n"/>
      <c r="D12" s="321" t="n"/>
      <c r="E12" s="158" t="n"/>
      <c r="F12" s="173">
        <f>SUM(F13:F15)</f>
        <v/>
      </c>
      <c r="G12" s="158" t="n"/>
      <c r="H12" s="174">
        <f>SUM(H13:H15)</f>
        <v/>
      </c>
    </row>
    <row r="13">
      <c r="A13" s="146" t="inlineStr">
        <is>
          <t>1</t>
        </is>
      </c>
      <c r="B13" s="146" t="n"/>
      <c r="C13" s="146" t="inlineStr">
        <is>
          <t>10-30-1</t>
        </is>
      </c>
      <c r="D13" s="256" t="inlineStr">
        <is>
          <t>Инженер I категории</t>
        </is>
      </c>
      <c r="E13" s="257" t="inlineStr">
        <is>
          <t>чел.час</t>
        </is>
      </c>
      <c r="F13" s="258" t="n">
        <v>230.5</v>
      </c>
      <c r="G13" s="271" t="n">
        <v>15.49</v>
      </c>
      <c r="H13" s="32">
        <f>ROUND(F13*G13,2)</f>
        <v/>
      </c>
      <c r="J13" s="161" t="n"/>
      <c r="K13" s="160" t="n"/>
      <c r="L13" s="160" t="n"/>
    </row>
    <row r="14">
      <c r="A14" s="146" t="inlineStr">
        <is>
          <t>2</t>
        </is>
      </c>
      <c r="B14" s="146" t="n"/>
      <c r="C14" s="146" t="inlineStr">
        <is>
          <t>10-30-2</t>
        </is>
      </c>
      <c r="D14" s="256" t="inlineStr">
        <is>
          <t>Инженер II категории</t>
        </is>
      </c>
      <c r="E14" s="257" t="inlineStr">
        <is>
          <t>чел.час</t>
        </is>
      </c>
      <c r="F14" s="258" t="n">
        <v>230.5</v>
      </c>
      <c r="G14" s="271" t="n">
        <v>14.09</v>
      </c>
      <c r="H14" s="32">
        <f>ROUND(F14*G14,2)</f>
        <v/>
      </c>
      <c r="J14" s="161" t="n"/>
      <c r="K14" s="160" t="n"/>
      <c r="L14" s="160" t="n"/>
    </row>
    <row r="15">
      <c r="A15" s="146" t="inlineStr">
        <is>
          <t>3</t>
        </is>
      </c>
      <c r="B15" s="146" t="n"/>
      <c r="C15" s="146" t="inlineStr">
        <is>
          <t>1-4-0</t>
        </is>
      </c>
      <c r="D15" s="256" t="inlineStr">
        <is>
          <t>Затраты труда рабочих (средний разряд работы 4,0)</t>
        </is>
      </c>
      <c r="E15" s="257" t="inlineStr">
        <is>
          <t>чел.час</t>
        </is>
      </c>
      <c r="F15" s="177" t="n">
        <v>166.964</v>
      </c>
      <c r="G15" s="271" t="n">
        <v>9.619999999999999</v>
      </c>
      <c r="H15" s="32">
        <f>ROUND(F15*G15,2)</f>
        <v/>
      </c>
      <c r="J15" s="161" t="n"/>
      <c r="K15" s="160" t="n"/>
      <c r="L15" s="160" t="n"/>
    </row>
    <row r="16">
      <c r="A16" s="324" t="inlineStr">
        <is>
          <t>Затраты труда машинистов</t>
        </is>
      </c>
      <c r="B16" s="325" t="n"/>
      <c r="C16" s="325" t="n"/>
      <c r="D16" s="326" t="n"/>
      <c r="E16" s="272" t="n"/>
      <c r="F16" s="163" t="n"/>
      <c r="G16" s="159" t="n"/>
      <c r="H16" s="175">
        <f>H17</f>
        <v/>
      </c>
      <c r="L16" s="160" t="n"/>
    </row>
    <row r="17">
      <c r="A17" s="172" t="inlineStr">
        <is>
          <t>4</t>
        </is>
      </c>
      <c r="B17" s="172" t="n"/>
      <c r="C17" s="146" t="n">
        <v>2</v>
      </c>
      <c r="D17" s="256" t="inlineStr">
        <is>
          <t>Затраты труда машинистов</t>
        </is>
      </c>
      <c r="E17" s="257" t="inlineStr">
        <is>
          <t>чел.час</t>
        </is>
      </c>
      <c r="F17" s="257" t="n">
        <v>79.65179999999999</v>
      </c>
      <c r="G17" s="271" t="n"/>
      <c r="H17" s="271" t="n">
        <v>928.91</v>
      </c>
    </row>
    <row r="18" ht="15" customHeight="1">
      <c r="A18" s="246" t="inlineStr">
        <is>
          <t>Машины и механизмы</t>
        </is>
      </c>
      <c r="B18" s="320" t="n"/>
      <c r="C18" s="320" t="n"/>
      <c r="D18" s="321" t="n"/>
      <c r="E18" s="158" t="n"/>
      <c r="F18" s="158" t="n"/>
      <c r="G18" s="158" t="n"/>
      <c r="H18" s="176">
        <f>SUM(H19:H26)</f>
        <v/>
      </c>
      <c r="K18" s="160" t="n"/>
    </row>
    <row r="19" ht="25.5" customHeight="1">
      <c r="A19" s="146" t="inlineStr">
        <is>
          <t>5</t>
        </is>
      </c>
      <c r="B19" s="146" t="n"/>
      <c r="C19" s="146" t="inlineStr">
        <is>
          <t>91.11.01-012</t>
        </is>
      </c>
      <c r="D19" s="256" t="inlineStr">
        <is>
          <t>Машины монтажные для выполнения работ при прокладке и монтаже кабеля на базе автомобиля</t>
        </is>
      </c>
      <c r="E19" s="257" t="inlineStr">
        <is>
          <t>маш.час</t>
        </is>
      </c>
      <c r="F19" s="147" t="n">
        <v>48</v>
      </c>
      <c r="G19" s="259" t="n">
        <v>110.86</v>
      </c>
      <c r="H19" s="32">
        <f>ROUND(F19*G19,2)</f>
        <v/>
      </c>
      <c r="I19" s="164" t="n"/>
    </row>
    <row r="20">
      <c r="A20" s="146" t="inlineStr">
        <is>
          <t>6</t>
        </is>
      </c>
      <c r="B20" s="146" t="n"/>
      <c r="C20" s="146" t="inlineStr">
        <is>
          <t>91.10.01-002</t>
        </is>
      </c>
      <c r="D20" s="256" t="inlineStr">
        <is>
          <t>Агрегаты наполнительно-опрессовочные: до 300 м3/ч</t>
        </is>
      </c>
      <c r="E20" s="257" t="inlineStr">
        <is>
          <t>маш.час</t>
        </is>
      </c>
      <c r="F20" s="147" t="n">
        <v>10.99</v>
      </c>
      <c r="G20" s="259" t="n">
        <v>287.99</v>
      </c>
      <c r="H20" s="32">
        <f>ROUND(F20*G20,2)</f>
        <v/>
      </c>
      <c r="I20" s="164" t="n"/>
    </row>
    <row r="21" ht="25.5" customHeight="1">
      <c r="A21" s="146" t="inlineStr">
        <is>
          <t>7</t>
        </is>
      </c>
      <c r="B21" s="146" t="n"/>
      <c r="C21" s="146" t="inlineStr">
        <is>
          <t>91.06.03-058</t>
        </is>
      </c>
      <c r="D21" s="256" t="inlineStr">
        <is>
          <t>Лебедки электрические тяговым усилием: 156,96 кН (16 т)</t>
        </is>
      </c>
      <c r="E21" s="257" t="inlineStr">
        <is>
          <t>маш.час</t>
        </is>
      </c>
      <c r="F21" s="147" t="n">
        <v>10.99</v>
      </c>
      <c r="G21" s="259" t="n">
        <v>131.44</v>
      </c>
      <c r="H21" s="32">
        <f>ROUND(F21*G21,2)</f>
        <v/>
      </c>
      <c r="I21" s="164" t="n"/>
    </row>
    <row r="22">
      <c r="A22" s="146" t="inlineStr">
        <is>
          <t>8</t>
        </is>
      </c>
      <c r="B22" s="146" t="n"/>
      <c r="C22" s="146" t="inlineStr">
        <is>
          <t>91.05.05-014</t>
        </is>
      </c>
      <c r="D22" s="256" t="inlineStr">
        <is>
          <t>Краны на автомобильном ходу, грузоподъемность 10 т</t>
        </is>
      </c>
      <c r="E22" s="257" t="inlineStr">
        <is>
          <t>маш.час</t>
        </is>
      </c>
      <c r="F22" s="178" t="n">
        <v>3.88</v>
      </c>
      <c r="G22" s="259" t="n">
        <v>111.99</v>
      </c>
      <c r="H22" s="32">
        <f>ROUND(F22*G22,2)</f>
        <v/>
      </c>
      <c r="I22" s="164" t="n"/>
    </row>
    <row r="23">
      <c r="A23" s="146" t="inlineStr">
        <is>
          <t>9</t>
        </is>
      </c>
      <c r="B23" s="146" t="n"/>
      <c r="C23" s="146" t="inlineStr">
        <is>
          <t>91.14.02-001</t>
        </is>
      </c>
      <c r="D23" s="256" t="inlineStr">
        <is>
          <t>Автомобили бортовые, грузоподъемность: до 5 т</t>
        </is>
      </c>
      <c r="E23" s="257" t="inlineStr">
        <is>
          <t>маш.час</t>
        </is>
      </c>
      <c r="F23" s="178" t="n">
        <v>2.4</v>
      </c>
      <c r="G23" s="259" t="n">
        <v>65.70999999999999</v>
      </c>
      <c r="H23" s="32">
        <f>ROUND(F23*G23,2)</f>
        <v/>
      </c>
      <c r="I23" s="164" t="n"/>
    </row>
    <row r="24">
      <c r="A24" s="146" t="inlineStr">
        <is>
          <t>10</t>
        </is>
      </c>
      <c r="B24" s="146" t="n"/>
      <c r="C24" s="146" t="inlineStr">
        <is>
          <t>91.06.06-042</t>
        </is>
      </c>
      <c r="D24" s="256" t="inlineStr">
        <is>
          <t>Подъемники гидравлические высотой подъема: 10 м</t>
        </is>
      </c>
      <c r="E24" s="257" t="inlineStr">
        <is>
          <t>маш.час</t>
        </is>
      </c>
      <c r="F24" s="178" t="n">
        <v>1.86</v>
      </c>
      <c r="G24" s="259" t="n">
        <v>29.6</v>
      </c>
      <c r="H24" s="32">
        <f>ROUND(F24*G24,2)</f>
        <v/>
      </c>
      <c r="I24" s="164" t="n"/>
    </row>
    <row r="25" ht="25.5" customHeight="1">
      <c r="A25" s="146" t="inlineStr">
        <is>
          <t>11</t>
        </is>
      </c>
      <c r="B25" s="146" t="n"/>
      <c r="C25" s="146" t="inlineStr">
        <is>
          <t>91.17.04-233</t>
        </is>
      </c>
      <c r="D25" s="256" t="inlineStr">
        <is>
          <t>Установки для сварки: ручной дуговой (постоянного тока)</t>
        </is>
      </c>
      <c r="E25" s="257" t="inlineStr">
        <is>
          <t>маш.час</t>
        </is>
      </c>
      <c r="F25" s="178" t="n">
        <v>4.9</v>
      </c>
      <c r="G25" s="259" t="n">
        <v>8.1</v>
      </c>
      <c r="H25" s="32">
        <f>ROUND(F25*G25,2)</f>
        <v/>
      </c>
      <c r="I25" s="164" t="n"/>
    </row>
    <row r="26">
      <c r="A26" s="146" t="inlineStr">
        <is>
          <t>12</t>
        </is>
      </c>
      <c r="B26" s="146" t="n"/>
      <c r="C26" s="146" t="inlineStr">
        <is>
          <t>91.06.01-003</t>
        </is>
      </c>
      <c r="D26" s="256" t="inlineStr">
        <is>
          <t>Домкраты гидравлические, грузоподъемность 63-100 т</t>
        </is>
      </c>
      <c r="E26" s="257" t="inlineStr">
        <is>
          <t>маш.час</t>
        </is>
      </c>
      <c r="F26" s="178" t="n">
        <v>21.95</v>
      </c>
      <c r="G26" s="259" t="n">
        <v>0.9</v>
      </c>
      <c r="H26" s="32">
        <f>ROUND(F26*G26,2)</f>
        <v/>
      </c>
      <c r="I26" s="164" t="n"/>
    </row>
    <row r="27" ht="15" customHeight="1">
      <c r="A27" s="247" t="inlineStr">
        <is>
          <t>Оборудование</t>
        </is>
      </c>
      <c r="B27" s="320" t="n"/>
      <c r="C27" s="320" t="n"/>
      <c r="D27" s="321" t="n"/>
      <c r="E27" s="165" t="n"/>
      <c r="F27" s="166" t="n"/>
      <c r="G27" s="159" t="n"/>
      <c r="H27" s="180">
        <f>SUM(H28:H30)</f>
        <v/>
      </c>
      <c r="I27" s="164" t="n"/>
    </row>
    <row r="28" ht="25.5" customHeight="1">
      <c r="A28" s="146" t="inlineStr">
        <is>
          <t>13</t>
        </is>
      </c>
      <c r="B28" s="146" t="n"/>
      <c r="C28" s="258" t="inlineStr">
        <is>
          <t>Прайс из СД ОП</t>
        </is>
      </c>
      <c r="D28" s="256" t="inlineStr">
        <is>
          <t>Трансформатор напряжения VEF
36V УХЛ1</t>
        </is>
      </c>
      <c r="E28" s="257" t="inlineStr">
        <is>
          <t>шт.</t>
        </is>
      </c>
      <c r="F28" s="148" t="n">
        <v>3</v>
      </c>
      <c r="G28" s="259" t="n">
        <v>54429.46</v>
      </c>
      <c r="H28" s="32" t="n">
        <v>163288.38</v>
      </c>
      <c r="I28" s="164" t="n"/>
    </row>
    <row r="29" ht="25.5" customHeight="1">
      <c r="A29" s="146" t="inlineStr">
        <is>
          <t>14</t>
        </is>
      </c>
      <c r="B29" s="146" t="n"/>
      <c r="C29" s="146" t="inlineStr">
        <is>
          <t>Прайс из СД ОП</t>
        </is>
      </c>
      <c r="D29" s="256" t="inlineStr">
        <is>
          <t>Ящик АВР цепей напряжения
ЯАВР2.1-АСКУЭ-220В</t>
        </is>
      </c>
      <c r="E29" s="257" t="inlineStr">
        <is>
          <t>шт.</t>
        </is>
      </c>
      <c r="F29" s="257" t="n">
        <v>1</v>
      </c>
      <c r="G29" s="259" t="n">
        <v>4887.58</v>
      </c>
      <c r="H29" s="32" t="n">
        <v>4887.58</v>
      </c>
      <c r="I29" s="164" t="n"/>
    </row>
    <row r="30" ht="25.5" customHeight="1">
      <c r="A30" s="146" t="inlineStr">
        <is>
          <t>15</t>
        </is>
      </c>
      <c r="B30" s="146" t="n"/>
      <c r="C30" s="146" t="inlineStr">
        <is>
          <t>Прайс из СД ОП</t>
        </is>
      </c>
      <c r="D30" s="256" t="inlineStr">
        <is>
          <t>Ящик цепей напряжения ЯЗН-11-
АСКУЭ</t>
        </is>
      </c>
      <c r="E30" s="257" t="inlineStr">
        <is>
          <t>шт.</t>
        </is>
      </c>
      <c r="F30" s="257" t="n">
        <v>1</v>
      </c>
      <c r="G30" s="259" t="n">
        <v>4046.87</v>
      </c>
      <c r="H30" s="32" t="n">
        <v>4046.87</v>
      </c>
      <c r="I30" s="164" t="n"/>
    </row>
    <row r="31" ht="15" customHeight="1">
      <c r="A31" s="246" t="inlineStr">
        <is>
          <t>Материалы</t>
        </is>
      </c>
      <c r="B31" s="320" t="n"/>
      <c r="C31" s="320" t="n"/>
      <c r="D31" s="321" t="n"/>
      <c r="E31" s="171" t="n"/>
      <c r="F31" s="171" t="n"/>
      <c r="G31" s="158" t="n"/>
      <c r="H31" s="176">
        <f>SUM(H32:H55)</f>
        <v/>
      </c>
    </row>
    <row r="32" ht="25.5" customHeight="1">
      <c r="A32" s="146" t="inlineStr">
        <is>
          <t>16</t>
        </is>
      </c>
      <c r="B32" s="146" t="n"/>
      <c r="C32" s="146" t="inlineStr">
        <is>
          <t>07.2.07.04-0004</t>
        </is>
      </c>
      <c r="D32" s="256" t="inlineStr">
        <is>
          <t>Конструкции стальные индивидуальные решетчатые сварные, масса 0,5-1 т</t>
        </is>
      </c>
      <c r="E32" s="257" t="inlineStr">
        <is>
          <t>т</t>
        </is>
      </c>
      <c r="F32" s="148" t="n">
        <v>0.3199</v>
      </c>
      <c r="G32" s="259" t="n">
        <v>10367.82</v>
      </c>
      <c r="H32" s="32">
        <f>ROUND(F32*G32,2)</f>
        <v/>
      </c>
      <c r="I32" s="164" t="n"/>
      <c r="J32" s="164" t="n"/>
    </row>
    <row r="33" ht="25.5" customHeight="1">
      <c r="A33" s="146" t="inlineStr">
        <is>
          <t>17</t>
        </is>
      </c>
      <c r="B33" s="146" t="n"/>
      <c r="C33" s="258" t="inlineStr">
        <is>
          <t>21.1.06.10-0411</t>
        </is>
      </c>
      <c r="D33" s="256" t="inlineStr">
        <is>
          <t>Кабель силовой с медными жилами ВВГнг(A)-LS 5х16мк(N, РЕ)-1000</t>
        </is>
      </c>
      <c r="E33" s="257" t="inlineStr">
        <is>
          <t>1000 м</t>
        </is>
      </c>
      <c r="F33" s="148">
        <f>0.007*3*1</f>
        <v/>
      </c>
      <c r="G33" s="259" t="n">
        <v>98440.41</v>
      </c>
      <c r="H33" s="32">
        <f>ROUND(F33*G33,2)</f>
        <v/>
      </c>
      <c r="I33" s="164" t="n"/>
      <c r="J33" s="164" t="n"/>
    </row>
    <row r="34">
      <c r="A34" s="146" t="inlineStr">
        <is>
          <t>18</t>
        </is>
      </c>
      <c r="B34" s="146" t="n"/>
      <c r="C34" s="258" t="inlineStr">
        <is>
          <t>05.1.05.16-0221</t>
        </is>
      </c>
      <c r="D34" s="256" t="inlineStr">
        <is>
          <t>Фундаменты сборные железобетонные ВЛ и ОРУ</t>
        </is>
      </c>
      <c r="E34" s="257" t="inlineStr">
        <is>
          <t>м3</t>
        </is>
      </c>
      <c r="F34" s="148" t="n">
        <v>1.1817</v>
      </c>
      <c r="G34" s="259" t="n">
        <v>1597.37</v>
      </c>
      <c r="H34" s="32">
        <f>ROUND(F34*G34,2)</f>
        <v/>
      </c>
      <c r="I34" s="164" t="n"/>
      <c r="J34" s="164" t="n"/>
    </row>
    <row r="35">
      <c r="A35" s="146" t="inlineStr">
        <is>
          <t>19</t>
        </is>
      </c>
      <c r="B35" s="146" t="n"/>
      <c r="C35" s="258" t="inlineStr">
        <is>
          <t>21.1.08.03-0574</t>
        </is>
      </c>
      <c r="D35" s="256" t="inlineStr">
        <is>
          <t>Кабель контрольный КВВГЭнг(А)-LS 4x2,5</t>
        </is>
      </c>
      <c r="E35" s="257" t="inlineStr">
        <is>
          <t>1000 м</t>
        </is>
      </c>
      <c r="F35" s="148">
        <f>0.014*3*1</f>
        <v/>
      </c>
      <c r="G35" s="259" t="n">
        <v>38348.22</v>
      </c>
      <c r="H35" s="32">
        <f>ROUND(F35*G35,2)</f>
        <v/>
      </c>
      <c r="I35" s="164" t="n"/>
      <c r="J35" s="164" t="n"/>
    </row>
    <row r="36" ht="25.5" customHeight="1">
      <c r="A36" s="146" t="inlineStr">
        <is>
          <t>20</t>
        </is>
      </c>
      <c r="B36" s="146" t="n"/>
      <c r="C36" s="258" t="inlineStr">
        <is>
          <t>05.1.01.10-0131</t>
        </is>
      </c>
      <c r="D36" s="256" t="inlineStr">
        <is>
          <t>Лотки каналов и тоннелей железобетонные для прокладки коммуникаций</t>
        </is>
      </c>
      <c r="E36" s="257" t="inlineStr">
        <is>
          <t>м3</t>
        </is>
      </c>
      <c r="F36" s="148">
        <f>0.28*1</f>
        <v/>
      </c>
      <c r="G36" s="259" t="n">
        <v>1837.28</v>
      </c>
      <c r="H36" s="32">
        <f>ROUND(F36*G36,2)</f>
        <v/>
      </c>
      <c r="I36" s="164" t="n"/>
      <c r="J36" s="179" t="n"/>
    </row>
    <row r="37" ht="51" customHeight="1">
      <c r="A37" s="146" t="inlineStr">
        <is>
          <t>21</t>
        </is>
      </c>
      <c r="B37" s="146" t="n"/>
      <c r="C37" s="258" t="inlineStr">
        <is>
          <t>21.2.01.02-0090</t>
        </is>
      </c>
      <c r="D37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E37" s="257" t="inlineStr">
        <is>
          <t>т</t>
        </is>
      </c>
      <c r="F37" s="148" t="n">
        <v>0.012831</v>
      </c>
      <c r="G37" s="259" t="n">
        <v>32762.18</v>
      </c>
      <c r="H37" s="32">
        <f>ROUND(F37*G37,2)</f>
        <v/>
      </c>
      <c r="I37" s="164" t="n"/>
    </row>
    <row r="38" ht="25.5" customHeight="1">
      <c r="A38" s="146" t="inlineStr">
        <is>
          <t>22</t>
        </is>
      </c>
      <c r="B38" s="146" t="n"/>
      <c r="C38" s="258" t="inlineStr">
        <is>
          <t>61.2.04.01-0002</t>
        </is>
      </c>
      <c r="D38" s="256" t="inlineStr">
        <is>
          <t>Арматура светосигнальная АМЕ с лампой накаливания КМ- 24В</t>
        </is>
      </c>
      <c r="E38" s="257" t="inlineStr">
        <is>
          <t>10 шт.</t>
        </is>
      </c>
      <c r="F38" s="148" t="n">
        <v>2</v>
      </c>
      <c r="G38" s="259" t="n">
        <v>194.2</v>
      </c>
      <c r="H38" s="32">
        <f>ROUND(F38*G38,2)</f>
        <v/>
      </c>
      <c r="I38" s="164" t="n"/>
    </row>
    <row r="39">
      <c r="A39" s="146" t="inlineStr">
        <is>
          <t>23</t>
        </is>
      </c>
      <c r="B39" s="146" t="n"/>
      <c r="C39" s="258" t="inlineStr">
        <is>
          <t>20.1.01.02-0062</t>
        </is>
      </c>
      <c r="D39" s="256" t="inlineStr">
        <is>
          <t>Зажим аппаратный прессуемый: А4А-150-2</t>
        </is>
      </c>
      <c r="E39" s="257" t="inlineStr">
        <is>
          <t>100 шт.</t>
        </is>
      </c>
      <c r="F39" s="148" t="n">
        <v>0.1236</v>
      </c>
      <c r="G39" s="259" t="n">
        <v>2695</v>
      </c>
      <c r="H39" s="32">
        <f>ROUND(F39*G39,2)</f>
        <v/>
      </c>
      <c r="I39" s="164" t="n"/>
    </row>
    <row r="40">
      <c r="A40" s="146" t="inlineStr">
        <is>
          <t>24</t>
        </is>
      </c>
      <c r="B40" s="146" t="n"/>
      <c r="C40" s="258" t="inlineStr">
        <is>
          <t>01.7.17.11-0001</t>
        </is>
      </c>
      <c r="D40" s="256" t="inlineStr">
        <is>
          <t>Бумага шлифовальная</t>
        </is>
      </c>
      <c r="E40" s="257" t="inlineStr">
        <is>
          <t>кг</t>
        </is>
      </c>
      <c r="F40" s="148" t="n">
        <v>4</v>
      </c>
      <c r="G40" s="259" t="n">
        <v>50</v>
      </c>
      <c r="H40" s="32">
        <f>ROUND(F40*G40,2)</f>
        <v/>
      </c>
      <c r="I40" s="164" t="n"/>
    </row>
    <row r="41" ht="25.5" customHeight="1">
      <c r="A41" s="146" t="inlineStr">
        <is>
          <t>25</t>
        </is>
      </c>
      <c r="B41" s="146" t="n"/>
      <c r="C41" s="258" t="inlineStr">
        <is>
          <t>999-9950</t>
        </is>
      </c>
      <c r="D41" s="256" t="inlineStr">
        <is>
          <t>Вспомогательные ненормируемые ресурсы (2% от Оплаты труда рабочих)</t>
        </is>
      </c>
      <c r="E41" s="257" t="inlineStr">
        <is>
          <t>руб</t>
        </is>
      </c>
      <c r="F41" s="148" t="n">
        <v>159.304</v>
      </c>
      <c r="G41" s="259" t="n">
        <v>1</v>
      </c>
      <c r="H41" s="32">
        <f>ROUND(F41*G41,2)</f>
        <v/>
      </c>
      <c r="I41" s="164" t="n"/>
    </row>
    <row r="42">
      <c r="A42" s="146" t="inlineStr">
        <is>
          <t>26</t>
        </is>
      </c>
      <c r="B42" s="146" t="n"/>
      <c r="C42" s="258" t="inlineStr">
        <is>
          <t>20.2.08.05-0017</t>
        </is>
      </c>
      <c r="D42" s="256" t="inlineStr">
        <is>
          <t>Профиль монтажный</t>
        </is>
      </c>
      <c r="E42" s="257" t="inlineStr">
        <is>
          <t>шт.</t>
        </is>
      </c>
      <c r="F42" s="148" t="n">
        <v>2</v>
      </c>
      <c r="G42" s="259" t="n">
        <v>66.81999999999999</v>
      </c>
      <c r="H42" s="32">
        <f>ROUND(F42*G42,2)</f>
        <v/>
      </c>
      <c r="I42" s="164" t="n"/>
    </row>
    <row r="43">
      <c r="A43" s="146" t="inlineStr">
        <is>
          <t>27</t>
        </is>
      </c>
      <c r="B43" s="146" t="n"/>
      <c r="C43" s="258" t="inlineStr">
        <is>
          <t>20.1.01.03-0002</t>
        </is>
      </c>
      <c r="D43" s="256" t="inlineStr">
        <is>
          <t>Зажим винтовой ЗВИ-10 2,5-6 мм2 12 пар</t>
        </is>
      </c>
      <c r="E43" s="257" t="inlineStr">
        <is>
          <t>шт.</t>
        </is>
      </c>
      <c r="F43" s="148" t="n">
        <v>20</v>
      </c>
      <c r="G43" s="259" t="n">
        <v>6.29</v>
      </c>
      <c r="H43" s="32">
        <f>ROUND(F43*G43,2)</f>
        <v/>
      </c>
      <c r="I43" s="164" t="n"/>
    </row>
    <row r="44">
      <c r="A44" s="146" t="inlineStr">
        <is>
          <t>28</t>
        </is>
      </c>
      <c r="B44" s="146" t="n"/>
      <c r="C44" s="258" t="inlineStr">
        <is>
          <t>01.7.15.03-0042</t>
        </is>
      </c>
      <c r="D44" s="256" t="inlineStr">
        <is>
          <t>Болты с гайками и шайбами строительные</t>
        </is>
      </c>
      <c r="E44" s="257" t="inlineStr">
        <is>
          <t>кг</t>
        </is>
      </c>
      <c r="F44" s="148" t="n">
        <v>11.645</v>
      </c>
      <c r="G44" s="259" t="n">
        <v>9.039999999999999</v>
      </c>
      <c r="H44" s="32">
        <f>ROUND(F44*G44,2)</f>
        <v/>
      </c>
      <c r="I44" s="164" t="n"/>
    </row>
    <row r="45">
      <c r="A45" s="146" t="inlineStr">
        <is>
          <t>29</t>
        </is>
      </c>
      <c r="B45" s="146" t="n"/>
      <c r="C45" s="146" t="inlineStr">
        <is>
          <t>02.2.05.04-1777</t>
        </is>
      </c>
      <c r="D45" s="256" t="inlineStr">
        <is>
          <t>Щебень М 800, фракция 20-40 мм, группа 2</t>
        </is>
      </c>
      <c r="E45" s="257" t="inlineStr">
        <is>
          <t>м3</t>
        </is>
      </c>
      <c r="F45" s="258">
        <f>0.8*1*1</f>
        <v/>
      </c>
      <c r="G45" s="271" t="n">
        <v>108.4</v>
      </c>
      <c r="H45" s="32">
        <f>ROUND(F45*G45,2)</f>
        <v/>
      </c>
      <c r="I45" s="164" t="n"/>
    </row>
    <row r="46" ht="25.5" customHeight="1">
      <c r="A46" s="146" t="inlineStr">
        <is>
          <t>30</t>
        </is>
      </c>
      <c r="B46" s="146" t="n"/>
      <c r="C46" s="258" t="inlineStr">
        <is>
          <t>08.3.07.01-0076</t>
        </is>
      </c>
      <c r="D46" s="256" t="inlineStr">
        <is>
          <t>Сталь полосовая, марка стали: Ст3сп шириной 50-200 мм толщиной 4-5 мм</t>
        </is>
      </c>
      <c r="E46" s="257" t="inlineStr">
        <is>
          <t>т</t>
        </is>
      </c>
      <c r="F46" s="148" t="n">
        <v>0.0104</v>
      </c>
      <c r="G46" s="259" t="n">
        <v>5000</v>
      </c>
      <c r="H46" s="32">
        <f>ROUND(F46*G46,2)</f>
        <v/>
      </c>
      <c r="I46" s="164" t="n"/>
    </row>
    <row r="47">
      <c r="A47" s="146" t="inlineStr">
        <is>
          <t>31</t>
        </is>
      </c>
      <c r="B47" s="146" t="n"/>
      <c r="C47" s="258" t="inlineStr">
        <is>
          <t>20.2.08.07-0072</t>
        </is>
      </c>
      <c r="D47" s="256" t="inlineStr">
        <is>
          <t>Скобы металлические для крепления проводов</t>
        </is>
      </c>
      <c r="E47" s="257" t="inlineStr">
        <is>
          <t>10шт</t>
        </is>
      </c>
      <c r="F47" s="148" t="n">
        <v>2</v>
      </c>
      <c r="G47" s="259" t="n">
        <v>29.4</v>
      </c>
      <c r="H47" s="32">
        <f>ROUND(F47*G47,2)</f>
        <v/>
      </c>
      <c r="I47" s="164" t="n"/>
    </row>
    <row r="48">
      <c r="A48" s="146" t="inlineStr">
        <is>
          <t>32</t>
        </is>
      </c>
      <c r="B48" s="146" t="n"/>
      <c r="C48" s="258" t="inlineStr">
        <is>
          <t>01.7.11.07-0034</t>
        </is>
      </c>
      <c r="D48" s="256" t="inlineStr">
        <is>
          <t>Электроды диаметром: 4 мм Э42А</t>
        </is>
      </c>
      <c r="E48" s="257" t="inlineStr">
        <is>
          <t>кг</t>
        </is>
      </c>
      <c r="F48" s="148" t="n">
        <v>1.6216</v>
      </c>
      <c r="G48" s="259" t="n">
        <v>10.57</v>
      </c>
      <c r="H48" s="32">
        <f>ROUND(F48*G48,2)</f>
        <v/>
      </c>
      <c r="I48" s="164" t="n"/>
    </row>
    <row r="49">
      <c r="A49" s="146" t="inlineStr">
        <is>
          <t>33</t>
        </is>
      </c>
      <c r="B49" s="146" t="n"/>
      <c r="C49" s="258" t="inlineStr">
        <is>
          <t>01.7.15.07-0031</t>
        </is>
      </c>
      <c r="D49" s="256" t="inlineStr">
        <is>
          <t>Дюбели распорные с гайкой</t>
        </is>
      </c>
      <c r="E49" s="257" t="inlineStr">
        <is>
          <t>100 шт.</t>
        </is>
      </c>
      <c r="F49" s="148" t="n">
        <v>0.1089</v>
      </c>
      <c r="G49" s="259" t="n">
        <v>110</v>
      </c>
      <c r="H49" s="32">
        <f>ROUND(F49*G49,2)</f>
        <v/>
      </c>
      <c r="I49" s="164" t="n"/>
    </row>
    <row r="50" ht="25.5" customHeight="1">
      <c r="A50" s="146" t="inlineStr">
        <is>
          <t>34</t>
        </is>
      </c>
      <c r="B50" s="146" t="n"/>
      <c r="C50" s="258" t="inlineStr">
        <is>
          <t>03.2.01.01-0003</t>
        </is>
      </c>
      <c r="D50" s="256" t="inlineStr">
        <is>
          <t>Портландцемент общестроительного назначения бездобавочный, марки: 500</t>
        </is>
      </c>
      <c r="E50" s="257" t="inlineStr">
        <is>
          <t>т</t>
        </is>
      </c>
      <c r="F50" s="148" t="n">
        <v>0.0245</v>
      </c>
      <c r="G50" s="259" t="n">
        <v>480</v>
      </c>
      <c r="H50" s="32">
        <f>ROUND(F50*G50,2)</f>
        <v/>
      </c>
      <c r="I50" s="164" t="n"/>
    </row>
    <row r="51">
      <c r="A51" s="146" t="inlineStr">
        <is>
          <t>35</t>
        </is>
      </c>
      <c r="B51" s="146" t="n"/>
      <c r="C51" s="258" t="inlineStr">
        <is>
          <t>14.4.02.09-0001</t>
        </is>
      </c>
      <c r="D51" s="256" t="inlineStr">
        <is>
          <t>Краска</t>
        </is>
      </c>
      <c r="E51" s="257" t="inlineStr">
        <is>
          <t>кг</t>
        </is>
      </c>
      <c r="F51" s="148" t="n">
        <v>0.396</v>
      </c>
      <c r="G51" s="259" t="n">
        <v>28.6</v>
      </c>
      <c r="H51" s="32">
        <f>ROUND(F51*G51,2)</f>
        <v/>
      </c>
      <c r="I51" s="164" t="n"/>
    </row>
    <row r="52" ht="25.5" customHeight="1">
      <c r="A52" s="146" t="inlineStr">
        <is>
          <t>36</t>
        </is>
      </c>
      <c r="B52" s="146" t="n"/>
      <c r="C52" s="258" t="inlineStr">
        <is>
          <t>01.3.01.06-0050</t>
        </is>
      </c>
      <c r="D52" s="256" t="inlineStr">
        <is>
          <t>Смазка универсальная тугоплавкая УТ (консталин жировой)</t>
        </is>
      </c>
      <c r="E52" s="257" t="inlineStr">
        <is>
          <t>т</t>
        </is>
      </c>
      <c r="F52" s="148" t="n">
        <v>0.0005999999999999999</v>
      </c>
      <c r="G52" s="259" t="n">
        <v>17500</v>
      </c>
      <c r="H52" s="32">
        <f>ROUND(F52*G52,2)</f>
        <v/>
      </c>
      <c r="I52" s="164" t="n"/>
    </row>
    <row r="53">
      <c r="A53" s="146" t="inlineStr">
        <is>
          <t>37</t>
        </is>
      </c>
      <c r="B53" s="146" t="n"/>
      <c r="C53" s="258" t="inlineStr">
        <is>
          <t>01.7.20.08-0031</t>
        </is>
      </c>
      <c r="D53" s="256" t="inlineStr">
        <is>
          <t>Бязь суровая арт. 6804</t>
        </is>
      </c>
      <c r="E53" s="257" t="inlineStr">
        <is>
          <t>10 м2</t>
        </is>
      </c>
      <c r="F53" s="148" t="n">
        <v>0.057</v>
      </c>
      <c r="G53" s="259" t="n">
        <v>79.09999999999999</v>
      </c>
      <c r="H53" s="32">
        <f>ROUND(F53*G53,2)</f>
        <v/>
      </c>
      <c r="I53" s="164" t="n"/>
    </row>
    <row r="54" ht="25.5" customHeight="1">
      <c r="A54" s="146" t="inlineStr">
        <is>
          <t>38</t>
        </is>
      </c>
      <c r="B54" s="146" t="n"/>
      <c r="C54" s="258" t="inlineStr">
        <is>
          <t>02.3.01.02-0020</t>
        </is>
      </c>
      <c r="D54" s="256" t="inlineStr">
        <is>
          <t>Песок природный для строительных: растворов средний</t>
        </is>
      </c>
      <c r="E54" s="257" t="inlineStr">
        <is>
          <t>м3</t>
        </is>
      </c>
      <c r="F54" s="148" t="n">
        <v>0.0204</v>
      </c>
      <c r="G54" s="259" t="n">
        <v>59.99</v>
      </c>
      <c r="H54" s="32">
        <f>ROUND(F54*G54,2)</f>
        <v/>
      </c>
      <c r="I54" s="164" t="n"/>
    </row>
    <row r="55">
      <c r="A55" s="146" t="inlineStr">
        <is>
          <t>39</t>
        </is>
      </c>
      <c r="B55" s="146" t="n"/>
      <c r="C55" s="258" t="inlineStr">
        <is>
          <t>08.3.07.01-0043</t>
        </is>
      </c>
      <c r="D55" s="256" t="inlineStr">
        <is>
          <t>Сталь полосовая: 40х5 мм, марка Ст3сп</t>
        </is>
      </c>
      <c r="E55" s="257" t="inlineStr">
        <is>
          <t>т</t>
        </is>
      </c>
      <c r="F55" s="148" t="n">
        <v>8.2e-05</v>
      </c>
      <c r="G55" s="259" t="n">
        <v>6159.22</v>
      </c>
      <c r="H55" s="32">
        <f>ROUND(F55*G55,2)</f>
        <v/>
      </c>
      <c r="I55" s="164" t="n"/>
    </row>
    <row r="56">
      <c r="C56" s="154" t="n"/>
      <c r="D56" s="152" t="n"/>
      <c r="E56" s="153" t="n"/>
      <c r="F56" s="153" t="n"/>
      <c r="G56" s="155" t="n"/>
      <c r="H56" s="170" t="n"/>
    </row>
    <row r="57" ht="25.5" customHeight="1">
      <c r="B57" s="167" t="inlineStr">
        <is>
          <t xml:space="preserve">Примечание: </t>
        </is>
      </c>
      <c r="C57" s="25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8">
      <c r="I58" s="168" t="n"/>
    </row>
    <row r="61" ht="14.25" customFormat="1" customHeight="1" s="12">
      <c r="A61" s="4" t="inlineStr">
        <is>
          <t>Составил ______________________    Е. М. Добровольская</t>
        </is>
      </c>
    </row>
    <row r="62" ht="14.25" customFormat="1" customHeight="1" s="12">
      <c r="A62" s="33" t="inlineStr">
        <is>
          <t xml:space="preserve">                         (подпись, инициалы, фамилия)</t>
        </is>
      </c>
    </row>
    <row r="63" ht="14.25" customFormat="1" customHeight="1" s="12">
      <c r="A63" s="4" t="n"/>
    </row>
    <row r="64" ht="14.25" customFormat="1" customHeight="1" s="12">
      <c r="A64" s="4" t="inlineStr">
        <is>
          <t>Проверил ______________________        А.В. Костянецкая</t>
        </is>
      </c>
    </row>
    <row r="65" ht="14.25" customFormat="1" customHeight="1" s="12">
      <c r="A65" s="33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18:D18"/>
    <mergeCell ref="D9:D10"/>
    <mergeCell ref="C57:H57"/>
    <mergeCell ref="A31:D31"/>
    <mergeCell ref="A27:D27"/>
    <mergeCell ref="E9:E10"/>
    <mergeCell ref="A9:A10"/>
    <mergeCell ref="A12:D12"/>
    <mergeCell ref="F9:F10"/>
    <mergeCell ref="A2:H2"/>
    <mergeCell ref="A6:H7"/>
    <mergeCell ref="A3:I3"/>
    <mergeCell ref="A16:D16"/>
    <mergeCell ref="C4:H4"/>
    <mergeCell ref="G9:H9"/>
  </mergeCells>
  <pageMargins left="0.7086614173228347" right="0.7086614173228347" top="0.7480314960629921" bottom="0.7480314960629921" header="0.3149606299212598" footer="0.3149606299212598"/>
  <pageSetup orientation="landscape" paperSize="9" scale="84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C26" sqref="C26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2.8554687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8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4" t="inlineStr">
        <is>
          <t>Наименование разрабатываемой расценки УНЦ — ТН (до трех вторичных обмоток) на три фазы с устройством фундамента напряжение 35(20) кВ</t>
        </is>
      </c>
    </row>
    <row r="8">
      <c r="B8" s="255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57" t="inlineStr">
        <is>
          <t>Наименование</t>
        </is>
      </c>
      <c r="C10" s="257" t="inlineStr">
        <is>
          <t>Сметная стоимость в ценах на 01.01.2023
 (руб.)</t>
        </is>
      </c>
      <c r="D10" s="257" t="inlineStr">
        <is>
          <t>Удельный вес, 
(в СМР)</t>
        </is>
      </c>
      <c r="E10" s="25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2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2">
        <f>'Прил.5 Расчет СМР и ОБ'!J30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2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2">
        <f>'Прил.5 Расчет СМР и ОБ'!J49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2">
        <f>'Прил.5 Расчет СМР и ОБ'!J68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ОБ'!D72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ОБ'!D71</f>
        <v/>
      </c>
      <c r="D23" s="27" t="n"/>
      <c r="E23" s="25" t="n"/>
    </row>
    <row r="24">
      <c r="B24" s="25" t="inlineStr">
        <is>
          <t>ВСЕГО СМР с НР и СП</t>
        </is>
      </c>
      <c r="C24" s="18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2">
        <f>'Прил.5 Расчет СМР и ОБ'!J39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2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36905.03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ROUND($C$27*0%,2)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ROUND($C$27*0%,2)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ROUND($C$27*0%,2)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ROUND($C$27*0%,2)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1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1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2">
        <f>C40/'Прил.5 Расчет СМР и ОБ'!E75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81"/>
  <sheetViews>
    <sheetView view="pageBreakPreview" topLeftCell="A67" zoomScaleSheetLayoutView="100" workbookViewId="0">
      <selection activeCell="F96" sqref="F96"/>
    </sheetView>
  </sheetViews>
  <sheetFormatPr baseColWidth="8" defaultColWidth="9.140625" defaultRowHeight="15" outlineLevelRow="1"/>
  <cols>
    <col width="7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6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8" t="inlineStr">
        <is>
          <t>Расчет стоимости СМР и оборудования</t>
        </is>
      </c>
    </row>
    <row r="5" ht="12.75" customFormat="1" customHeight="1" s="4">
      <c r="A5" s="228" t="n"/>
      <c r="B5" s="228" t="n"/>
      <c r="C5" s="277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4">
      <c r="A6" s="231" t="inlineStr">
        <is>
          <t>Наименование разрабатываемого показателя УНЦ</t>
        </is>
      </c>
      <c r="D6" s="231" t="inlineStr">
        <is>
          <t>ТН (до трех вторичных обмоток) на три фазы с устройством фундамента напряжение 35(20) кВ</t>
        </is>
      </c>
    </row>
    <row r="7" ht="12.75" customFormat="1" customHeight="1" s="4">
      <c r="A7" s="231" t="inlineStr">
        <is>
          <t>Единица измерения  — 1 ед.</t>
        </is>
      </c>
      <c r="I7" s="254" t="n"/>
      <c r="J7" s="254" t="n"/>
    </row>
    <row r="8" ht="13.15" customFormat="1" customHeight="1" s="4"/>
    <row r="9" ht="27" customHeight="1">
      <c r="A9" s="257" t="inlineStr">
        <is>
          <t>№ пп.</t>
        </is>
      </c>
      <c r="B9" s="257" t="inlineStr">
        <is>
          <t>Код ресурса</t>
        </is>
      </c>
      <c r="C9" s="257" t="inlineStr">
        <is>
          <t>Наименование</t>
        </is>
      </c>
      <c r="D9" s="257" t="inlineStr">
        <is>
          <t>Ед. изм.</t>
        </is>
      </c>
      <c r="E9" s="257" t="inlineStr">
        <is>
          <t>Кол-во единиц по проектным данным</t>
        </is>
      </c>
      <c r="F9" s="257" t="inlineStr">
        <is>
          <t>Сметная стоимость в ценах на 01.01.2000 (руб.)</t>
        </is>
      </c>
      <c r="G9" s="321" t="n"/>
      <c r="H9" s="257" t="inlineStr">
        <is>
          <t>Удельный вес, %</t>
        </is>
      </c>
      <c r="I9" s="257" t="inlineStr">
        <is>
          <t>Сметная стоимость в ценах на 01.01.2023 (руб.)</t>
        </is>
      </c>
      <c r="J9" s="321" t="n"/>
      <c r="M9" s="12" t="n"/>
      <c r="N9" s="12" t="n"/>
    </row>
    <row r="10" ht="28.5" customHeight="1">
      <c r="A10" s="323" t="n"/>
      <c r="B10" s="323" t="n"/>
      <c r="C10" s="323" t="n"/>
      <c r="D10" s="323" t="n"/>
      <c r="E10" s="323" t="n"/>
      <c r="F10" s="257" t="inlineStr">
        <is>
          <t>на ед. изм.</t>
        </is>
      </c>
      <c r="G10" s="257" t="inlineStr">
        <is>
          <t>общая</t>
        </is>
      </c>
      <c r="H10" s="323" t="n"/>
      <c r="I10" s="257" t="inlineStr">
        <is>
          <t>на ед. изм.</t>
        </is>
      </c>
      <c r="J10" s="257" t="inlineStr">
        <is>
          <t>общая</t>
        </is>
      </c>
      <c r="M10" s="12" t="n"/>
      <c r="N10" s="12" t="n"/>
    </row>
    <row r="11">
      <c r="A11" s="257" t="n">
        <v>1</v>
      </c>
      <c r="B11" s="257" t="n">
        <v>2</v>
      </c>
      <c r="C11" s="257" t="n">
        <v>3</v>
      </c>
      <c r="D11" s="257" t="n">
        <v>4</v>
      </c>
      <c r="E11" s="257" t="n">
        <v>5</v>
      </c>
      <c r="F11" s="257" t="n">
        <v>6</v>
      </c>
      <c r="G11" s="257" t="n">
        <v>7</v>
      </c>
      <c r="H11" s="257" t="n">
        <v>8</v>
      </c>
      <c r="I11" s="265" t="n">
        <v>9</v>
      </c>
      <c r="J11" s="265" t="n">
        <v>10</v>
      </c>
      <c r="M11" s="12" t="n"/>
      <c r="N11" s="12" t="n"/>
    </row>
    <row r="12">
      <c r="A12" s="257" t="n"/>
      <c r="B12" s="261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85" t="n"/>
      <c r="J12" s="185" t="n"/>
    </row>
    <row r="13" ht="25.5" customHeight="1">
      <c r="A13" s="257" t="n">
        <v>1</v>
      </c>
      <c r="B13" s="146" t="inlineStr">
        <is>
          <t>1-4-0</t>
        </is>
      </c>
      <c r="C13" s="256" t="inlineStr">
        <is>
          <t>Затраты труда рабочих (средний разряд работы 4,0)</t>
        </is>
      </c>
      <c r="D13" s="257" t="inlineStr">
        <is>
          <t>чел.час</t>
        </is>
      </c>
      <c r="E13" s="186" t="n">
        <v>166.964</v>
      </c>
      <c r="F13" s="32" t="n">
        <v>9.619999999999999</v>
      </c>
      <c r="G13" s="32">
        <f>SUM(Прил.3!H15:H15)</f>
        <v/>
      </c>
      <c r="H13" s="187">
        <f>G13/G16</f>
        <v/>
      </c>
      <c r="I13" s="32">
        <f>ФОТр.тек.!E13</f>
        <v/>
      </c>
      <c r="J13" s="32">
        <f>ROUND(I13*E13,2)</f>
        <v/>
      </c>
    </row>
    <row r="14">
      <c r="A14" s="257" t="n">
        <v>2</v>
      </c>
      <c r="B14" s="146" t="inlineStr">
        <is>
          <t>10-30-1</t>
        </is>
      </c>
      <c r="C14" s="256" t="inlineStr">
        <is>
          <t>Инженер I категории</t>
        </is>
      </c>
      <c r="D14" s="257" t="inlineStr">
        <is>
          <t>чел.час</t>
        </is>
      </c>
      <c r="E14" s="186" t="n">
        <v>230.5003227889</v>
      </c>
      <c r="F14" s="271" t="n">
        <v>15.49</v>
      </c>
      <c r="G14" s="32">
        <f>Прил.3!H13</f>
        <v/>
      </c>
      <c r="H14" s="187">
        <f>G14/G16</f>
        <v/>
      </c>
      <c r="I14" s="32">
        <f>ФОТр.тек.!E21</f>
        <v/>
      </c>
      <c r="J14" s="32">
        <f>ROUND(I14*E14,2)</f>
        <v/>
      </c>
    </row>
    <row r="15">
      <c r="A15" s="257" t="n">
        <v>3</v>
      </c>
      <c r="B15" s="146" t="inlineStr">
        <is>
          <t>10-30-2</t>
        </is>
      </c>
      <c r="C15" s="256" t="inlineStr">
        <is>
          <t>Инженер II категории</t>
        </is>
      </c>
      <c r="D15" s="257" t="inlineStr">
        <is>
          <t>чел.час</t>
        </is>
      </c>
      <c r="E15" s="186" t="n">
        <v>230.5003548616</v>
      </c>
      <c r="F15" s="271" t="n">
        <v>14.09</v>
      </c>
      <c r="G15" s="32">
        <f>Прил.3!H14</f>
        <v/>
      </c>
      <c r="H15" s="187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57" t="n"/>
      <c r="B16" s="257" t="n"/>
      <c r="C16" s="261" t="inlineStr">
        <is>
          <t>Итого по разделу "Затраты труда рабочих-строителей"</t>
        </is>
      </c>
      <c r="D16" s="257" t="inlineStr">
        <is>
          <t>чел.-ч.</t>
        </is>
      </c>
      <c r="E16" s="147">
        <f>SUM(E13:E15)</f>
        <v/>
      </c>
      <c r="F16" s="32" t="n"/>
      <c r="G16" s="32">
        <f>SUM(G13:G15)</f>
        <v/>
      </c>
      <c r="H16" s="260" t="n">
        <v>1</v>
      </c>
      <c r="I16" s="185" t="n"/>
      <c r="J16" s="32">
        <f>SUM(J13:J15)</f>
        <v/>
      </c>
    </row>
    <row r="17" ht="14.25" customFormat="1" customHeight="1" s="12">
      <c r="A17" s="257" t="n"/>
      <c r="B17" s="256" t="inlineStr">
        <is>
          <t>Затраты труда машинистов</t>
        </is>
      </c>
      <c r="C17" s="320" t="n"/>
      <c r="D17" s="320" t="n"/>
      <c r="E17" s="320" t="n"/>
      <c r="F17" s="320" t="n"/>
      <c r="G17" s="320" t="n"/>
      <c r="H17" s="321" t="n"/>
      <c r="I17" s="185" t="n"/>
      <c r="J17" s="185" t="n"/>
    </row>
    <row r="18" ht="14.25" customFormat="1" customHeight="1" s="12">
      <c r="A18" s="257" t="n">
        <v>2</v>
      </c>
      <c r="B18" s="257" t="n">
        <v>2</v>
      </c>
      <c r="C18" s="256" t="inlineStr">
        <is>
          <t>Затраты труда машинистов</t>
        </is>
      </c>
      <c r="D18" s="257" t="inlineStr">
        <is>
          <t>чел.-ч.</t>
        </is>
      </c>
      <c r="E18" s="147" t="n">
        <v>79.65179999999999</v>
      </c>
      <c r="F18" s="32">
        <f>G18/E18</f>
        <v/>
      </c>
      <c r="G18" s="32">
        <f>Прил.3!H17</f>
        <v/>
      </c>
      <c r="H18" s="260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57" t="n"/>
      <c r="B19" s="261" t="inlineStr">
        <is>
          <t>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85" t="n"/>
      <c r="J19" s="185" t="n"/>
    </row>
    <row r="20" ht="14.25" customFormat="1" customHeight="1" s="12">
      <c r="A20" s="257" t="n"/>
      <c r="B20" s="256" t="inlineStr">
        <is>
          <t>Основные машины и механизмы</t>
        </is>
      </c>
      <c r="C20" s="320" t="n"/>
      <c r="D20" s="320" t="n"/>
      <c r="E20" s="320" t="n"/>
      <c r="F20" s="320" t="n"/>
      <c r="G20" s="320" t="n"/>
      <c r="H20" s="321" t="n"/>
      <c r="I20" s="185" t="n"/>
      <c r="J20" s="185" t="n"/>
    </row>
    <row r="21" ht="38.25" customFormat="1" customHeight="1" s="12">
      <c r="A21" s="257" t="n">
        <v>3</v>
      </c>
      <c r="B21" s="146" t="inlineStr">
        <is>
          <t>91.11.01-012</t>
        </is>
      </c>
      <c r="C21" s="256" t="inlineStr">
        <is>
          <t>Машины монтажные для выполнения работ при прокладке и монтаже кабеля на базе автомобиля</t>
        </is>
      </c>
      <c r="D21" s="257" t="inlineStr">
        <is>
          <t>маш.час</t>
        </is>
      </c>
      <c r="E21" s="147" t="n">
        <v>48</v>
      </c>
      <c r="F21" s="259" t="n">
        <v>110.86</v>
      </c>
      <c r="G21" s="32">
        <f>ROUND(E21*F21,2)</f>
        <v/>
      </c>
      <c r="H21" s="187">
        <f>G21/$G$31</f>
        <v/>
      </c>
      <c r="I21" s="32">
        <f>ROUND(F21*Прил.10!D12,2)</f>
        <v/>
      </c>
      <c r="J21" s="32">
        <f>ROUND(I21*E21,2)</f>
        <v/>
      </c>
    </row>
    <row r="22" ht="25.5" customFormat="1" customHeight="1" s="12">
      <c r="A22" s="257" t="n">
        <v>4</v>
      </c>
      <c r="B22" s="146" t="inlineStr">
        <is>
          <t>91.10.01-002</t>
        </is>
      </c>
      <c r="C22" s="256" t="inlineStr">
        <is>
          <t>Агрегаты наполнительно-опрессовочные: до 300 м3/ч</t>
        </is>
      </c>
      <c r="D22" s="257" t="inlineStr">
        <is>
          <t>маш.час</t>
        </is>
      </c>
      <c r="E22" s="147" t="n">
        <v>10.99</v>
      </c>
      <c r="F22" s="259" t="n">
        <v>287.99</v>
      </c>
      <c r="G22" s="32">
        <f>ROUND(E22*F22,2)</f>
        <v/>
      </c>
      <c r="H22" s="187">
        <f>G22/$G$31</f>
        <v/>
      </c>
      <c r="I22" s="32">
        <f>ROUND(F22*Прил.10!$D$12,2)</f>
        <v/>
      </c>
      <c r="J22" s="32">
        <f>ROUND(I22*E22,2)</f>
        <v/>
      </c>
    </row>
    <row r="23" ht="25.5" customFormat="1" customHeight="1" s="12">
      <c r="A23" s="257" t="n">
        <v>5</v>
      </c>
      <c r="B23" s="146" t="inlineStr">
        <is>
          <t>91.06.03-058</t>
        </is>
      </c>
      <c r="C23" s="256" t="inlineStr">
        <is>
          <t>Лебедки электрические тяговым усилием: 156,96 кН (16 т)</t>
        </is>
      </c>
      <c r="D23" s="257" t="inlineStr">
        <is>
          <t>маш.час</t>
        </is>
      </c>
      <c r="E23" s="147" t="n">
        <v>10.99</v>
      </c>
      <c r="F23" s="259" t="n">
        <v>131.44</v>
      </c>
      <c r="G23" s="32">
        <f>ROUND(E23*F23,2)</f>
        <v/>
      </c>
      <c r="H23" s="187">
        <f>G23/$G$31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57" t="n"/>
      <c r="B24" s="257" t="n"/>
      <c r="C24" s="256" t="inlineStr">
        <is>
          <t>Итого основные машины и механизмы</t>
        </is>
      </c>
      <c r="D24" s="257" t="n"/>
      <c r="E24" s="148" t="n"/>
      <c r="F24" s="32" t="n"/>
      <c r="G24" s="32">
        <f>SUM(G21:G23)</f>
        <v/>
      </c>
      <c r="H24" s="260">
        <f>G24/G31</f>
        <v/>
      </c>
      <c r="I24" s="188" t="n"/>
      <c r="J24" s="32">
        <f>SUM(J21:J23)</f>
        <v/>
      </c>
    </row>
    <row r="25" outlineLevel="1" ht="25.5" customFormat="1" customHeight="1" s="12">
      <c r="A25" s="257" t="n">
        <v>6</v>
      </c>
      <c r="B25" s="146" t="inlineStr">
        <is>
          <t>91.05.05-014</t>
        </is>
      </c>
      <c r="C25" s="256" t="inlineStr">
        <is>
          <t>Краны на автомобильном ходу, грузоподъемность 10 т</t>
        </is>
      </c>
      <c r="D25" s="257" t="inlineStr">
        <is>
          <t>маш.час</t>
        </is>
      </c>
      <c r="E25" s="178" t="n">
        <v>3.88</v>
      </c>
      <c r="F25" s="259" t="n">
        <v>111.99</v>
      </c>
      <c r="G25" s="32">
        <f>ROUND(E25*F25,2)</f>
        <v/>
      </c>
      <c r="H25" s="187">
        <f>G25/$G$31</f>
        <v/>
      </c>
      <c r="I25" s="271">
        <f>ROUND(F25*Прил.10!$D$12,2)</f>
        <v/>
      </c>
      <c r="J25" s="32">
        <f>ROUND(I25*E25,2)</f>
        <v/>
      </c>
    </row>
    <row r="26" outlineLevel="1" ht="25.5" customFormat="1" customHeight="1" s="12">
      <c r="A26" s="257" t="n">
        <v>7</v>
      </c>
      <c r="B26" s="146" t="inlineStr">
        <is>
          <t>91.14.02-001</t>
        </is>
      </c>
      <c r="C26" s="256" t="inlineStr">
        <is>
          <t>Автомобили бортовые, грузоподъемность: до 5 т</t>
        </is>
      </c>
      <c r="D26" s="257" t="inlineStr">
        <is>
          <t>маш.час</t>
        </is>
      </c>
      <c r="E26" s="178" t="n">
        <v>2.4</v>
      </c>
      <c r="F26" s="259" t="n">
        <v>65.70999999999999</v>
      </c>
      <c r="G26" s="32">
        <f>ROUND(E26*F26,2)</f>
        <v/>
      </c>
      <c r="H26" s="187">
        <f>G26/$G$31</f>
        <v/>
      </c>
      <c r="I26" s="271">
        <f>ROUND(F26*Прил.10!$D$12,2)</f>
        <v/>
      </c>
      <c r="J26" s="32">
        <f>ROUND(I26*E26,2)</f>
        <v/>
      </c>
    </row>
    <row r="27" outlineLevel="1" ht="25.5" customFormat="1" customHeight="1" s="12">
      <c r="A27" s="257" t="n">
        <v>8</v>
      </c>
      <c r="B27" s="146" t="inlineStr">
        <is>
          <t>91.06.06-042</t>
        </is>
      </c>
      <c r="C27" s="256" t="inlineStr">
        <is>
          <t>Подъемники гидравлические высотой подъема: 10 м</t>
        </is>
      </c>
      <c r="D27" s="257" t="inlineStr">
        <is>
          <t>маш.час</t>
        </is>
      </c>
      <c r="E27" s="178" t="n">
        <v>1.86</v>
      </c>
      <c r="F27" s="259" t="n">
        <v>29.6</v>
      </c>
      <c r="G27" s="32">
        <f>ROUND(E27*F27,2)</f>
        <v/>
      </c>
      <c r="H27" s="187">
        <f>G27/$G$31</f>
        <v/>
      </c>
      <c r="I27" s="271">
        <f>ROUND(F27*Прил.10!$D$12,2)</f>
        <v/>
      </c>
      <c r="J27" s="32">
        <f>ROUND(I27*E27,2)</f>
        <v/>
      </c>
    </row>
    <row r="28" outlineLevel="1" ht="25.5" customFormat="1" customHeight="1" s="12">
      <c r="A28" s="257" t="n">
        <v>9</v>
      </c>
      <c r="B28" s="146" t="inlineStr">
        <is>
          <t>91.17.04-233</t>
        </is>
      </c>
      <c r="C28" s="256" t="inlineStr">
        <is>
          <t>Установки для сварки: ручной дуговой (постоянного тока)</t>
        </is>
      </c>
      <c r="D28" s="257" t="inlineStr">
        <is>
          <t>маш.час</t>
        </is>
      </c>
      <c r="E28" s="178" t="n">
        <v>4.9</v>
      </c>
      <c r="F28" s="259" t="n">
        <v>8.1</v>
      </c>
      <c r="G28" s="32">
        <f>ROUND(E28*F28,2)</f>
        <v/>
      </c>
      <c r="H28" s="187">
        <f>G28/$G$31</f>
        <v/>
      </c>
      <c r="I28" s="271">
        <f>ROUND(F28*Прил.10!$D$12,2)</f>
        <v/>
      </c>
      <c r="J28" s="32">
        <f>ROUND(I28*E28,2)</f>
        <v/>
      </c>
    </row>
    <row r="29" outlineLevel="1" ht="25.5" customFormat="1" customHeight="1" s="12">
      <c r="A29" s="257" t="n">
        <v>10</v>
      </c>
      <c r="B29" s="146" t="inlineStr">
        <is>
          <t>91.06.01-003</t>
        </is>
      </c>
      <c r="C29" s="256" t="inlineStr">
        <is>
          <t>Домкраты гидравлические, грузоподъемность 63-100 т</t>
        </is>
      </c>
      <c r="D29" s="257" t="inlineStr">
        <is>
          <t>маш.час</t>
        </is>
      </c>
      <c r="E29" s="178" t="n">
        <v>21.95</v>
      </c>
      <c r="F29" s="259" t="n">
        <v>0.9</v>
      </c>
      <c r="G29" s="32">
        <f>ROUND(E29*F29,2)</f>
        <v/>
      </c>
      <c r="H29" s="187">
        <f>G29/$G$31</f>
        <v/>
      </c>
      <c r="I29" s="271">
        <f>ROUND(F29*Прил.10!$D$12,2)</f>
        <v/>
      </c>
      <c r="J29" s="32">
        <f>ROUND(I29*E29,2)</f>
        <v/>
      </c>
    </row>
    <row r="30" ht="14.25" customFormat="1" customHeight="1" s="12">
      <c r="A30" s="257" t="n"/>
      <c r="B30" s="257" t="n"/>
      <c r="C30" s="256" t="inlineStr">
        <is>
          <t>Итого прочие машины и механизмы</t>
        </is>
      </c>
      <c r="D30" s="257" t="n"/>
      <c r="E30" s="258" t="n"/>
      <c r="F30" s="32" t="n"/>
      <c r="G30" s="188">
        <f>SUM(G25:G29)</f>
        <v/>
      </c>
      <c r="H30" s="187">
        <f>G30/G31</f>
        <v/>
      </c>
      <c r="I30" s="32" t="n"/>
      <c r="J30" s="32">
        <f>SUM(J25:J29)</f>
        <v/>
      </c>
    </row>
    <row r="31" ht="25.5" customFormat="1" customHeight="1" s="12">
      <c r="A31" s="257" t="n"/>
      <c r="B31" s="257" t="n"/>
      <c r="C31" s="261" t="inlineStr">
        <is>
          <t>Итого по разделу «Машины и механизмы»</t>
        </is>
      </c>
      <c r="D31" s="257" t="n"/>
      <c r="E31" s="258" t="n"/>
      <c r="F31" s="32" t="n"/>
      <c r="G31" s="32">
        <f>G30+G24</f>
        <v/>
      </c>
      <c r="H31" s="189" t="n">
        <v>1</v>
      </c>
      <c r="I31" s="190" t="n"/>
      <c r="J31" s="191">
        <f>J30+J24</f>
        <v/>
      </c>
    </row>
    <row r="32" ht="30" customHeight="1">
      <c r="A32" s="257" t="n"/>
      <c r="B32" s="261" t="inlineStr">
        <is>
          <t xml:space="preserve">Оборудование </t>
        </is>
      </c>
      <c r="C32" s="320" t="n"/>
      <c r="D32" s="320" t="n"/>
      <c r="E32" s="320" t="n"/>
      <c r="F32" s="320" t="n"/>
      <c r="G32" s="320" t="n"/>
      <c r="H32" s="320" t="n"/>
      <c r="I32" s="320" t="n"/>
      <c r="J32" s="321" t="n"/>
    </row>
    <row r="33">
      <c r="A33" s="257" t="n"/>
      <c r="B33" s="256" t="inlineStr">
        <is>
          <t>Основное оборудование</t>
        </is>
      </c>
      <c r="C33" s="320" t="n"/>
      <c r="D33" s="320" t="n"/>
      <c r="E33" s="320" t="n"/>
      <c r="F33" s="320" t="n"/>
      <c r="G33" s="320" t="n"/>
      <c r="H33" s="321" t="n"/>
      <c r="I33" s="185" t="n"/>
      <c r="J33" s="185" t="n"/>
    </row>
    <row r="34" ht="25.5" customHeight="1">
      <c r="A34" s="257" t="n">
        <v>11</v>
      </c>
      <c r="B34" s="146" t="inlineStr">
        <is>
          <t>БЦ.16.114</t>
        </is>
      </c>
      <c r="C34" s="256" t="inlineStr">
        <is>
          <t xml:space="preserve">Трансформатор напряжения 35кВ </t>
        </is>
      </c>
      <c r="D34" s="257" t="inlineStr">
        <is>
          <t>шт.</t>
        </is>
      </c>
      <c r="E34" s="148" t="n">
        <v>1</v>
      </c>
      <c r="F34" s="259">
        <f>ROUND(I34/Прил.10!$D$14,2)</f>
        <v/>
      </c>
      <c r="G34" s="32">
        <f>ROUND(E34*F34,2)</f>
        <v/>
      </c>
      <c r="H34" s="260">
        <f>G34/$G$39</f>
        <v/>
      </c>
      <c r="I34" s="32" t="n">
        <v>342000</v>
      </c>
      <c r="J34" s="192">
        <f>ROUND(I34*E34,2)</f>
        <v/>
      </c>
    </row>
    <row r="35">
      <c r="A35" s="257" t="n"/>
      <c r="B35" s="257" t="n"/>
      <c r="C35" s="256" t="inlineStr">
        <is>
          <t>Итого основное оборудование</t>
        </is>
      </c>
      <c r="D35" s="257" t="n"/>
      <c r="E35" s="258" t="n"/>
      <c r="F35" s="259" t="n"/>
      <c r="G35" s="32">
        <f>G34</f>
        <v/>
      </c>
      <c r="H35" s="260">
        <f>G35/$G$39</f>
        <v/>
      </c>
      <c r="I35" s="188" t="n"/>
      <c r="J35" s="32">
        <f>J34</f>
        <v/>
      </c>
    </row>
    <row r="36" outlineLevel="1" ht="25.5" customHeight="1">
      <c r="A36" s="257" t="n">
        <v>12</v>
      </c>
      <c r="B36" s="146" t="inlineStr">
        <is>
          <t>Прайс из СД ОП</t>
        </is>
      </c>
      <c r="C36" s="256" t="inlineStr">
        <is>
          <t>Ящик АВР цепей напряжения
ЯАВР2.1-АСКУЭ-220В</t>
        </is>
      </c>
      <c r="D36" s="257" t="inlineStr">
        <is>
          <t>шт.</t>
        </is>
      </c>
      <c r="E36" s="148" t="n">
        <v>1</v>
      </c>
      <c r="F36" s="259">
        <f>ROUND(I36/Прил.10!$D$14,2)</f>
        <v/>
      </c>
      <c r="G36" s="32">
        <f>ROUND(E36*F36,2)</f>
        <v/>
      </c>
      <c r="H36" s="260">
        <f>G36/$G$39</f>
        <v/>
      </c>
      <c r="I36" s="32" t="n">
        <v>30596.25</v>
      </c>
      <c r="J36" s="192">
        <f>ROUND(I36*E36,2)</f>
        <v/>
      </c>
    </row>
    <row r="37" outlineLevel="1" ht="25.5" customHeight="1">
      <c r="A37" s="257" t="n">
        <v>13</v>
      </c>
      <c r="B37" s="146" t="inlineStr">
        <is>
          <t>Прайс из СД ОП</t>
        </is>
      </c>
      <c r="C37" s="256" t="inlineStr">
        <is>
          <t>Ящик цепей напряжения ЯЗН-11-
АСКУЭ</t>
        </is>
      </c>
      <c r="D37" s="257" t="inlineStr">
        <is>
          <t>шт.</t>
        </is>
      </c>
      <c r="E37" s="148" t="n">
        <v>1</v>
      </c>
      <c r="F37" s="259">
        <f>ROUND(I37/Прил.10!$D$14,2)</f>
        <v/>
      </c>
      <c r="G37" s="32">
        <f>ROUND(E37*F37,2)</f>
        <v/>
      </c>
      <c r="H37" s="260">
        <f>G37/$G$39</f>
        <v/>
      </c>
      <c r="I37" s="32" t="n">
        <v>25333.41</v>
      </c>
      <c r="J37" s="192">
        <f>ROUND(I37*E37,2)</f>
        <v/>
      </c>
    </row>
    <row r="38">
      <c r="A38" s="257" t="n"/>
      <c r="B38" s="257" t="n"/>
      <c r="C38" s="256" t="inlineStr">
        <is>
          <t>Итого прочее оборудование</t>
        </is>
      </c>
      <c r="D38" s="257" t="n"/>
      <c r="E38" s="258" t="n"/>
      <c r="F38" s="259" t="n"/>
      <c r="G38" s="32">
        <f>SUM(G36:G37)</f>
        <v/>
      </c>
      <c r="H38" s="260">
        <f>G38/$G$39</f>
        <v/>
      </c>
      <c r="I38" s="188" t="n"/>
      <c r="J38" s="32">
        <f>SUM(J36:J37)</f>
        <v/>
      </c>
    </row>
    <row r="39">
      <c r="A39" s="257" t="n"/>
      <c r="B39" s="257" t="n"/>
      <c r="C39" s="261" t="inlineStr">
        <is>
          <t>Итого по разделу «Оборудование»</t>
        </is>
      </c>
      <c r="D39" s="257" t="n"/>
      <c r="E39" s="258" t="n"/>
      <c r="F39" s="259" t="n"/>
      <c r="G39" s="32">
        <f>G38+G35</f>
        <v/>
      </c>
      <c r="H39" s="260">
        <f>G39/$G$39</f>
        <v/>
      </c>
      <c r="I39" s="188" t="n"/>
      <c r="J39" s="32">
        <f>J38+J35</f>
        <v/>
      </c>
    </row>
    <row r="40" ht="25.5" customHeight="1">
      <c r="A40" s="257" t="n"/>
      <c r="B40" s="257" t="n"/>
      <c r="C40" s="256" t="inlineStr">
        <is>
          <t>в том числе технологическое оборудование</t>
        </is>
      </c>
      <c r="D40" s="257" t="n"/>
      <c r="E40" s="148" t="n"/>
      <c r="F40" s="259" t="n"/>
      <c r="G40" s="32">
        <f>G39</f>
        <v/>
      </c>
      <c r="H40" s="260" t="n"/>
      <c r="I40" s="188" t="n"/>
      <c r="J40" s="32">
        <f>J39</f>
        <v/>
      </c>
    </row>
    <row r="41" ht="26.25" customFormat="1" customHeight="1" s="12">
      <c r="A41" s="257" t="n"/>
      <c r="B41" s="261" t="inlineStr">
        <is>
          <t xml:space="preserve">Материалы  </t>
        </is>
      </c>
      <c r="C41" s="320" t="n"/>
      <c r="D41" s="320" t="n"/>
      <c r="E41" s="320" t="n"/>
      <c r="F41" s="320" t="n"/>
      <c r="G41" s="320" t="n"/>
      <c r="H41" s="320" t="n"/>
      <c r="I41" s="320" t="n"/>
      <c r="J41" s="321" t="n"/>
    </row>
    <row r="42" ht="14.25" customFormat="1" customHeight="1" s="12">
      <c r="A42" s="257" t="n"/>
      <c r="B42" s="256" t="inlineStr">
        <is>
          <t>Основные материалы</t>
        </is>
      </c>
      <c r="C42" s="320" t="n"/>
      <c r="D42" s="320" t="n"/>
      <c r="E42" s="320" t="n"/>
      <c r="F42" s="320" t="n"/>
      <c r="G42" s="320" t="n"/>
      <c r="H42" s="321" t="n"/>
      <c r="I42" s="185" t="n"/>
      <c r="J42" s="185" t="n"/>
    </row>
    <row r="43" ht="25.5" customFormat="1" customHeight="1" s="12">
      <c r="A43" s="257" t="n">
        <v>14</v>
      </c>
      <c r="B43" s="146" t="inlineStr">
        <is>
          <t>07.2.07.04-0004</t>
        </is>
      </c>
      <c r="C43" s="256" t="inlineStr">
        <is>
          <t>Конструкции стальные индивидуальные решетчатые сварные, масса 0,5-1 т</t>
        </is>
      </c>
      <c r="D43" s="257" t="inlineStr">
        <is>
          <t>т</t>
        </is>
      </c>
      <c r="E43" s="148" t="n">
        <v>0.3199</v>
      </c>
      <c r="F43" s="259" t="n">
        <v>10367.82</v>
      </c>
      <c r="G43" s="32">
        <f>ROUND(E43*F43,2)</f>
        <v/>
      </c>
      <c r="H43" s="187">
        <f>G43/$G$69</f>
        <v/>
      </c>
      <c r="I43" s="32">
        <f>ROUND(F43*Прил.10!$D$13,2)</f>
        <v/>
      </c>
      <c r="J43" s="32">
        <f>ROUND(I43*E43,2)</f>
        <v/>
      </c>
    </row>
    <row r="44" ht="25.5" customFormat="1" customHeight="1" s="12">
      <c r="A44" s="257" t="n">
        <v>15</v>
      </c>
      <c r="B44" s="258" t="inlineStr">
        <is>
          <t>21.1.06.10-0411</t>
        </is>
      </c>
      <c r="C44" s="256" t="inlineStr">
        <is>
          <t>Кабель силовой с медными жилами ВВГнг(A)-LS 5х16мк(N, РЕ)-1000</t>
        </is>
      </c>
      <c r="D44" s="257" t="inlineStr">
        <is>
          <t>1000 м</t>
        </is>
      </c>
      <c r="E44" s="148" t="n">
        <v>0.021</v>
      </c>
      <c r="F44" s="259" t="n">
        <v>98440.41</v>
      </c>
      <c r="G44" s="32">
        <f>ROUND(E44*F44,2)</f>
        <v/>
      </c>
      <c r="H44" s="187">
        <f>G44/$G$69</f>
        <v/>
      </c>
      <c r="I44" s="32">
        <f>ROUND(F44*Прил.10!$D$13,2)</f>
        <v/>
      </c>
      <c r="J44" s="32">
        <f>ROUND(I44*E44,2)</f>
        <v/>
      </c>
    </row>
    <row r="45" ht="31.5" customFormat="1" customHeight="1" s="12">
      <c r="A45" s="257" t="n">
        <v>16</v>
      </c>
      <c r="B45" s="258" t="inlineStr">
        <is>
          <t>21.1.08.03-0574</t>
        </is>
      </c>
      <c r="C45" s="256" t="inlineStr">
        <is>
          <t>Фундаменты сборные железобетонные ВЛ и ОРУ</t>
        </is>
      </c>
      <c r="D45" s="257" t="inlineStr">
        <is>
          <t>м3</t>
        </is>
      </c>
      <c r="E45" s="148" t="n">
        <v>1.1817</v>
      </c>
      <c r="F45" s="259" t="n">
        <v>1597.37</v>
      </c>
      <c r="G45" s="32">
        <f>ROUND(E45*F45,2)</f>
        <v/>
      </c>
      <c r="H45" s="187">
        <f>G45/$G$69</f>
        <v/>
      </c>
      <c r="I45" s="32">
        <f>ROUND(F45*Прил.10!$D$13,2)</f>
        <v/>
      </c>
      <c r="J45" s="32">
        <f>ROUND(I45*E45,2)</f>
        <v/>
      </c>
    </row>
    <row r="46" ht="22.5" customFormat="1" customHeight="1" s="12">
      <c r="A46" s="257" t="n">
        <v>17</v>
      </c>
      <c r="B46" s="258" t="inlineStr">
        <is>
          <t>05.1.05.16-0221</t>
        </is>
      </c>
      <c r="C46" s="256" t="inlineStr">
        <is>
          <t>Кабель контрольный КВВГЭнг(А)-LS 4x2,5</t>
        </is>
      </c>
      <c r="D46" s="257" t="inlineStr">
        <is>
          <t>1000 м</t>
        </is>
      </c>
      <c r="E46" s="148" t="n">
        <v>0.042</v>
      </c>
      <c r="F46" s="259" t="n">
        <v>38348.22</v>
      </c>
      <c r="G46" s="32">
        <f>ROUND(E46*F46,2)</f>
        <v/>
      </c>
      <c r="H46" s="187">
        <f>G46/$G$69</f>
        <v/>
      </c>
      <c r="I46" s="32">
        <f>ROUND(F46*Прил.10!$D$13,2)</f>
        <v/>
      </c>
      <c r="J46" s="32">
        <f>ROUND(I46*E46,2)</f>
        <v/>
      </c>
    </row>
    <row r="47" ht="25.5" customFormat="1" customHeight="1" s="12">
      <c r="A47" s="257" t="n">
        <v>18</v>
      </c>
      <c r="B47" s="258" t="inlineStr">
        <is>
          <t>05.1.01.10-0131</t>
        </is>
      </c>
      <c r="C47" s="256" t="inlineStr">
        <is>
          <t>Лотки каналов и тоннелей железобетонные для прокладки коммуникаций</t>
        </is>
      </c>
      <c r="D47" s="257" t="inlineStr">
        <is>
          <t>м3</t>
        </is>
      </c>
      <c r="E47" s="148" t="n">
        <v>0.28</v>
      </c>
      <c r="F47" s="259" t="n">
        <v>1837.28</v>
      </c>
      <c r="G47" s="32">
        <f>ROUND(E47*F47,2)</f>
        <v/>
      </c>
      <c r="H47" s="187">
        <f>G47/$G$69</f>
        <v/>
      </c>
      <c r="I47" s="32">
        <f>ROUND(F47*Прил.10!$D$13,2)</f>
        <v/>
      </c>
      <c r="J47" s="32">
        <f>ROUND(I47*E47,2)</f>
        <v/>
      </c>
    </row>
    <row r="48" ht="63.75" customFormat="1" customHeight="1" s="12">
      <c r="A48" s="257" t="n">
        <v>19</v>
      </c>
      <c r="B48" s="258" t="inlineStr">
        <is>
          <t>21.2.01.02-0090</t>
        </is>
      </c>
      <c r="C48" s="256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D48" s="257" t="inlineStr">
        <is>
          <t>т</t>
        </is>
      </c>
      <c r="E48" s="148" t="n">
        <v>0.012831</v>
      </c>
      <c r="F48" s="259" t="n">
        <v>32762.18</v>
      </c>
      <c r="G48" s="32">
        <f>ROUND(E48*F48,2)</f>
        <v/>
      </c>
      <c r="H48" s="187">
        <f>G48/$G$69</f>
        <v/>
      </c>
      <c r="I48" s="32">
        <f>ROUND(F48*Прил.10!$D$13,2)</f>
        <v/>
      </c>
      <c r="J48" s="32">
        <f>ROUND(I48*E48,2)</f>
        <v/>
      </c>
    </row>
    <row r="49" ht="14.25" customFormat="1" customHeight="1" s="12">
      <c r="A49" s="257" t="n"/>
      <c r="B49" s="257" t="n"/>
      <c r="C49" s="256" t="inlineStr">
        <is>
          <t>Итого основные материалы</t>
        </is>
      </c>
      <c r="D49" s="257" t="n"/>
      <c r="E49" s="148" t="n"/>
      <c r="F49" s="259" t="n"/>
      <c r="G49" s="32">
        <f>SUM(G43:G48)</f>
        <v/>
      </c>
      <c r="H49" s="260">
        <f>G49/$G$69</f>
        <v/>
      </c>
      <c r="I49" s="188" t="n"/>
      <c r="J49" s="32">
        <f>SUM(J43:J48)</f>
        <v/>
      </c>
    </row>
    <row r="50" outlineLevel="1" ht="25.5" customFormat="1" customHeight="1" s="12">
      <c r="A50" s="257" t="n">
        <v>20</v>
      </c>
      <c r="B50" s="258" t="inlineStr">
        <is>
          <t>61.2.04.01-0002</t>
        </is>
      </c>
      <c r="C50" s="256" t="inlineStr">
        <is>
          <t>Арматура светосигнальная АМЕ с лампой накаливания КМ- 24В</t>
        </is>
      </c>
      <c r="D50" s="257" t="inlineStr">
        <is>
          <t>10 шт.</t>
        </is>
      </c>
      <c r="E50" s="148" t="n">
        <v>2</v>
      </c>
      <c r="F50" s="259" t="n">
        <v>194.2</v>
      </c>
      <c r="G50" s="32">
        <f>ROUND(E50*F50,2)</f>
        <v/>
      </c>
      <c r="H50" s="187">
        <f>G50/$G$69</f>
        <v/>
      </c>
      <c r="I50" s="32">
        <f>ROUND(F50*Прил.10!$D$13,2)</f>
        <v/>
      </c>
      <c r="J50" s="32">
        <f>ROUND(I50*E50,2)</f>
        <v/>
      </c>
    </row>
    <row r="51" outlineLevel="1" ht="25.5" customFormat="1" customHeight="1" s="12">
      <c r="A51" s="257" t="n">
        <v>21</v>
      </c>
      <c r="B51" s="258" t="inlineStr">
        <is>
          <t>20.1.01.02-0062</t>
        </is>
      </c>
      <c r="C51" s="256" t="inlineStr">
        <is>
          <t>Зажим аппаратный прессуемый: А4А-150-2</t>
        </is>
      </c>
      <c r="D51" s="257" t="inlineStr">
        <is>
          <t>100 шт.</t>
        </is>
      </c>
      <c r="E51" s="148" t="n">
        <v>0.1236</v>
      </c>
      <c r="F51" s="259" t="n">
        <v>2695</v>
      </c>
      <c r="G51" s="32">
        <f>ROUND(E51*F51,2)</f>
        <v/>
      </c>
      <c r="H51" s="187">
        <f>G51/$G$69</f>
        <v/>
      </c>
      <c r="I51" s="32">
        <f>ROUND(F51*Прил.10!$D$13,2)</f>
        <v/>
      </c>
      <c r="J51" s="32">
        <f>ROUND(I51*E51,2)</f>
        <v/>
      </c>
    </row>
    <row r="52" outlineLevel="1" ht="14.25" customFormat="1" customHeight="1" s="12">
      <c r="A52" s="257" t="n">
        <v>22</v>
      </c>
      <c r="B52" s="258" t="inlineStr">
        <is>
          <t>01.7.17.11-0001</t>
        </is>
      </c>
      <c r="C52" s="256" t="inlineStr">
        <is>
          <t>Бумага шлифовальная</t>
        </is>
      </c>
      <c r="D52" s="257" t="inlineStr">
        <is>
          <t>кг</t>
        </is>
      </c>
      <c r="E52" s="148" t="n">
        <v>4</v>
      </c>
      <c r="F52" s="259" t="n">
        <v>50</v>
      </c>
      <c r="G52" s="32">
        <f>ROUND(E52*F52,2)</f>
        <v/>
      </c>
      <c r="H52" s="187">
        <f>G52/$G$69</f>
        <v/>
      </c>
      <c r="I52" s="32">
        <f>ROUND(F52*Прил.10!$D$13,2)</f>
        <v/>
      </c>
      <c r="J52" s="32">
        <f>ROUND(I52*E52,2)</f>
        <v/>
      </c>
    </row>
    <row r="53" outlineLevel="1" ht="25.5" customFormat="1" customHeight="1" s="12">
      <c r="A53" s="257" t="n">
        <v>23</v>
      </c>
      <c r="B53" s="258" t="inlineStr">
        <is>
          <t>999-9950</t>
        </is>
      </c>
      <c r="C53" s="256" t="inlineStr">
        <is>
          <t>Вспомогательные ненормируемые ресурсы (2% от Оплаты труда рабочих)</t>
        </is>
      </c>
      <c r="D53" s="257" t="inlineStr">
        <is>
          <t>руб</t>
        </is>
      </c>
      <c r="E53" s="148" t="n">
        <v>159.304</v>
      </c>
      <c r="F53" s="259" t="n">
        <v>1</v>
      </c>
      <c r="G53" s="32">
        <f>ROUND(E53*F53,2)</f>
        <v/>
      </c>
      <c r="H53" s="187">
        <f>G53/$G$69</f>
        <v/>
      </c>
      <c r="I53" s="32">
        <f>ROUND(F53*Прил.10!$D$13,2)</f>
        <v/>
      </c>
      <c r="J53" s="32">
        <f>ROUND(I53*E53,2)</f>
        <v/>
      </c>
    </row>
    <row r="54" outlineLevel="1" ht="14.25" customFormat="1" customHeight="1" s="12">
      <c r="A54" s="257" t="n">
        <v>24</v>
      </c>
      <c r="B54" s="258" t="inlineStr">
        <is>
          <t>20.2.08.05-0017</t>
        </is>
      </c>
      <c r="C54" s="256" t="inlineStr">
        <is>
          <t>Профиль монтажный</t>
        </is>
      </c>
      <c r="D54" s="257" t="inlineStr">
        <is>
          <t>шт.</t>
        </is>
      </c>
      <c r="E54" s="148" t="n">
        <v>2</v>
      </c>
      <c r="F54" s="259" t="n">
        <v>66.81999999999999</v>
      </c>
      <c r="G54" s="32">
        <f>ROUND(E54*F54,2)</f>
        <v/>
      </c>
      <c r="H54" s="187">
        <f>G54/$G$69</f>
        <v/>
      </c>
      <c r="I54" s="32">
        <f>ROUND(F54*Прил.10!$D$13,2)</f>
        <v/>
      </c>
      <c r="J54" s="32">
        <f>ROUND(I54*E54,2)</f>
        <v/>
      </c>
    </row>
    <row r="55" outlineLevel="1" ht="14.25" customFormat="1" customHeight="1" s="12">
      <c r="A55" s="257" t="n">
        <v>25</v>
      </c>
      <c r="B55" s="258" t="inlineStr">
        <is>
          <t>20.1.01.03-0002</t>
        </is>
      </c>
      <c r="C55" s="256" t="inlineStr">
        <is>
          <t>Зажим винтовой ЗВИ-10 2,5-6 мм2 12 пар</t>
        </is>
      </c>
      <c r="D55" s="257" t="inlineStr">
        <is>
          <t>шт.</t>
        </is>
      </c>
      <c r="E55" s="148" t="n">
        <v>20</v>
      </c>
      <c r="F55" s="259" t="n">
        <v>6.29</v>
      </c>
      <c r="G55" s="32">
        <f>ROUND(E55*F55,2)</f>
        <v/>
      </c>
      <c r="H55" s="187">
        <f>G55/$G$69</f>
        <v/>
      </c>
      <c r="I55" s="32">
        <f>ROUND(F55*Прил.10!$D$13,2)</f>
        <v/>
      </c>
      <c r="J55" s="32">
        <f>ROUND(I55*E55,2)</f>
        <v/>
      </c>
    </row>
    <row r="56" outlineLevel="1" ht="14.25" customFormat="1" customHeight="1" s="12">
      <c r="A56" s="257" t="n">
        <v>26</v>
      </c>
      <c r="B56" s="258" t="inlineStr">
        <is>
          <t>01.7.15.03-0042</t>
        </is>
      </c>
      <c r="C56" s="256" t="inlineStr">
        <is>
          <t>Болты с гайками и шайбами строительные</t>
        </is>
      </c>
      <c r="D56" s="257" t="inlineStr">
        <is>
          <t>кг</t>
        </is>
      </c>
      <c r="E56" s="148" t="n">
        <v>11.645</v>
      </c>
      <c r="F56" s="259" t="n">
        <v>9.039999999999999</v>
      </c>
      <c r="G56" s="32">
        <f>ROUND(E56*F56,2)</f>
        <v/>
      </c>
      <c r="H56" s="187">
        <f>G56/$G$69</f>
        <v/>
      </c>
      <c r="I56" s="32">
        <f>ROUND(F56*Прил.10!$D$13,2)</f>
        <v/>
      </c>
      <c r="J56" s="32">
        <f>ROUND(I56*E56,2)</f>
        <v/>
      </c>
    </row>
    <row r="57" outlineLevel="1" ht="26.25" customFormat="1" customHeight="1" s="12">
      <c r="A57" s="257" t="n">
        <v>27</v>
      </c>
      <c r="B57" s="258" t="inlineStr">
        <is>
          <t>02.2.05.04-1777</t>
        </is>
      </c>
      <c r="C57" s="256" t="inlineStr">
        <is>
          <t>Щебень М 800, фракция 20-40 мм, группа 2</t>
        </is>
      </c>
      <c r="D57" s="257" t="inlineStr">
        <is>
          <t>м3</t>
        </is>
      </c>
      <c r="E57" s="148" t="n">
        <v>0.8</v>
      </c>
      <c r="F57" s="259" t="n">
        <v>108.4</v>
      </c>
      <c r="G57" s="32">
        <f>ROUND(E57*F57,2)</f>
        <v/>
      </c>
      <c r="H57" s="187">
        <f>G57/$G$69</f>
        <v/>
      </c>
      <c r="I57" s="32">
        <f>ROUND(F57*Прил.10!$D$13,2)</f>
        <v/>
      </c>
      <c r="J57" s="32">
        <f>ROUND(I57*E57,2)</f>
        <v/>
      </c>
    </row>
    <row r="58" outlineLevel="1" ht="26.25" customFormat="1" customHeight="1" s="12">
      <c r="A58" s="257" t="n">
        <v>28</v>
      </c>
      <c r="B58" s="258" t="inlineStr">
        <is>
          <t>08.3.07.01-0076</t>
        </is>
      </c>
      <c r="C58" s="256" t="inlineStr">
        <is>
          <t>Сталь полосовая, марка стали: Ст3сп шириной 50-200 мм толщиной 4-5 мм</t>
        </is>
      </c>
      <c r="D58" s="257" t="inlineStr">
        <is>
          <t>т</t>
        </is>
      </c>
      <c r="E58" s="148" t="n">
        <v>0.0104</v>
      </c>
      <c r="F58" s="259" t="n">
        <v>5000</v>
      </c>
      <c r="G58" s="32">
        <f>ROUND(E58*F58,2)</f>
        <v/>
      </c>
      <c r="H58" s="187">
        <f>G58/$G$69</f>
        <v/>
      </c>
      <c r="I58" s="32">
        <f>ROUND(F58*Прил.10!$D$13,2)</f>
        <v/>
      </c>
      <c r="J58" s="32">
        <f>ROUND(I58*E58,2)</f>
        <v/>
      </c>
    </row>
    <row r="59" outlineLevel="1" ht="25.5" customFormat="1" customHeight="1" s="12">
      <c r="A59" s="257" t="n">
        <v>29</v>
      </c>
      <c r="B59" s="258" t="inlineStr">
        <is>
          <t>20.2.08.07-0072</t>
        </is>
      </c>
      <c r="C59" s="256" t="inlineStr">
        <is>
          <t>Скобы металлические для крепления проводов</t>
        </is>
      </c>
      <c r="D59" s="257" t="inlineStr">
        <is>
          <t>10шт</t>
        </is>
      </c>
      <c r="E59" s="148" t="n">
        <v>2</v>
      </c>
      <c r="F59" s="259" t="n">
        <v>29.4</v>
      </c>
      <c r="G59" s="32">
        <f>ROUND(E59*F59,2)</f>
        <v/>
      </c>
      <c r="H59" s="187">
        <f>G59/$G$69</f>
        <v/>
      </c>
      <c r="I59" s="32">
        <f>ROUND(F59*Прил.10!$D$13,2)</f>
        <v/>
      </c>
      <c r="J59" s="32">
        <f>ROUND(I59*E59,2)</f>
        <v/>
      </c>
    </row>
    <row r="60" outlineLevel="1" ht="14.25" customFormat="1" customHeight="1" s="12">
      <c r="A60" s="257" t="n">
        <v>30</v>
      </c>
      <c r="B60" s="258" t="inlineStr">
        <is>
          <t>01.7.11.07-0034</t>
        </is>
      </c>
      <c r="C60" s="256" t="inlineStr">
        <is>
          <t>Электроды диаметром: 4 мм Э42А</t>
        </is>
      </c>
      <c r="D60" s="257" t="inlineStr">
        <is>
          <t>кг</t>
        </is>
      </c>
      <c r="E60" s="148" t="n">
        <v>1.6216</v>
      </c>
      <c r="F60" s="259" t="n">
        <v>10.57</v>
      </c>
      <c r="G60" s="32">
        <f>ROUND(E60*F60,2)</f>
        <v/>
      </c>
      <c r="H60" s="187">
        <f>G60/$G$69</f>
        <v/>
      </c>
      <c r="I60" s="32">
        <f>ROUND(F60*Прил.10!$D$13,2)</f>
        <v/>
      </c>
      <c r="J60" s="32">
        <f>ROUND(I60*E60,2)</f>
        <v/>
      </c>
    </row>
    <row r="61" outlineLevel="1" ht="14.25" customFormat="1" customHeight="1" s="12">
      <c r="A61" s="257" t="n">
        <v>31</v>
      </c>
      <c r="B61" s="258" t="inlineStr">
        <is>
          <t>01.7.15.07-0031</t>
        </is>
      </c>
      <c r="C61" s="256" t="inlineStr">
        <is>
          <t>Дюбели распорные с гайкой</t>
        </is>
      </c>
      <c r="D61" s="257" t="inlineStr">
        <is>
          <t>100 шт.</t>
        </is>
      </c>
      <c r="E61" s="148" t="n">
        <v>0.1089</v>
      </c>
      <c r="F61" s="259" t="n">
        <v>110</v>
      </c>
      <c r="G61" s="32">
        <f>ROUND(E61*F61,2)</f>
        <v/>
      </c>
      <c r="H61" s="187">
        <f>G61/$G$69</f>
        <v/>
      </c>
      <c r="I61" s="32">
        <f>ROUND(F61*Прил.10!$D$13,2)</f>
        <v/>
      </c>
      <c r="J61" s="32">
        <f>ROUND(I61*E61,2)</f>
        <v/>
      </c>
    </row>
    <row r="62" outlineLevel="1" ht="25.5" customFormat="1" customHeight="1" s="12">
      <c r="A62" s="257" t="n">
        <v>32</v>
      </c>
      <c r="B62" s="258" t="inlineStr">
        <is>
          <t>03.2.01.01-0003</t>
        </is>
      </c>
      <c r="C62" s="256" t="inlineStr">
        <is>
          <t>Портландцемент общестроительного назначения бездобавочный, марки: 500</t>
        </is>
      </c>
      <c r="D62" s="257" t="inlineStr">
        <is>
          <t>т</t>
        </is>
      </c>
      <c r="E62" s="148" t="n">
        <v>0.0245</v>
      </c>
      <c r="F62" s="259" t="n">
        <v>480</v>
      </c>
      <c r="G62" s="32">
        <f>ROUND(E62*F62,2)</f>
        <v/>
      </c>
      <c r="H62" s="187">
        <f>G62/$G$69</f>
        <v/>
      </c>
      <c r="I62" s="32">
        <f>ROUND(F62*Прил.10!$D$13,2)</f>
        <v/>
      </c>
      <c r="J62" s="32">
        <f>ROUND(I62*E62,2)</f>
        <v/>
      </c>
    </row>
    <row r="63" outlineLevel="1" ht="14.25" customFormat="1" customHeight="1" s="12">
      <c r="A63" s="257" t="n">
        <v>33</v>
      </c>
      <c r="B63" s="258" t="inlineStr">
        <is>
          <t>14.4.02.09-0001</t>
        </is>
      </c>
      <c r="C63" s="256" t="inlineStr">
        <is>
          <t>Краска</t>
        </is>
      </c>
      <c r="D63" s="257" t="inlineStr">
        <is>
          <t>кг</t>
        </is>
      </c>
      <c r="E63" s="148" t="n">
        <v>0.396</v>
      </c>
      <c r="F63" s="259" t="n">
        <v>28.6</v>
      </c>
      <c r="G63" s="32">
        <f>ROUND(E63*F63,2)</f>
        <v/>
      </c>
      <c r="H63" s="187">
        <f>G63/$G$69</f>
        <v/>
      </c>
      <c r="I63" s="32">
        <f>ROUND(F63*Прил.10!$D$13,2)</f>
        <v/>
      </c>
      <c r="J63" s="32">
        <f>ROUND(I63*E63,2)</f>
        <v/>
      </c>
    </row>
    <row r="64" outlineLevel="1" ht="25.5" customFormat="1" customHeight="1" s="12">
      <c r="A64" s="257" t="n">
        <v>34</v>
      </c>
      <c r="B64" s="258" t="inlineStr">
        <is>
          <t>01.3.01.06-0050</t>
        </is>
      </c>
      <c r="C64" s="256" t="inlineStr">
        <is>
          <t>Смазка универсальная тугоплавкая УТ (консталин жировой)</t>
        </is>
      </c>
      <c r="D64" s="257" t="inlineStr">
        <is>
          <t>т</t>
        </is>
      </c>
      <c r="E64" s="148" t="n">
        <v>0.0005999999999999999</v>
      </c>
      <c r="F64" s="259" t="n">
        <v>17500</v>
      </c>
      <c r="G64" s="32">
        <f>ROUND(E64*F64,2)</f>
        <v/>
      </c>
      <c r="H64" s="187">
        <f>G64/$G$69</f>
        <v/>
      </c>
      <c r="I64" s="32">
        <f>ROUND(F64*Прил.10!$D$13,2)</f>
        <v/>
      </c>
      <c r="J64" s="32">
        <f>ROUND(I64*E64,2)</f>
        <v/>
      </c>
    </row>
    <row r="65" outlineLevel="1" ht="14.25" customFormat="1" customHeight="1" s="12">
      <c r="A65" s="257" t="n">
        <v>35</v>
      </c>
      <c r="B65" s="258" t="inlineStr">
        <is>
          <t>01.7.20.08-0031</t>
        </is>
      </c>
      <c r="C65" s="256" t="inlineStr">
        <is>
          <t>Бязь суровая арт. 6804</t>
        </is>
      </c>
      <c r="D65" s="257" t="inlineStr">
        <is>
          <t>10 м2</t>
        </is>
      </c>
      <c r="E65" s="148" t="n">
        <v>0.057</v>
      </c>
      <c r="F65" s="259" t="n">
        <v>79.09999999999999</v>
      </c>
      <c r="G65" s="32">
        <f>ROUND(E65*F65,2)</f>
        <v/>
      </c>
      <c r="H65" s="187">
        <f>G65/$G$69</f>
        <v/>
      </c>
      <c r="I65" s="32">
        <f>ROUND(F65*Прил.10!$D$13,2)</f>
        <v/>
      </c>
      <c r="J65" s="32">
        <f>ROUND(I65*E65,2)</f>
        <v/>
      </c>
    </row>
    <row r="66" outlineLevel="1" ht="25.5" customFormat="1" customHeight="1" s="12">
      <c r="A66" s="257" t="n">
        <v>36</v>
      </c>
      <c r="B66" s="258" t="inlineStr">
        <is>
          <t>02.3.01.02-0020</t>
        </is>
      </c>
      <c r="C66" s="256" t="inlineStr">
        <is>
          <t>Песок природный для строительных: растворов средний</t>
        </is>
      </c>
      <c r="D66" s="257" t="inlineStr">
        <is>
          <t>м3</t>
        </is>
      </c>
      <c r="E66" s="148" t="n">
        <v>0.0204</v>
      </c>
      <c r="F66" s="259" t="n">
        <v>59.99</v>
      </c>
      <c r="G66" s="32">
        <f>ROUND(E66*F66,2)</f>
        <v/>
      </c>
      <c r="H66" s="187">
        <f>G66/$G$69</f>
        <v/>
      </c>
      <c r="I66" s="32">
        <f>ROUND(F66*Прил.10!$D$13,2)</f>
        <v/>
      </c>
      <c r="J66" s="32">
        <f>ROUND(I66*E66,2)</f>
        <v/>
      </c>
    </row>
    <row r="67" outlineLevel="1" ht="14.25" customFormat="1" customHeight="1" s="12">
      <c r="A67" s="257" t="n">
        <v>37</v>
      </c>
      <c r="B67" s="258" t="inlineStr">
        <is>
          <t>08.3.07.01-0043</t>
        </is>
      </c>
      <c r="C67" s="256" t="inlineStr">
        <is>
          <t>Сталь полосовая: 40х5 мм, марка Ст3сп</t>
        </is>
      </c>
      <c r="D67" s="257" t="inlineStr">
        <is>
          <t>т</t>
        </is>
      </c>
      <c r="E67" s="148" t="n">
        <v>8.2e-05</v>
      </c>
      <c r="F67" s="259" t="n">
        <v>6159.22</v>
      </c>
      <c r="G67" s="32">
        <f>ROUND(E67*F67,2)</f>
        <v/>
      </c>
      <c r="H67" s="187">
        <f>G67/$G$69</f>
        <v/>
      </c>
      <c r="I67" s="32">
        <f>ROUND(F67*Прил.10!$D$13,2)</f>
        <v/>
      </c>
      <c r="J67" s="32">
        <f>ROUND(I67*E67,2)</f>
        <v/>
      </c>
    </row>
    <row r="68" ht="14.25" customFormat="1" customHeight="1" s="12">
      <c r="A68" s="257" t="n"/>
      <c r="B68" s="257" t="n"/>
      <c r="C68" s="256" t="inlineStr">
        <is>
          <t>Итого прочие материалы</t>
        </is>
      </c>
      <c r="D68" s="257" t="n"/>
      <c r="E68" s="258" t="n"/>
      <c r="F68" s="259" t="n"/>
      <c r="G68" s="32">
        <f>SUM(G50:G67)</f>
        <v/>
      </c>
      <c r="H68" s="260">
        <f>G68/G69</f>
        <v/>
      </c>
      <c r="I68" s="32" t="n"/>
      <c r="J68" s="32">
        <f>SUM(J50:J67)</f>
        <v/>
      </c>
    </row>
    <row r="69" ht="14.25" customFormat="1" customHeight="1" s="12">
      <c r="A69" s="257" t="n"/>
      <c r="B69" s="257" t="n"/>
      <c r="C69" s="261" t="inlineStr">
        <is>
          <t>Итого по разделу «Материалы»</t>
        </is>
      </c>
      <c r="D69" s="257" t="n"/>
      <c r="E69" s="258" t="n"/>
      <c r="F69" s="259" t="n"/>
      <c r="G69" s="32">
        <f>G49+G68</f>
        <v/>
      </c>
      <c r="H69" s="260" t="n">
        <v>1</v>
      </c>
      <c r="I69" s="32" t="n"/>
      <c r="J69" s="32">
        <f>J49+J68</f>
        <v/>
      </c>
    </row>
    <row r="70" ht="14.25" customFormat="1" customHeight="1" s="12">
      <c r="A70" s="257" t="n"/>
      <c r="B70" s="257" t="n"/>
      <c r="C70" s="256" t="inlineStr">
        <is>
          <t>ИТОГО ПО РМ</t>
        </is>
      </c>
      <c r="D70" s="257" t="n"/>
      <c r="E70" s="258" t="n"/>
      <c r="F70" s="259" t="n"/>
      <c r="G70" s="32">
        <f>G16+G31+G69</f>
        <v/>
      </c>
      <c r="H70" s="260" t="n"/>
      <c r="I70" s="32" t="n"/>
      <c r="J70" s="32">
        <f>J16+J31+J69</f>
        <v/>
      </c>
    </row>
    <row r="71" ht="14.25" customFormat="1" customHeight="1" s="12">
      <c r="A71" s="257" t="n"/>
      <c r="B71" s="257" t="n"/>
      <c r="C71" s="256" t="inlineStr">
        <is>
          <t>Накладные расходы</t>
        </is>
      </c>
      <c r="D71" s="193">
        <f>ROUND(G71/(G$18+$G$16),2)</f>
        <v/>
      </c>
      <c r="E71" s="258" t="n"/>
      <c r="F71" s="259" t="n"/>
      <c r="G71" s="32" t="n">
        <v>8668.42</v>
      </c>
      <c r="H71" s="260" t="n"/>
      <c r="I71" s="32" t="n"/>
      <c r="J71" s="32">
        <f>ROUND(D71*(J16+J18),2)</f>
        <v/>
      </c>
    </row>
    <row r="72" ht="14.25" customFormat="1" customHeight="1" s="12">
      <c r="A72" s="257" t="n"/>
      <c r="B72" s="257" t="n"/>
      <c r="C72" s="256" t="inlineStr">
        <is>
          <t>Сметная прибыль</t>
        </is>
      </c>
      <c r="D72" s="193">
        <f>ROUND(G72/(G$16+G$18),2)</f>
        <v/>
      </c>
      <c r="E72" s="258" t="n"/>
      <c r="F72" s="259" t="n"/>
      <c r="G72" s="32" t="n">
        <v>6262.74</v>
      </c>
      <c r="H72" s="260" t="n"/>
      <c r="I72" s="32" t="n"/>
      <c r="J72" s="32">
        <f>ROUND(D72*(J16+J18),2)</f>
        <v/>
      </c>
    </row>
    <row r="73" ht="14.25" customFormat="1" customHeight="1" s="12">
      <c r="A73" s="257" t="n"/>
      <c r="B73" s="257" t="n"/>
      <c r="C73" s="256" t="inlineStr">
        <is>
          <t>Итого СМР (с НР и СП)</t>
        </is>
      </c>
      <c r="D73" s="257" t="n"/>
      <c r="E73" s="258" t="n"/>
      <c r="F73" s="259" t="n"/>
      <c r="G73" s="32">
        <f>G16+G31+G69+G71+G72</f>
        <v/>
      </c>
      <c r="H73" s="260" t="n"/>
      <c r="I73" s="32" t="n"/>
      <c r="J73" s="32">
        <f>J16+J31+J69+J71+J72</f>
        <v/>
      </c>
    </row>
    <row r="74" ht="14.25" customFormat="1" customHeight="1" s="12">
      <c r="A74" s="257" t="n"/>
      <c r="B74" s="257" t="n"/>
      <c r="C74" s="256" t="inlineStr">
        <is>
          <t>ВСЕГО СМР + ОБОРУДОВАНИЕ</t>
        </is>
      </c>
      <c r="D74" s="257" t="n"/>
      <c r="E74" s="258" t="n"/>
      <c r="F74" s="259" t="n"/>
      <c r="G74" s="32">
        <f>G73+G39</f>
        <v/>
      </c>
      <c r="H74" s="260" t="n"/>
      <c r="I74" s="32" t="n"/>
      <c r="J74" s="32">
        <f>J73+J39</f>
        <v/>
      </c>
    </row>
    <row r="75" ht="34.5" customFormat="1" customHeight="1" s="12">
      <c r="A75" s="257" t="n"/>
      <c r="B75" s="257" t="n"/>
      <c r="C75" s="256" t="inlineStr">
        <is>
          <t>ИТОГО ПОКАЗАТЕЛЬ НА ЕД. ИЗМ.</t>
        </is>
      </c>
      <c r="D75" s="257" t="inlineStr">
        <is>
          <t>ед.</t>
        </is>
      </c>
      <c r="E75" s="258" t="n">
        <v>1</v>
      </c>
      <c r="F75" s="259" t="n"/>
      <c r="G75" s="32">
        <f>G74/E75</f>
        <v/>
      </c>
      <c r="H75" s="260" t="n"/>
      <c r="I75" s="32" t="n"/>
      <c r="J75" s="32">
        <f>J74/E75</f>
        <v/>
      </c>
    </row>
    <row r="77" ht="14.25" customFormat="1" customHeight="1" s="12">
      <c r="A77" s="4" t="inlineStr">
        <is>
          <t>Составил ______________________    Е. М. Добровольская</t>
        </is>
      </c>
    </row>
    <row r="78" ht="14.25" customFormat="1" customHeight="1" s="12">
      <c r="A78" s="33" t="inlineStr">
        <is>
          <t xml:space="preserve">                         (подпись, инициалы, фамилия)</t>
        </is>
      </c>
    </row>
    <row r="79" ht="14.25" customFormat="1" customHeight="1" s="12">
      <c r="A79" s="4" t="n"/>
    </row>
    <row r="80" ht="14.25" customFormat="1" customHeight="1" s="12">
      <c r="A80" s="4" t="inlineStr">
        <is>
          <t>Проверил ______________________        А.В. Костянецкая</t>
        </is>
      </c>
    </row>
    <row r="81" ht="14.25" customFormat="1" customHeight="1" s="12">
      <c r="A81" s="3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33:H33"/>
    <mergeCell ref="H2:J2"/>
    <mergeCell ref="B20:H20"/>
    <mergeCell ref="C9:C10"/>
    <mergeCell ref="E9:E10"/>
    <mergeCell ref="A7:H7"/>
    <mergeCell ref="B9:B10"/>
    <mergeCell ref="D9:D10"/>
    <mergeCell ref="B12:H12"/>
    <mergeCell ref="B32:J32"/>
    <mergeCell ref="D6:J6"/>
    <mergeCell ref="B41:J41"/>
    <mergeCell ref="B42:H42"/>
    <mergeCell ref="F9:G9"/>
    <mergeCell ref="B17:H17"/>
    <mergeCell ref="A9:A10"/>
    <mergeCell ref="A6:C6"/>
    <mergeCell ref="B19:H19"/>
    <mergeCell ref="I9:J9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2"/>
  <sheetViews>
    <sheetView view="pageBreakPreview" workbookViewId="0">
      <selection activeCell="C26" sqref="C2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7" t="inlineStr">
        <is>
          <t>Приложение №6</t>
        </is>
      </c>
    </row>
    <row r="2" ht="21.75" customHeight="1">
      <c r="A2" s="267" t="n"/>
      <c r="B2" s="267" t="n"/>
      <c r="C2" s="267" t="n"/>
      <c r="D2" s="267" t="n"/>
      <c r="E2" s="267" t="n"/>
      <c r="F2" s="267" t="n"/>
      <c r="G2" s="267" t="n"/>
    </row>
    <row r="3">
      <c r="A3" s="228" t="inlineStr">
        <is>
          <t>Расчет стоимости оборудования</t>
        </is>
      </c>
    </row>
    <row r="4" ht="25.5" customHeight="1">
      <c r="A4" s="231" t="inlineStr">
        <is>
          <t>Наименование разрабатываемого показателя УНЦ — ТН (до трех вторичных обмоток) на три фазы с устройством фундамента напряжение 35(20)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2" t="inlineStr">
        <is>
          <t>№ пп.</t>
        </is>
      </c>
      <c r="B6" s="272" t="inlineStr">
        <is>
          <t>Код ресурса</t>
        </is>
      </c>
      <c r="C6" s="272" t="inlineStr">
        <is>
          <t>Наименование</t>
        </is>
      </c>
      <c r="D6" s="272" t="inlineStr">
        <is>
          <t>Ед. изм.</t>
        </is>
      </c>
      <c r="E6" s="257" t="inlineStr">
        <is>
          <t>Кол-во единиц по проектным данным</t>
        </is>
      </c>
      <c r="F6" s="272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7" t="inlineStr">
        <is>
          <t>на ед. изм.</t>
        </is>
      </c>
      <c r="G7" s="257" t="inlineStr">
        <is>
          <t>общая</t>
        </is>
      </c>
    </row>
    <row r="8">
      <c r="A8" s="257" t="n">
        <v>1</v>
      </c>
      <c r="B8" s="257" t="n">
        <v>2</v>
      </c>
      <c r="C8" s="257" t="n">
        <v>3</v>
      </c>
      <c r="D8" s="257" t="n">
        <v>4</v>
      </c>
      <c r="E8" s="257" t="n">
        <v>5</v>
      </c>
      <c r="F8" s="257" t="n">
        <v>6</v>
      </c>
      <c r="G8" s="257" t="n">
        <v>7</v>
      </c>
    </row>
    <row r="9" ht="15" customHeight="1">
      <c r="A9" s="25" t="n"/>
      <c r="B9" s="256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>
      <c r="A10" s="257" t="n"/>
      <c r="B10" s="261" t="n"/>
      <c r="C10" s="256" t="inlineStr">
        <is>
          <t>ИТОГО ИНЖЕНЕРНОЕ ОБОРУДОВАНИЕ</t>
        </is>
      </c>
      <c r="D10" s="261" t="n"/>
      <c r="E10" s="105" t="n"/>
      <c r="F10" s="259" t="n"/>
      <c r="G10" s="259" t="n">
        <v>0</v>
      </c>
    </row>
    <row r="11">
      <c r="A11" s="257" t="n"/>
      <c r="B11" s="256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25.5" customHeight="1">
      <c r="A12" s="257" t="n">
        <v>1</v>
      </c>
      <c r="B12" s="146" t="inlineStr">
        <is>
          <t>БЦ.16.114</t>
        </is>
      </c>
      <c r="C12" s="256">
        <f>'Прил.5 Расчет СМР и ОБ'!C34</f>
        <v/>
      </c>
      <c r="D12" s="256" t="inlineStr">
        <is>
          <t>шт.</t>
        </is>
      </c>
      <c r="E12" s="271" t="n">
        <v>3</v>
      </c>
      <c r="F12" s="259">
        <f>'Прил.5 Расчет СМР и ОБ'!F34</f>
        <v/>
      </c>
      <c r="G12" s="32">
        <f>E12*F12</f>
        <v/>
      </c>
    </row>
    <row r="13" ht="25.5" customHeight="1">
      <c r="A13" s="257" t="n">
        <v>2</v>
      </c>
      <c r="B13" s="146" t="inlineStr">
        <is>
          <t>Прайс из СД ОП</t>
        </is>
      </c>
      <c r="C13" s="256" t="inlineStr">
        <is>
          <t>Ящик АВР цепей напряжения
ЯАВР2.1-АСКУЭ-220В</t>
        </is>
      </c>
      <c r="D13" s="256" t="inlineStr">
        <is>
          <t>шт.</t>
        </is>
      </c>
      <c r="E13" s="271" t="n">
        <v>1</v>
      </c>
      <c r="F13" s="259">
        <f>'Прил.5 Расчет СМР и ОБ'!F36</f>
        <v/>
      </c>
      <c r="G13" s="32">
        <f>E13*F13</f>
        <v/>
      </c>
    </row>
    <row r="14" ht="25.5" customHeight="1">
      <c r="A14" s="257" t="n">
        <v>3</v>
      </c>
      <c r="B14" s="146" t="inlineStr">
        <is>
          <t>Прайс из СД ОП</t>
        </is>
      </c>
      <c r="C14" s="256" t="inlineStr">
        <is>
          <t>Ящик цепей напряжения ЯЗН-11-
АСКУЭ</t>
        </is>
      </c>
      <c r="D14" s="256" t="inlineStr">
        <is>
          <t>шт.</t>
        </is>
      </c>
      <c r="E14" s="271" t="n">
        <v>1</v>
      </c>
      <c r="F14" s="259">
        <f>'Прил.5 Расчет СМР и ОБ'!F37</f>
        <v/>
      </c>
      <c r="G14" s="32">
        <f>E14*F14</f>
        <v/>
      </c>
    </row>
    <row r="15" ht="25.5" customHeight="1">
      <c r="A15" s="257" t="n"/>
      <c r="B15" s="256" t="n"/>
      <c r="C15" s="256" t="inlineStr">
        <is>
          <t>ИТОГО ТЕХНОЛОГИЧЕСКОЕ ОБОРУДОВАНИЕ</t>
        </is>
      </c>
      <c r="D15" s="256" t="n"/>
      <c r="E15" s="271" t="n"/>
      <c r="F15" s="259" t="n"/>
      <c r="G15" s="32">
        <f>G14+G13+G12</f>
        <v/>
      </c>
    </row>
    <row r="16" ht="19.5" customHeight="1">
      <c r="A16" s="257" t="n"/>
      <c r="B16" s="256" t="n"/>
      <c r="C16" s="256" t="inlineStr">
        <is>
          <t>Всего по разделу «Оборудование»</t>
        </is>
      </c>
      <c r="D16" s="256" t="n"/>
      <c r="E16" s="271" t="n"/>
      <c r="F16" s="259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7" t="inlineStr">
        <is>
          <t>Приложение №7</t>
        </is>
      </c>
    </row>
    <row r="2">
      <c r="A2" s="267" t="n"/>
      <c r="B2" s="267" t="n"/>
      <c r="C2" s="267" t="n"/>
      <c r="D2" s="267" t="n"/>
    </row>
    <row r="3" ht="24.75" customHeight="1">
      <c r="A3" s="273" t="inlineStr">
        <is>
          <t>Расчет показателя УНЦ</t>
        </is>
      </c>
    </row>
    <row r="4" ht="24.75" customHeight="1">
      <c r="A4" s="273" t="n"/>
      <c r="B4" s="273" t="n"/>
      <c r="C4" s="273" t="n"/>
      <c r="D4" s="273" t="n"/>
    </row>
    <row r="5" ht="54.75" customHeight="1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9.9" customHeight="1">
      <c r="A6" s="274" t="inlineStr">
        <is>
          <t>Единица измерения  — 1 ед</t>
        </is>
      </c>
      <c r="D6" s="274" t="n"/>
    </row>
    <row r="7">
      <c r="A7" s="220" t="n"/>
      <c r="B7" s="220" t="n"/>
      <c r="C7" s="220" t="n"/>
      <c r="D7" s="220" t="n"/>
    </row>
    <row r="8" ht="14.45" customHeight="1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>
      <c r="A9" s="323" t="n"/>
      <c r="B9" s="323" t="n"/>
      <c r="C9" s="323" t="n"/>
      <c r="D9" s="323" t="n"/>
    </row>
    <row r="10">
      <c r="A10" s="221" t="n">
        <v>1</v>
      </c>
      <c r="B10" s="221" t="n">
        <v>2</v>
      </c>
      <c r="C10" s="221" t="n">
        <v>3</v>
      </c>
      <c r="D10" s="221" t="n">
        <v>4</v>
      </c>
    </row>
    <row r="11" ht="41.45" customHeight="1">
      <c r="A11" s="221" t="inlineStr">
        <is>
          <t>И5-02-2</t>
        </is>
      </c>
      <c r="B11" s="221" t="inlineStr">
        <is>
          <t xml:space="preserve">УНЦ элементов ПС с устройством фундаментов </t>
        </is>
      </c>
      <c r="C11" s="222">
        <f>D5</f>
        <v/>
      </c>
      <c r="D11" s="223">
        <f>'Прил.4 РМ'!C41/1000</f>
        <v/>
      </c>
      <c r="E11" s="143" t="n"/>
    </row>
    <row r="12">
      <c r="A12" s="224" t="n"/>
      <c r="B12" s="225" t="n"/>
      <c r="C12" s="224" t="n"/>
      <c r="D12" s="224" t="n"/>
    </row>
    <row r="13">
      <c r="A13" s="220" t="inlineStr">
        <is>
          <t>Составил ______________________      Е. М. Добровольская</t>
        </is>
      </c>
      <c r="B13" s="226" t="n"/>
      <c r="C13" s="226" t="n"/>
      <c r="D13" s="224" t="n"/>
    </row>
    <row r="14">
      <c r="A14" s="227" t="inlineStr">
        <is>
          <t xml:space="preserve">                         (подпись, инициалы, фамилия)</t>
        </is>
      </c>
      <c r="B14" s="226" t="n"/>
      <c r="C14" s="226" t="n"/>
      <c r="D14" s="224" t="n"/>
    </row>
    <row r="15">
      <c r="A15" s="220" t="n"/>
      <c r="B15" s="226" t="n"/>
      <c r="C15" s="226" t="n"/>
      <c r="D15" s="224" t="n"/>
    </row>
    <row r="16">
      <c r="A16" s="220" t="inlineStr">
        <is>
          <t>Проверил ______________________        А.В. Костянецкая</t>
        </is>
      </c>
      <c r="B16" s="226" t="n"/>
      <c r="C16" s="226" t="n"/>
      <c r="D16" s="224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6" zoomScale="60" zoomScaleNormal="85" workbookViewId="0">
      <selection activeCell="C26" sqref="C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6" t="inlineStr">
        <is>
          <t>Приложение № 10</t>
        </is>
      </c>
    </row>
    <row r="5" ht="18.75" customHeight="1">
      <c r="B5" s="138" t="n"/>
    </row>
    <row r="6" ht="15.75" customHeight="1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>
      <c r="B10" s="241" t="n">
        <v>1</v>
      </c>
      <c r="C10" s="241" t="n">
        <v>2</v>
      </c>
      <c r="D10" s="241" t="n">
        <v>3</v>
      </c>
    </row>
    <row r="11" ht="45" customHeight="1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>
      <c r="B14" s="241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1" t="n">
        <v>6.26</v>
      </c>
    </row>
    <row r="15" ht="89.25" customHeight="1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78.75" customHeight="1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1" t="inlineStr">
        <is>
          <t>Пусконаладочные работы*</t>
        </is>
      </c>
      <c r="C17" s="241" t="n"/>
      <c r="D17" s="241" t="inlineStr">
        <is>
          <t>Расчет</t>
        </is>
      </c>
    </row>
    <row r="18" ht="31.5" customHeight="1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39" t="n">
        <v>0.002</v>
      </c>
    </row>
    <row r="20" ht="24" customHeight="1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29"/>
  <sheetViews>
    <sheetView view="pageBreakPreview" workbookViewId="0">
      <selection activeCell="C26" sqref="C26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214" t="n"/>
      <c r="C4" s="214" t="n"/>
      <c r="D4" s="214" t="n"/>
      <c r="E4" s="214" t="n"/>
      <c r="F4" s="214" t="n"/>
      <c r="G4" s="214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214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214" t="n"/>
    </row>
    <row r="7" ht="110.25" customHeight="1">
      <c r="A7" s="128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61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4" t="n"/>
    </row>
    <row r="8" ht="31.5" customHeight="1">
      <c r="A8" s="128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130">
        <f>1973/12</f>
        <v/>
      </c>
      <c r="F8" s="211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211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130" t="n">
        <v>1</v>
      </c>
      <c r="F9" s="211" t="n"/>
      <c r="G9" s="131" t="n"/>
    </row>
    <row r="10" ht="15.75" customHeight="1">
      <c r="A10" s="128" t="inlineStr">
        <is>
          <t>1.4</t>
        </is>
      </c>
      <c r="B10" s="211" t="inlineStr">
        <is>
          <t>Средний разряд работ</t>
        </is>
      </c>
      <c r="C10" s="241" t="n"/>
      <c r="D10" s="241" t="n"/>
      <c r="E10" s="132" t="n">
        <v>4</v>
      </c>
      <c r="F10" s="211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211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133" t="n">
        <v>1.34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4" t="n"/>
    </row>
    <row r="12" ht="78.75" customHeight="1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n"/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1" t="inlineStr">
        <is>
          <t>ФОТр.тек.</t>
        </is>
      </c>
      <c r="D13" s="241" t="inlineStr">
        <is>
          <t>(С1ср/tср*КТ*Т*Кув)*Кинф</t>
        </is>
      </c>
      <c r="E13" s="137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4" t="n"/>
    </row>
    <row r="14">
      <c r="A14" s="194" t="n"/>
      <c r="B14" s="195" t="inlineStr">
        <is>
          <t>Инженер I категории</t>
        </is>
      </c>
      <c r="C14" s="194" t="n"/>
      <c r="D14" s="194" t="n"/>
      <c r="E14" s="194" t="n"/>
      <c r="F14" s="194" t="n"/>
    </row>
    <row r="15" ht="63.75" customHeight="1">
      <c r="A15" s="196" t="inlineStr">
        <is>
          <t>1.1</t>
        </is>
      </c>
      <c r="B15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198" t="inlineStr">
        <is>
          <t>С1ср</t>
        </is>
      </c>
      <c r="D15" s="198" t="inlineStr">
        <is>
          <t>-</t>
        </is>
      </c>
      <c r="E15" s="199" t="n">
        <v>43361</v>
      </c>
      <c r="F15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196" t="inlineStr">
        <is>
          <t>1.2</t>
        </is>
      </c>
      <c r="B16" s="197" t="inlineStr">
        <is>
          <t>Среднегодовое нормативное число часов работы одного рабочего в месяц, часы (ч.)</t>
        </is>
      </c>
      <c r="C16" s="198" t="inlineStr">
        <is>
          <t>tср</t>
        </is>
      </c>
      <c r="D16" s="198" t="inlineStr">
        <is>
          <t>1973ч/12мес.</t>
        </is>
      </c>
      <c r="E16" s="199">
        <f>1973/12</f>
        <v/>
      </c>
      <c r="F16" s="197" t="inlineStr">
        <is>
          <t>Производственный календарь 2023 год
(40-часов.неделя)</t>
        </is>
      </c>
    </row>
    <row r="17">
      <c r="A17" s="196" t="inlineStr">
        <is>
          <t>1.3</t>
        </is>
      </c>
      <c r="B17" s="197" t="inlineStr">
        <is>
          <t>Коэффициент увеличения</t>
        </is>
      </c>
      <c r="C17" s="198" t="inlineStr">
        <is>
          <t>Кув</t>
        </is>
      </c>
      <c r="D17" s="198" t="inlineStr">
        <is>
          <t>-</t>
        </is>
      </c>
      <c r="E17" s="199" t="n">
        <v>1</v>
      </c>
      <c r="F17" s="197" t="n"/>
    </row>
    <row r="18">
      <c r="A18" s="196" t="inlineStr">
        <is>
          <t>1.4</t>
        </is>
      </c>
      <c r="B18" s="197" t="inlineStr">
        <is>
          <t>Средний разряд работ</t>
        </is>
      </c>
      <c r="C18" s="198" t="n"/>
      <c r="D18" s="198" t="n"/>
      <c r="E18" s="200" t="n">
        <v>1</v>
      </c>
      <c r="F18" s="197" t="inlineStr">
        <is>
          <t>РТМ</t>
        </is>
      </c>
    </row>
    <row r="19" ht="51" customHeight="1">
      <c r="A19" s="196" t="inlineStr">
        <is>
          <t>1.5</t>
        </is>
      </c>
      <c r="B19" s="197" t="inlineStr">
        <is>
          <t>Тарифный коэффициент среднего разряда работ</t>
        </is>
      </c>
      <c r="C19" s="198" t="inlineStr">
        <is>
          <t>КТ</t>
        </is>
      </c>
      <c r="D19" s="198" t="inlineStr">
        <is>
          <t>-</t>
        </is>
      </c>
      <c r="E19" s="201" t="n">
        <v>2.15</v>
      </c>
      <c r="F19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196" t="inlineStr">
        <is>
          <t>1.6</t>
        </is>
      </c>
      <c r="B20" s="202" t="inlineStr">
        <is>
          <t>Коэффициент инфляции, определяемый поквартально</t>
        </is>
      </c>
      <c r="C20" s="198" t="inlineStr">
        <is>
          <t>Кинф</t>
        </is>
      </c>
      <c r="D20" s="198" t="inlineStr">
        <is>
          <t>-</t>
        </is>
      </c>
      <c r="E20" s="203" t="n">
        <v>1.139</v>
      </c>
      <c r="F20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196" t="inlineStr">
        <is>
          <t>1.7</t>
        </is>
      </c>
      <c r="B21" s="205" t="inlineStr">
        <is>
          <t>Размер средств на оплату труда рабочих-строителей в текущем уровне цен (ФОТи.тек.), руб/чел.-ч</t>
        </is>
      </c>
      <c r="C21" s="198" t="inlineStr">
        <is>
          <t>ФОТр.тек.</t>
        </is>
      </c>
      <c r="D21" s="198" t="inlineStr">
        <is>
          <t>(С1ср/tср*КТ*Т*Кув)*Кинф</t>
        </is>
      </c>
      <c r="E21" s="206">
        <f>((E15*E17/E16)*E19)*E20</f>
        <v/>
      </c>
      <c r="F21" s="1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4" t="n"/>
      <c r="B22" s="195" t="inlineStr">
        <is>
          <t>Инженер II категории</t>
        </is>
      </c>
      <c r="C22" s="194" t="n"/>
      <c r="D22" s="194" t="n"/>
      <c r="E22" s="194" t="n"/>
      <c r="F22" s="194" t="n"/>
    </row>
    <row r="23" ht="63.75" customHeight="1">
      <c r="A23" s="196" t="inlineStr">
        <is>
          <t>1.1</t>
        </is>
      </c>
      <c r="B23" s="19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198" t="inlineStr">
        <is>
          <t>С1ср</t>
        </is>
      </c>
      <c r="D23" s="198" t="inlineStr">
        <is>
          <t>-</t>
        </is>
      </c>
      <c r="E23" s="199" t="n">
        <v>43361</v>
      </c>
      <c r="F23" s="19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196" t="inlineStr">
        <is>
          <t>1.2</t>
        </is>
      </c>
      <c r="B24" s="197" t="inlineStr">
        <is>
          <t>Среднегодовое нормативное число часов работы одного рабочего в месяц, часы (ч.)</t>
        </is>
      </c>
      <c r="C24" s="198" t="inlineStr">
        <is>
          <t>tср</t>
        </is>
      </c>
      <c r="D24" s="198" t="inlineStr">
        <is>
          <t>1973ч/12мес.</t>
        </is>
      </c>
      <c r="E24" s="199">
        <f>1973/12</f>
        <v/>
      </c>
      <c r="F24" s="197" t="inlineStr">
        <is>
          <t>Производственный календарь 2023 год
(40-часов.неделя)</t>
        </is>
      </c>
    </row>
    <row r="25">
      <c r="A25" s="196" t="inlineStr">
        <is>
          <t>1.3</t>
        </is>
      </c>
      <c r="B25" s="197" t="inlineStr">
        <is>
          <t>Коэффициент увеличения</t>
        </is>
      </c>
      <c r="C25" s="198" t="inlineStr">
        <is>
          <t>Кув</t>
        </is>
      </c>
      <c r="D25" s="198" t="inlineStr">
        <is>
          <t>-</t>
        </is>
      </c>
      <c r="E25" s="199" t="n">
        <v>1</v>
      </c>
      <c r="F25" s="197" t="n"/>
    </row>
    <row r="26">
      <c r="A26" s="196" t="inlineStr">
        <is>
          <t>1.4</t>
        </is>
      </c>
      <c r="B26" s="197" t="inlineStr">
        <is>
          <t>Средний разряд работ</t>
        </is>
      </c>
      <c r="C26" s="198" t="n"/>
      <c r="D26" s="198" t="n"/>
      <c r="E26" s="200" t="n">
        <v>1</v>
      </c>
      <c r="F26" s="197" t="inlineStr">
        <is>
          <t>РТМ</t>
        </is>
      </c>
    </row>
    <row r="27" ht="51" customHeight="1">
      <c r="A27" s="196" t="inlineStr">
        <is>
          <t>1.5</t>
        </is>
      </c>
      <c r="B27" s="197" t="inlineStr">
        <is>
          <t>Тарифный коэффициент среднего разряда работ</t>
        </is>
      </c>
      <c r="C27" s="198" t="inlineStr">
        <is>
          <t>КТ</t>
        </is>
      </c>
      <c r="D27" s="198" t="inlineStr">
        <is>
          <t>-</t>
        </is>
      </c>
      <c r="E27" s="201" t="n">
        <v>1.96</v>
      </c>
      <c r="F27" s="19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196" t="inlineStr">
        <is>
          <t>1.6</t>
        </is>
      </c>
      <c r="B28" s="202" t="inlineStr">
        <is>
          <t>Коэффициент инфляции, определяемый поквартально</t>
        </is>
      </c>
      <c r="C28" s="198" t="inlineStr">
        <is>
          <t>Кинф</t>
        </is>
      </c>
      <c r="D28" s="198" t="inlineStr">
        <is>
          <t>-</t>
        </is>
      </c>
      <c r="E28" s="203" t="n">
        <v>1.139</v>
      </c>
      <c r="F28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196" t="inlineStr">
        <is>
          <t>1.7</t>
        </is>
      </c>
      <c r="B29" s="205" t="inlineStr">
        <is>
          <t>Размер средств на оплату труда рабочих-строителей в текущем уровне цен (ФОТи.тек.), руб/чел.-ч</t>
        </is>
      </c>
      <c r="C29" s="198" t="inlineStr">
        <is>
          <t>ФОТр.тек.</t>
        </is>
      </c>
      <c r="D29" s="198" t="inlineStr">
        <is>
          <t>(С1ср/tср*КТ*Т*Кув)*Кинф</t>
        </is>
      </c>
      <c r="E29" s="206">
        <f>((E23*E25/E24)*E27)*E28</f>
        <v/>
      </c>
      <c r="F29" s="19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pageMargins left="0.7" right="0.7" top="0.75" bottom="0.75" header="0.3" footer="0.3"/>
  <pageSetup orientation="portrait" paperSize="9" scale="5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2025-01-24T12:02:08Z</dcterms:modified>
  <cp:lastModifiedBy>Danil</cp:lastModifiedBy>
  <cp:lastPrinted>2023-11-27T13:37:48Z</cp:lastPrinted>
</cp:coreProperties>
</file>