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8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4" fillId="0" borderId="1" applyAlignment="1" pivotButton="0" quotePrefix="0" xfId="0">
      <alignment horizontal="center" vertical="top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49" fontId="2" fillId="0" borderId="13" applyAlignment="1" pivotButton="0" quotePrefix="0" xfId="0">
      <alignment horizontal="left" vertical="center" wrapText="1"/>
    </xf>
    <xf numFmtId="49" fontId="2" fillId="0" borderId="14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31"/>
  <sheetViews>
    <sheetView view="pageBreakPreview" topLeftCell="A13" zoomScale="6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style="283" min="4" max="4"/>
  </cols>
  <sheetData>
    <row r="3" ht="15.75" customHeight="1">
      <c r="B3" s="234" t="inlineStr">
        <is>
          <t>Приложение № 1</t>
        </is>
      </c>
    </row>
    <row r="4" ht="18.75" customHeight="1">
      <c r="B4" s="235" t="inlineStr">
        <is>
          <t>Сравнительная таблица отбора объекта-представителя</t>
        </is>
      </c>
    </row>
    <row r="5" ht="84" customHeight="1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3" t="inlineStr">
        <is>
          <t>Наименование разрабатываемого показателя УНЦ - ТН (до трех вторичных обмоток) на три фазы с устройством фундамента напряжение 330 кВ</t>
        </is>
      </c>
    </row>
    <row r="8" ht="31.5" customHeight="1">
      <c r="B8" s="233" t="inlineStr">
        <is>
          <t>Сопоставимый уровень цен: 01.01.2000</t>
        </is>
      </c>
    </row>
    <row r="9" ht="15.75" customHeight="1">
      <c r="B9" s="233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>Объект-представитель</t>
        </is>
      </c>
    </row>
    <row r="12" ht="41.25" customHeight="1">
      <c r="B12" s="248" t="n">
        <v>1</v>
      </c>
      <c r="C12" s="119" t="inlineStr">
        <is>
          <t>Наименование объекта-представителя</t>
        </is>
      </c>
      <c r="D12" s="248" t="inlineStr">
        <is>
          <t>ПС Псков (МЭС Сев.-Зап.)</t>
        </is>
      </c>
    </row>
    <row r="13" ht="31.5" customHeight="1">
      <c r="B13" s="248" t="n">
        <v>2</v>
      </c>
      <c r="C13" s="119" t="inlineStr">
        <is>
          <t>Наименование субъекта Российской Федерации</t>
        </is>
      </c>
      <c r="D13" s="248" t="inlineStr">
        <is>
          <t>Псковская область</t>
        </is>
      </c>
    </row>
    <row r="14" ht="15.75" customHeight="1">
      <c r="B14" s="248" t="n">
        <v>3</v>
      </c>
      <c r="C14" s="119" t="inlineStr">
        <is>
          <t>Климатический район и подрайон</t>
        </is>
      </c>
      <c r="D14" s="248" t="inlineStr">
        <is>
          <t>IIВ</t>
        </is>
      </c>
    </row>
    <row r="15" ht="15.75" customHeight="1">
      <c r="B15" s="248" t="n">
        <v>4</v>
      </c>
      <c r="C15" s="119" t="inlineStr">
        <is>
          <t>Мощность объекта</t>
        </is>
      </c>
      <c r="D15" s="248" t="inlineStr">
        <is>
          <t>Трансформатор - 1 компл</t>
        </is>
      </c>
    </row>
    <row r="16" ht="161.25" customHeight="1">
      <c r="B16" s="24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>Трансформатор напряжения 330 кВ</t>
        </is>
      </c>
    </row>
    <row r="17" ht="95.25" customHeight="1">
      <c r="B17" s="24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>
      <c r="B18" s="121" t="inlineStr">
        <is>
          <t>6.1</t>
        </is>
      </c>
      <c r="C18" s="119" t="inlineStr">
        <is>
          <t>строительно-монтажные работы</t>
        </is>
      </c>
      <c r="D18" s="208" t="n">
        <v>159.807</v>
      </c>
    </row>
    <row r="19" ht="15.75" customHeight="1">
      <c r="B19" s="121" t="inlineStr">
        <is>
          <t>6.2</t>
        </is>
      </c>
      <c r="C19" s="119" t="inlineStr">
        <is>
          <t>оборудование и инвентарь</t>
        </is>
      </c>
      <c r="D19" s="208" t="n">
        <v>1428.455</v>
      </c>
    </row>
    <row r="20" ht="15.75" customHeight="1">
      <c r="B20" s="121" t="inlineStr">
        <is>
          <t>6.3</t>
        </is>
      </c>
      <c r="C20" s="119" t="inlineStr">
        <is>
          <t>пусконаладочные работы</t>
        </is>
      </c>
      <c r="D20" s="208">
        <f>D19*0.8*7%</f>
        <v/>
      </c>
    </row>
    <row r="21" ht="31.5" customHeight="1">
      <c r="B21" s="121" t="inlineStr">
        <is>
          <t>6.4</t>
        </is>
      </c>
      <c r="C21" s="119" t="inlineStr">
        <is>
          <t>прочие и лимитированные затраты</t>
        </is>
      </c>
      <c r="D21" s="208" t="n">
        <v>241.903</v>
      </c>
    </row>
    <row r="22" ht="15.75" customHeight="1">
      <c r="B22" s="248" t="n">
        <v>7</v>
      </c>
      <c r="C22" s="119" t="inlineStr">
        <is>
          <t>Сопоставимый уровень цен</t>
        </is>
      </c>
      <c r="D22" s="121" t="inlineStr">
        <is>
          <t>01.01.2000</t>
        </is>
      </c>
    </row>
    <row r="23" ht="110.25" customHeight="1">
      <c r="B23" s="24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</row>
    <row r="24" ht="61.5" customHeight="1">
      <c r="B24" s="24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8">
        <f>D23/1</f>
        <v/>
      </c>
    </row>
    <row r="25" ht="37.5" customHeight="1">
      <c r="B25" s="122" t="n"/>
      <c r="C25" s="123" t="n"/>
      <c r="D25" s="209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0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4" t="inlineStr">
        <is>
          <t>Приложение № 2</t>
        </is>
      </c>
    </row>
    <row r="4" ht="15.75" customHeight="1">
      <c r="B4" s="24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3" t="inlineStr">
        <is>
          <t>Наименование разрабатываемого показателя УНЦ - ТН (до трех вторичных обмоток) на три фазы с устройством фундамента напряжение 330 кВ</t>
        </is>
      </c>
    </row>
    <row r="7" ht="15.75" customHeight="1">
      <c r="B7" s="233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>
      <c r="B10" s="329" t="n"/>
      <c r="C10" s="32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__ кв. 20__г., тыс. руб.</t>
        </is>
      </c>
      <c r="G10" s="327" t="n"/>
      <c r="H10" s="327" t="n"/>
      <c r="I10" s="327" t="n"/>
      <c r="J10" s="328" t="n"/>
    </row>
    <row r="11" ht="31.5" customHeight="1">
      <c r="B11" s="330" t="n"/>
      <c r="C11" s="330" t="n"/>
      <c r="D11" s="330" t="n"/>
      <c r="E11" s="330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15.75" customHeight="1">
      <c r="B12" s="1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31" t="n"/>
      <c r="D12" s="331" t="n"/>
      <c r="E12" s="331" t="n"/>
      <c r="F12" s="331" t="n"/>
      <c r="G12" s="331" t="n"/>
      <c r="H12" s="331" t="n"/>
      <c r="I12" s="331" t="n"/>
      <c r="J12" s="332" t="n"/>
    </row>
    <row r="13" ht="15.75" customHeight="1">
      <c r="B13" s="333" t="n"/>
      <c r="J13" s="334" t="n"/>
    </row>
    <row r="14" ht="15.75" customHeight="1">
      <c r="B14" s="335" t="n"/>
      <c r="C14" s="336" t="n"/>
      <c r="D14" s="336" t="n"/>
      <c r="E14" s="336" t="n"/>
      <c r="F14" s="336" t="n"/>
      <c r="G14" s="336" t="n"/>
      <c r="H14" s="336" t="n"/>
      <c r="I14" s="336" t="n"/>
      <c r="J14" s="337" t="n"/>
    </row>
    <row r="15" ht="15.75" customHeight="1">
      <c r="B15" s="246" t="inlineStr">
        <is>
          <t>Всего по объекту:</t>
        </is>
      </c>
      <c r="C15" s="327" t="n"/>
      <c r="D15" s="327" t="n"/>
      <c r="E15" s="328" t="n"/>
      <c r="F15" s="125" t="n"/>
      <c r="G15" s="125" t="n"/>
      <c r="H15" s="125" t="n"/>
      <c r="I15" s="125" t="n"/>
      <c r="J15" s="125" t="n"/>
    </row>
    <row r="16" ht="28.5" customHeight="1">
      <c r="B16" s="246" t="inlineStr">
        <is>
          <t>Всего по объекту в сопоставимом уровне цен __кв. 20__г:</t>
        </is>
      </c>
      <c r="C16" s="327" t="n"/>
      <c r="D16" s="327" t="n"/>
      <c r="E16" s="328" t="n"/>
      <c r="F16" s="125" t="n"/>
      <c r="G16" s="125" t="n"/>
      <c r="H16" s="125" t="n"/>
      <c r="I16" s="125" t="n"/>
      <c r="J16" s="125" t="n"/>
    </row>
    <row r="17" ht="18.75" customHeight="1">
      <c r="B17" s="117" t="n"/>
    </row>
    <row r="20">
      <c r="C20" s="4" t="inlineStr">
        <is>
          <t>Составил ______________________    Е. М. Добровольская</t>
        </is>
      </c>
      <c r="D20" s="12" t="n"/>
    </row>
    <row r="21">
      <c r="C21" s="33" t="inlineStr">
        <is>
          <t xml:space="preserve">                         (подпись, инициалы, фамилия)</t>
        </is>
      </c>
      <c r="D21" s="12" t="n"/>
    </row>
    <row r="22">
      <c r="C22" s="4" t="n"/>
      <c r="D22" s="12" t="n"/>
    </row>
    <row r="23">
      <c r="C23" s="4" t="inlineStr">
        <is>
          <t>Проверил ______________________        А.В. Костянецкая</t>
        </is>
      </c>
      <c r="D23" s="12" t="n"/>
    </row>
    <row r="24">
      <c r="C24" s="33" t="inlineStr">
        <is>
          <t xml:space="preserve">                        (подпись, инициалы, фамилия)</t>
        </is>
      </c>
      <c r="D24" s="12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7"/>
  <sheetViews>
    <sheetView view="pageBreakPreview" topLeftCell="A103" zoomScale="85" workbookViewId="0">
      <selection activeCell="E126" sqref="E126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0" min="8" max="8"/>
    <col width="10.140625" customWidth="1" min="9" max="9"/>
    <col hidden="1" min="10" max="10"/>
  </cols>
  <sheetData>
    <row r="2" ht="15.75" customHeight="1">
      <c r="A2" s="234" t="inlineStr">
        <is>
          <t xml:space="preserve">Приложение № 3 </t>
        </is>
      </c>
      <c r="I2" s="122" t="n"/>
    </row>
    <row r="3" ht="18.75" customHeight="1">
      <c r="A3" s="235" t="inlineStr">
        <is>
          <t>Объектная ресурсная ведомость</t>
        </is>
      </c>
    </row>
    <row r="4" ht="25.5" customHeight="1">
      <c r="B4" s="169" t="n"/>
      <c r="C4" s="25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9" t="n"/>
      <c r="D5" s="149" t="n"/>
      <c r="E5" s="149" t="n"/>
      <c r="F5" s="149" t="n"/>
      <c r="G5" s="149" t="n"/>
      <c r="H5" s="150" t="n"/>
    </row>
    <row r="6" ht="15" customHeight="1">
      <c r="A6" s="255" t="inlineStr">
        <is>
          <t>Наименование разрабатываемого показателя УНЦ - ТН (до трех вторичных обмоток) на три фазы с устройством фундамента напряжение 330 кВ</t>
        </is>
      </c>
      <c r="G6" s="151" t="n"/>
      <c r="H6" s="152" t="n"/>
    </row>
    <row r="7" ht="14.25" customHeight="1">
      <c r="G7" s="151" t="n"/>
      <c r="H7" s="152" t="n"/>
    </row>
    <row r="8" ht="15.75" customHeight="1">
      <c r="C8" s="153" t="n"/>
      <c r="D8" s="154" t="n"/>
      <c r="E8" s="155" t="n"/>
      <c r="F8" s="156" t="n"/>
      <c r="G8" s="157" t="n"/>
      <c r="H8" s="158" t="n"/>
    </row>
    <row r="9" ht="38.25" customHeight="1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328" t="n"/>
    </row>
    <row r="10" ht="40.5" customHeight="1">
      <c r="A10" s="330" t="n"/>
      <c r="B10" s="330" t="n"/>
      <c r="C10" s="330" t="n"/>
      <c r="D10" s="330" t="n"/>
      <c r="E10" s="330" t="n"/>
      <c r="F10" s="330" t="n"/>
      <c r="G10" s="248" t="inlineStr">
        <is>
          <t>на ед.изм.</t>
        </is>
      </c>
      <c r="H10" s="248" t="inlineStr">
        <is>
          <t>общая</t>
        </is>
      </c>
    </row>
    <row r="11" ht="15.75" customHeight="1">
      <c r="A11" s="248" t="n">
        <v>1</v>
      </c>
      <c r="B11" s="159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159" t="n">
        <v>6</v>
      </c>
      <c r="H11" s="159" t="n">
        <v>7</v>
      </c>
    </row>
    <row r="12" ht="15" customHeight="1">
      <c r="A12" s="253" t="inlineStr">
        <is>
          <t>Затраты труда рабочих</t>
        </is>
      </c>
      <c r="B12" s="327" t="n"/>
      <c r="C12" s="327" t="n"/>
      <c r="D12" s="328" t="n"/>
      <c r="E12" s="160" t="n"/>
      <c r="F12" s="175">
        <f>SUM(F13:F24)</f>
        <v/>
      </c>
      <c r="G12" s="160" t="n"/>
      <c r="H12" s="176">
        <f>SUM(H13:H24)</f>
        <v/>
      </c>
    </row>
    <row r="13">
      <c r="A13" s="147" t="inlineStr">
        <is>
          <t>1</t>
        </is>
      </c>
      <c r="B13" s="147" t="n"/>
      <c r="C13" s="147" t="inlineStr">
        <is>
          <t>10-30-1</t>
        </is>
      </c>
      <c r="D13" s="263" t="inlineStr">
        <is>
          <t>Инженер I категории</t>
        </is>
      </c>
      <c r="E13" s="264" t="inlineStr">
        <is>
          <t>чел.-ч.</t>
        </is>
      </c>
      <c r="F13" s="179" t="n">
        <v>210.5</v>
      </c>
      <c r="G13" s="278" t="n">
        <v>15.49</v>
      </c>
      <c r="H13" s="32">
        <f>ROUND(F13*G13,2)</f>
        <v/>
      </c>
      <c r="J13" s="163" t="n"/>
      <c r="K13" s="162" t="n"/>
      <c r="L13" s="162" t="n"/>
    </row>
    <row r="14">
      <c r="A14" s="147" t="inlineStr">
        <is>
          <t>2</t>
        </is>
      </c>
      <c r="B14" s="147" t="n"/>
      <c r="C14" s="147" t="inlineStr">
        <is>
          <t>10-30-2</t>
        </is>
      </c>
      <c r="D14" s="263" t="inlineStr">
        <is>
          <t>Инженер II категории</t>
        </is>
      </c>
      <c r="E14" s="264" t="inlineStr">
        <is>
          <t>чел.-ч.</t>
        </is>
      </c>
      <c r="F14" s="179" t="n">
        <v>210.5</v>
      </c>
      <c r="G14" s="278" t="n">
        <v>14.09</v>
      </c>
      <c r="H14" s="32">
        <f>ROUND(F14*G14,2)</f>
        <v/>
      </c>
      <c r="J14" s="163" t="n"/>
      <c r="K14" s="162" t="n"/>
      <c r="L14" s="162" t="n"/>
    </row>
    <row r="15">
      <c r="A15" s="147" t="inlineStr">
        <is>
          <t>3</t>
        </is>
      </c>
      <c r="B15" s="147" t="n"/>
      <c r="C15" s="147" t="inlineStr">
        <is>
          <t>1-4-0</t>
        </is>
      </c>
      <c r="D15" s="263" t="inlineStr">
        <is>
          <t>Затраты труда рабочих (средний разряд работы 4,0)</t>
        </is>
      </c>
      <c r="E15" s="264" t="inlineStr">
        <is>
          <t>чел.час</t>
        </is>
      </c>
      <c r="F15" s="179" t="n">
        <v>570.9278</v>
      </c>
      <c r="G15" s="278" t="n">
        <v>9.619999999999999</v>
      </c>
      <c r="H15" s="32">
        <f>ROUND(F15*G15,2)</f>
        <v/>
      </c>
      <c r="J15" s="163" t="n"/>
      <c r="K15" s="162" t="n"/>
      <c r="L15" s="162" t="n"/>
    </row>
    <row r="16">
      <c r="A16" s="147" t="inlineStr">
        <is>
          <t>4</t>
        </is>
      </c>
      <c r="B16" s="147" t="n"/>
      <c r="C16" s="147" t="inlineStr">
        <is>
          <t>1-3-5</t>
        </is>
      </c>
      <c r="D16" s="263" t="inlineStr">
        <is>
          <t>Затраты труда рабочих (средний разряд работы 3,5)</t>
        </is>
      </c>
      <c r="E16" s="264" t="inlineStr">
        <is>
          <t>чел.час</t>
        </is>
      </c>
      <c r="F16" s="179" t="n">
        <v>311.06378</v>
      </c>
      <c r="G16" s="278" t="n">
        <v>9.07</v>
      </c>
      <c r="H16" s="32">
        <f>ROUND(F16*G16,2)</f>
        <v/>
      </c>
      <c r="J16" s="163" t="n"/>
      <c r="K16" s="162" t="n"/>
      <c r="L16" s="162" t="n"/>
    </row>
    <row r="17">
      <c r="A17" s="147" t="inlineStr">
        <is>
          <t>5</t>
        </is>
      </c>
      <c r="B17" s="147" t="n"/>
      <c r="C17" s="147" t="inlineStr">
        <is>
          <t>1-2-9</t>
        </is>
      </c>
      <c r="D17" s="263" t="inlineStr">
        <is>
          <t>Затраты труда рабочих (средний разряд работы 2,9)</t>
        </is>
      </c>
      <c r="E17" s="264" t="inlineStr">
        <is>
          <t>чел.час</t>
        </is>
      </c>
      <c r="F17" s="179" t="n">
        <v>69.9931</v>
      </c>
      <c r="G17" s="278" t="n">
        <v>8.460000000000001</v>
      </c>
      <c r="H17" s="32">
        <f>ROUND(F17*G17,2)</f>
        <v/>
      </c>
      <c r="J17" s="163" t="n"/>
      <c r="K17" s="162" t="n"/>
      <c r="L17" s="162" t="n"/>
    </row>
    <row r="18">
      <c r="A18" s="147" t="inlineStr">
        <is>
          <t>6</t>
        </is>
      </c>
      <c r="B18" s="147" t="n"/>
      <c r="C18" s="147" t="inlineStr">
        <is>
          <t>1-1-5</t>
        </is>
      </c>
      <c r="D18" s="263" t="inlineStr">
        <is>
          <t>Затраты труда рабочих (средний разряд работы 1,5)</t>
        </is>
      </c>
      <c r="E18" s="264" t="inlineStr">
        <is>
          <t>чел.час</t>
        </is>
      </c>
      <c r="F18" s="179" t="n">
        <v>63.3371</v>
      </c>
      <c r="G18" s="278" t="n">
        <v>7.5</v>
      </c>
      <c r="H18" s="32">
        <f>ROUND(F18*G18,2)</f>
        <v/>
      </c>
      <c r="J18" s="163" t="n"/>
      <c r="K18" s="162" t="n"/>
      <c r="L18" s="162" t="n"/>
    </row>
    <row r="19">
      <c r="A19" s="147" t="inlineStr">
        <is>
          <t>7</t>
        </is>
      </c>
      <c r="B19" s="147" t="n"/>
      <c r="C19" s="147" t="inlineStr">
        <is>
          <t>1-2-8</t>
        </is>
      </c>
      <c r="D19" s="263" t="inlineStr">
        <is>
          <t>Затраты труда рабочих (средний разряд работы 2,8)</t>
        </is>
      </c>
      <c r="E19" s="264" t="inlineStr">
        <is>
          <t>чел.час</t>
        </is>
      </c>
      <c r="F19" s="179" t="n">
        <v>31.1415</v>
      </c>
      <c r="G19" s="278" t="n">
        <v>8.380000000000001</v>
      </c>
      <c r="H19" s="32">
        <f>ROUND(F19*G19,2)</f>
        <v/>
      </c>
      <c r="J19" s="163" t="n"/>
      <c r="K19" s="162" t="n"/>
      <c r="L19" s="162" t="n"/>
    </row>
    <row r="20">
      <c r="A20" s="147" t="inlineStr">
        <is>
          <t>8</t>
        </is>
      </c>
      <c r="B20" s="147" t="n"/>
      <c r="C20" s="147" t="inlineStr">
        <is>
          <t>1-3-9</t>
        </is>
      </c>
      <c r="D20" s="263" t="inlineStr">
        <is>
          <t>Затраты труда рабочих (средний разряд работы 3,9)</t>
        </is>
      </c>
      <c r="E20" s="264" t="inlineStr">
        <is>
          <t>чел.час</t>
        </is>
      </c>
      <c r="F20" s="179" t="n">
        <v>16.7855</v>
      </c>
      <c r="G20" s="278" t="n">
        <v>9.51</v>
      </c>
      <c r="H20" s="32">
        <f>ROUND(F20*G20,2)</f>
        <v/>
      </c>
      <c r="J20" s="163" t="n"/>
      <c r="K20" s="162" t="n"/>
      <c r="L20" s="162" t="n"/>
    </row>
    <row r="21">
      <c r="A21" s="147" t="inlineStr">
        <is>
          <t>9</t>
        </is>
      </c>
      <c r="B21" s="147" t="n"/>
      <c r="C21" s="147" t="inlineStr">
        <is>
          <t>1-3-8</t>
        </is>
      </c>
      <c r="D21" s="263" t="inlineStr">
        <is>
          <t>Затраты труда рабочих (средний разряд работы 3,8)</t>
        </is>
      </c>
      <c r="E21" s="264" t="inlineStr">
        <is>
          <t>чел.час</t>
        </is>
      </c>
      <c r="F21" s="179" t="n">
        <v>8.222099999999999</v>
      </c>
      <c r="G21" s="278" t="n">
        <v>9.4</v>
      </c>
      <c r="H21" s="32">
        <f>ROUND(F21*G21,2)</f>
        <v/>
      </c>
      <c r="J21" s="163" t="n"/>
      <c r="K21" s="162" t="n"/>
      <c r="L21" s="162" t="n"/>
    </row>
    <row r="22">
      <c r="A22" s="147" t="inlineStr">
        <is>
          <t>10</t>
        </is>
      </c>
      <c r="B22" s="147" t="n"/>
      <c r="C22" s="147" t="inlineStr">
        <is>
          <t>1-3-4</t>
        </is>
      </c>
      <c r="D22" s="263" t="inlineStr">
        <is>
          <t>Затраты труда рабочих (средний разряд работы 3,4)</t>
        </is>
      </c>
      <c r="E22" s="264" t="inlineStr">
        <is>
          <t>чел.час</t>
        </is>
      </c>
      <c r="F22" s="179" t="n">
        <v>5.12</v>
      </c>
      <c r="G22" s="278" t="n">
        <v>8.970000000000001</v>
      </c>
      <c r="H22" s="32">
        <f>ROUND(F22*G22,2)</f>
        <v/>
      </c>
      <c r="J22" s="163" t="n"/>
      <c r="K22" s="162" t="n"/>
      <c r="L22" s="162" t="n"/>
    </row>
    <row r="23">
      <c r="A23" s="147" t="inlineStr">
        <is>
          <t>11</t>
        </is>
      </c>
      <c r="B23" s="147" t="n"/>
      <c r="C23" s="147" t="inlineStr">
        <is>
          <t>1-2-0</t>
        </is>
      </c>
      <c r="D23" s="263" t="inlineStr">
        <is>
          <t>Затраты труда рабочих (средний разряд работы 2,0)</t>
        </is>
      </c>
      <c r="E23" s="264" t="inlineStr">
        <is>
          <t>чел.час</t>
        </is>
      </c>
      <c r="F23" s="179" t="n">
        <v>1.7368</v>
      </c>
      <c r="G23" s="278" t="n">
        <v>7.8</v>
      </c>
      <c r="H23" s="32">
        <f>ROUND(F23*G23,2)</f>
        <v/>
      </c>
      <c r="J23" s="163" t="n"/>
      <c r="K23" s="162" t="n"/>
      <c r="L23" s="162" t="n"/>
    </row>
    <row r="24">
      <c r="A24" s="147" t="inlineStr">
        <is>
          <t>12</t>
        </is>
      </c>
      <c r="B24" s="147" t="n"/>
      <c r="C24" s="147" t="inlineStr">
        <is>
          <t>1-3-2</t>
        </is>
      </c>
      <c r="D24" s="263" t="inlineStr">
        <is>
          <t>Затраты труда рабочих (средний разряд работы 3,2)</t>
        </is>
      </c>
      <c r="E24" s="264" t="inlineStr">
        <is>
          <t>чел.час</t>
        </is>
      </c>
      <c r="F24" s="179" t="n">
        <v>1.2649</v>
      </c>
      <c r="G24" s="278" t="n">
        <v>8.74</v>
      </c>
      <c r="H24" s="32">
        <f>ROUND(F24*G24,2)</f>
        <v/>
      </c>
      <c r="J24" s="163">
        <f>(4*F15+3.5*F16+2.9*F17+1.5*F18+2.8*F19+3.9*F20+3.8*F21+3.4*F22+2*F23+3.2*F24)/SUM(F15:F24)</f>
        <v/>
      </c>
      <c r="K24" s="162" t="n"/>
      <c r="L24" s="162" t="n"/>
    </row>
    <row r="25">
      <c r="A25" s="338" t="inlineStr">
        <is>
          <t>Затраты труда машинистов</t>
        </is>
      </c>
      <c r="B25" s="336" t="n"/>
      <c r="C25" s="336" t="n"/>
      <c r="D25" s="337" t="n"/>
      <c r="E25" s="279" t="n"/>
      <c r="F25" s="165" t="n"/>
      <c r="G25" s="161" t="n"/>
      <c r="H25" s="177">
        <f>H26</f>
        <v/>
      </c>
      <c r="L25" s="162" t="n"/>
    </row>
    <row r="26">
      <c r="A26" s="147" t="inlineStr">
        <is>
          <t>13</t>
        </is>
      </c>
      <c r="B26" s="174" t="n"/>
      <c r="C26" s="147" t="n">
        <v>2</v>
      </c>
      <c r="D26" s="263" t="inlineStr">
        <is>
          <t>Затраты труда машинистов</t>
        </is>
      </c>
      <c r="E26" s="264" t="inlineStr">
        <is>
          <t>чел.час</t>
        </is>
      </c>
      <c r="F26" s="264" t="n">
        <v>145.3908</v>
      </c>
      <c r="G26" s="278" t="n"/>
      <c r="H26" s="278" t="n">
        <v>1746.89</v>
      </c>
    </row>
    <row r="27" ht="15" customHeight="1">
      <c r="A27" s="253" t="inlineStr">
        <is>
          <t>Машины и механизмы</t>
        </is>
      </c>
      <c r="B27" s="327" t="n"/>
      <c r="C27" s="327" t="n"/>
      <c r="D27" s="328" t="n"/>
      <c r="E27" s="160" t="n"/>
      <c r="F27" s="160" t="n"/>
      <c r="G27" s="160" t="n"/>
      <c r="H27" s="178">
        <f>SUM(H28:H54)</f>
        <v/>
      </c>
      <c r="K27" s="162" t="n"/>
    </row>
    <row r="28" ht="25.5" customHeight="1">
      <c r="A28" s="264">
        <f>A26+1</f>
        <v/>
      </c>
      <c r="B28" s="147" t="n"/>
      <c r="C28" s="147" t="inlineStr">
        <is>
          <t>91.11.01-012</t>
        </is>
      </c>
      <c r="D28" s="263" t="inlineStr">
        <is>
          <t>Машины монтажные для выполнения работ при прокладке и монтаже кабеля на базе автомобиля</t>
        </is>
      </c>
      <c r="E28" s="264" t="inlineStr">
        <is>
          <t>маш.час</t>
        </is>
      </c>
      <c r="F28" s="264" t="n">
        <v>48</v>
      </c>
      <c r="G28" s="266" t="n">
        <v>110.86</v>
      </c>
      <c r="H28" s="32">
        <f>ROUND(F28*G28,2)</f>
        <v/>
      </c>
      <c r="I28" s="166" t="n"/>
    </row>
    <row r="29" ht="25.5" customHeight="1">
      <c r="A29" s="264">
        <f>A28+1</f>
        <v/>
      </c>
      <c r="B29" s="147" t="n"/>
      <c r="C29" s="147" t="inlineStr">
        <is>
          <t>91.05.05-014</t>
        </is>
      </c>
      <c r="D29" s="263" t="inlineStr">
        <is>
          <t>Краны на автомобильном ходу, грузоподъемность 10 т</t>
        </is>
      </c>
      <c r="E29" s="264" t="inlineStr">
        <is>
          <t>маш.час</t>
        </is>
      </c>
      <c r="F29" s="264" t="n">
        <v>39.74</v>
      </c>
      <c r="G29" s="266" t="n">
        <v>111.99</v>
      </c>
      <c r="H29" s="32">
        <f>ROUND(F29*G29,2)</f>
        <v/>
      </c>
      <c r="I29" s="166" t="n"/>
    </row>
    <row r="30" ht="38.25" customHeight="1">
      <c r="A30" s="264">
        <f>A28+1</f>
        <v/>
      </c>
      <c r="B30" s="147" t="n"/>
      <c r="C30" s="147" t="inlineStr">
        <is>
          <t>91.18.01-012</t>
        </is>
      </c>
      <c r="D30" s="263" t="inlineStr">
        <is>
          <t>Компрессоры передвижные с электродвигателем давлением 600 кПа (6 ат), производительность: до 3,5 м3/мин</t>
        </is>
      </c>
      <c r="E30" s="264" t="inlineStr">
        <is>
          <t>маш.час</t>
        </is>
      </c>
      <c r="F30" s="264" t="n">
        <v>98.19</v>
      </c>
      <c r="G30" s="266" t="n">
        <v>32.5</v>
      </c>
      <c r="H30" s="32">
        <f>ROUND(F30*G30,2)</f>
        <v/>
      </c>
      <c r="I30" s="166" t="n"/>
    </row>
    <row r="31">
      <c r="A31" s="264">
        <f>A30+1</f>
        <v/>
      </c>
      <c r="B31" s="147" t="n"/>
      <c r="C31" s="147" t="inlineStr">
        <is>
          <t>91.10.01-002</t>
        </is>
      </c>
      <c r="D31" s="263" t="inlineStr">
        <is>
          <t>Агрегаты наполнительно-опрессовочные: до 300 м3/ч</t>
        </is>
      </c>
      <c r="E31" s="264" t="inlineStr">
        <is>
          <t>маш.час</t>
        </is>
      </c>
      <c r="F31" s="264" t="n">
        <v>8.25</v>
      </c>
      <c r="G31" s="266" t="n">
        <v>287.99</v>
      </c>
      <c r="H31" s="32">
        <f>ROUND(F31*G31,2)</f>
        <v/>
      </c>
      <c r="I31" s="166" t="n"/>
    </row>
    <row r="32" ht="25.5" customHeight="1">
      <c r="A32" s="264">
        <f>A30+1</f>
        <v/>
      </c>
      <c r="B32" s="147" t="n"/>
      <c r="C32" s="147" t="inlineStr">
        <is>
          <t>91.06.03-058</t>
        </is>
      </c>
      <c r="D32" s="263" t="inlineStr">
        <is>
          <t>Лебедки электрические тяговым усилием: 156,96 кН (16 т)</t>
        </is>
      </c>
      <c r="E32" s="264" t="inlineStr">
        <is>
          <t>маш.час</t>
        </is>
      </c>
      <c r="F32" s="148" t="n">
        <v>8.25</v>
      </c>
      <c r="G32" s="266" t="n">
        <v>131.44</v>
      </c>
      <c r="H32" s="32">
        <f>ROUND(F32*G32,2)</f>
        <v/>
      </c>
      <c r="I32" s="166" t="n"/>
    </row>
    <row r="33">
      <c r="A33" s="264">
        <f>A32+1</f>
        <v/>
      </c>
      <c r="B33" s="147" t="n"/>
      <c r="C33" s="147" t="inlineStr">
        <is>
          <t>91.14.02-001</t>
        </is>
      </c>
      <c r="D33" s="263" t="inlineStr">
        <is>
          <t>Автомобили бортовые, грузоподъемность: до 5 т</t>
        </is>
      </c>
      <c r="E33" s="264" t="inlineStr">
        <is>
          <t>маш.час</t>
        </is>
      </c>
      <c r="F33" s="148" t="n">
        <v>14.24</v>
      </c>
      <c r="G33" s="266" t="n">
        <v>65.70999999999999</v>
      </c>
      <c r="H33" s="32">
        <f>ROUND(F33*G33,2)</f>
        <v/>
      </c>
      <c r="I33" s="166" t="n"/>
    </row>
    <row r="34" ht="38.25" customHeight="1">
      <c r="A34" s="264">
        <f>A32+1</f>
        <v/>
      </c>
      <c r="B34" s="147" t="n"/>
      <c r="C34" s="147" t="inlineStr">
        <is>
          <t>ФССЦпг-03-21-01-010</t>
        </is>
      </c>
      <c r="D34" s="263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4" s="264" t="inlineStr">
        <is>
          <t>1 т груза</t>
        </is>
      </c>
      <c r="F34" s="148" t="n">
        <v>48.816</v>
      </c>
      <c r="G34" s="266" t="n">
        <v>11.42</v>
      </c>
      <c r="H34" s="32">
        <f>ROUND(F34*G34,2)</f>
        <v/>
      </c>
      <c r="I34" s="166" t="n"/>
    </row>
    <row r="35" ht="25.5" customHeight="1">
      <c r="A35" s="264">
        <f>A34+1</f>
        <v/>
      </c>
      <c r="B35" s="147" t="n"/>
      <c r="C35" s="147" t="inlineStr">
        <is>
          <t>91.17.04-233</t>
        </is>
      </c>
      <c r="D35" s="263" t="inlineStr">
        <is>
          <t>Установки для сварки: ручной дуговой (постоянного тока)</t>
        </is>
      </c>
      <c r="E35" s="264" t="inlineStr">
        <is>
          <t>маш.час</t>
        </is>
      </c>
      <c r="F35" s="148" t="n">
        <v>68.23</v>
      </c>
      <c r="G35" s="266" t="n">
        <v>8.1</v>
      </c>
      <c r="H35" s="32">
        <f>ROUND(F35*G35,2)</f>
        <v/>
      </c>
      <c r="I35" s="166" t="n"/>
    </row>
    <row r="36">
      <c r="A36" s="264">
        <f>A34+1</f>
        <v/>
      </c>
      <c r="B36" s="147" t="n"/>
      <c r="C36" s="147" t="inlineStr">
        <is>
          <t>91.06.06-042</t>
        </is>
      </c>
      <c r="D36" s="263" t="inlineStr">
        <is>
          <t>Подъемники гидравлические высотой подъема: 10 м</t>
        </is>
      </c>
      <c r="E36" s="264" t="inlineStr">
        <is>
          <t>маш.час</t>
        </is>
      </c>
      <c r="F36" s="148" t="n">
        <v>15.88</v>
      </c>
      <c r="G36" s="266" t="n">
        <v>29.6</v>
      </c>
      <c r="H36" s="32">
        <f>ROUND(F36*G36,2)</f>
        <v/>
      </c>
      <c r="I36" s="166" t="n"/>
    </row>
    <row r="37">
      <c r="A37" s="264">
        <f>A36+1</f>
        <v/>
      </c>
      <c r="B37" s="147" t="n"/>
      <c r="C37" s="147" t="inlineStr">
        <is>
          <t>91.05.06-012</t>
        </is>
      </c>
      <c r="D37" s="263" t="inlineStr">
        <is>
          <t>Краны на гусеничном ходу, грузоподъемность до 16 т</t>
        </is>
      </c>
      <c r="E37" s="264" t="inlineStr">
        <is>
          <t>маш.час</t>
        </is>
      </c>
      <c r="F37" s="148" t="n">
        <v>3.53</v>
      </c>
      <c r="G37" s="266" t="n">
        <v>96.89</v>
      </c>
      <c r="H37" s="32">
        <f>ROUND(F37*G37,2)</f>
        <v/>
      </c>
      <c r="I37" s="166" t="n"/>
    </row>
    <row r="38" ht="25.5" customHeight="1">
      <c r="A38" s="264">
        <f>A36+1</f>
        <v/>
      </c>
      <c r="B38" s="147" t="n"/>
      <c r="C38" s="147" t="inlineStr">
        <is>
          <t>91.21.10-003</t>
        </is>
      </c>
      <c r="D38" s="263" t="inlineStr">
        <is>
          <t>Молотки при работе от передвижных компрессорных станций: отбойные пневматические</t>
        </is>
      </c>
      <c r="E38" s="264" t="inlineStr">
        <is>
          <t>маш.час</t>
        </is>
      </c>
      <c r="F38" s="148" t="n">
        <v>196.39</v>
      </c>
      <c r="G38" s="266" t="n">
        <v>1.53</v>
      </c>
      <c r="H38" s="32">
        <f>ROUND(F38*G38,2)</f>
        <v/>
      </c>
      <c r="I38" s="166" t="n"/>
    </row>
    <row r="39" ht="25.5" customHeight="1">
      <c r="A39" s="264">
        <f>A38+1</f>
        <v/>
      </c>
      <c r="B39" s="147" t="n"/>
      <c r="C39" s="147" t="inlineStr">
        <is>
          <t>91.01.05-106</t>
        </is>
      </c>
      <c r="D39" s="263" t="inlineStr">
        <is>
          <t>Экскаваторы одноковшовые дизельные на пневмоколесном ходу, емкость ковша 0,25 м3</t>
        </is>
      </c>
      <c r="E39" s="264" t="inlineStr">
        <is>
          <t>маш.час</t>
        </is>
      </c>
      <c r="F39" s="148" t="n">
        <v>2.96</v>
      </c>
      <c r="G39" s="266" t="n">
        <v>70.01000000000001</v>
      </c>
      <c r="H39" s="32">
        <f>ROUND(F39*G39,2)</f>
        <v/>
      </c>
      <c r="I39" s="166" t="n"/>
    </row>
    <row r="40" ht="25.5" customHeight="1">
      <c r="A40" s="264">
        <f>A38+1</f>
        <v/>
      </c>
      <c r="B40" s="147" t="n"/>
      <c r="C40" s="147" t="inlineStr">
        <is>
          <t>91.01.05-087</t>
        </is>
      </c>
      <c r="D40" s="263" t="inlineStr">
        <is>
          <t>Экскаваторы одноковшовые дизельные на гусеничном ходу, емкость ковша 1 м3</t>
        </is>
      </c>
      <c r="E40" s="264" t="inlineStr">
        <is>
          <t>маш.час</t>
        </is>
      </c>
      <c r="F40" s="148" t="n">
        <v>0.67</v>
      </c>
      <c r="G40" s="266" t="n">
        <v>122.9</v>
      </c>
      <c r="H40" s="32">
        <f>ROUND(F40*G40,2)</f>
        <v/>
      </c>
      <c r="I40" s="166" t="n"/>
    </row>
    <row r="41">
      <c r="A41" s="264">
        <f>A40+1</f>
        <v/>
      </c>
      <c r="B41" s="147" t="n"/>
      <c r="C41" s="147" t="inlineStr">
        <is>
          <t>91.17.04-042</t>
        </is>
      </c>
      <c r="D41" s="263" t="inlineStr">
        <is>
          <t>Аппарат для газовой сварки и резки</t>
        </is>
      </c>
      <c r="E41" s="264" t="inlineStr">
        <is>
          <t>маш.час</t>
        </is>
      </c>
      <c r="F41" s="148" t="n">
        <v>42.57</v>
      </c>
      <c r="G41" s="266" t="n">
        <v>1.2</v>
      </c>
      <c r="H41" s="32">
        <f>ROUND(F41*G41,2)</f>
        <v/>
      </c>
      <c r="I41" s="166" t="n"/>
    </row>
    <row r="42">
      <c r="A42" s="264">
        <f>A40+1</f>
        <v/>
      </c>
      <c r="B42" s="147" t="n"/>
      <c r="C42" s="147" t="inlineStr">
        <is>
          <t>91.08.04-021</t>
        </is>
      </c>
      <c r="D42" s="263" t="inlineStr">
        <is>
          <t>Котлы битумные: передвижные 400 л</t>
        </is>
      </c>
      <c r="E42" s="264" t="inlineStr">
        <is>
          <t>маш.час</t>
        </is>
      </c>
      <c r="F42" s="148" t="n">
        <v>1.54</v>
      </c>
      <c r="G42" s="266" t="n">
        <v>30</v>
      </c>
      <c r="H42" s="32">
        <f>ROUND(F42*G42,2)</f>
        <v/>
      </c>
      <c r="I42" s="166" t="n"/>
    </row>
    <row r="43">
      <c r="A43" s="264">
        <f>A42+1</f>
        <v/>
      </c>
      <c r="B43" s="147" t="n"/>
      <c r="C43" s="147" t="inlineStr">
        <is>
          <t>91.01.01-034</t>
        </is>
      </c>
      <c r="D43" s="263" t="inlineStr">
        <is>
          <t>Бульдозеры, мощность 59 кВт (80 л.с.)</t>
        </is>
      </c>
      <c r="E43" s="264" t="inlineStr">
        <is>
          <t>маш.час</t>
        </is>
      </c>
      <c r="F43" s="148" t="n">
        <v>0.6899999999999999</v>
      </c>
      <c r="G43" s="266" t="n">
        <v>59.47</v>
      </c>
      <c r="H43" s="32">
        <f>ROUND(F43*G43,2)</f>
        <v/>
      </c>
      <c r="I43" s="166" t="n"/>
    </row>
    <row r="44">
      <c r="A44" s="264">
        <f>A42+1</f>
        <v/>
      </c>
      <c r="B44" s="147" t="n"/>
      <c r="C44" s="147" t="inlineStr">
        <is>
          <t>91.06.01-003</t>
        </is>
      </c>
      <c r="D44" s="263" t="inlineStr">
        <is>
          <t>Домкраты гидравлические, грузоподъемность 63-100 т</t>
        </is>
      </c>
      <c r="E44" s="264" t="inlineStr">
        <is>
          <t>маш.час</t>
        </is>
      </c>
      <c r="F44" s="148" t="n">
        <v>16.5</v>
      </c>
      <c r="G44" s="266" t="n">
        <v>0.9</v>
      </c>
      <c r="H44" s="32">
        <f>ROUND(F44*G44,2)</f>
        <v/>
      </c>
      <c r="I44" s="166" t="n"/>
    </row>
    <row r="45">
      <c r="A45" s="264">
        <f>A44+1</f>
        <v/>
      </c>
      <c r="B45" s="147" t="n"/>
      <c r="C45" s="147" t="inlineStr">
        <is>
          <t>91.01.01-035</t>
        </is>
      </c>
      <c r="D45" s="263" t="inlineStr">
        <is>
          <t>Бульдозеры, мощность 79 кВт (108 л.с.)</t>
        </is>
      </c>
      <c r="E45" s="264" t="inlineStr">
        <is>
          <t>маш.час</t>
        </is>
      </c>
      <c r="F45" s="148" t="n">
        <v>0.16</v>
      </c>
      <c r="G45" s="266" t="n">
        <v>79.06999999999999</v>
      </c>
      <c r="H45" s="32">
        <f>ROUND(F45*G45,2)</f>
        <v/>
      </c>
      <c r="I45" s="166" t="n"/>
    </row>
    <row r="46">
      <c r="A46" s="264">
        <f>A44+1</f>
        <v/>
      </c>
      <c r="B46" s="147" t="n"/>
      <c r="C46" s="147" t="inlineStr">
        <is>
          <t>91.07.04-001</t>
        </is>
      </c>
      <c r="D46" s="263" t="inlineStr">
        <is>
          <t>Вибратор глубинный</t>
        </is>
      </c>
      <c r="E46" s="264" t="inlineStr">
        <is>
          <t>маш.час</t>
        </is>
      </c>
      <c r="F46" s="148" t="n">
        <v>2.93</v>
      </c>
      <c r="G46" s="266" t="n">
        <v>1.9</v>
      </c>
      <c r="H46" s="32">
        <f>ROUND(F46*G46,2)</f>
        <v/>
      </c>
      <c r="I46" s="166" t="n"/>
    </row>
    <row r="47">
      <c r="A47" s="264">
        <f>A46+1</f>
        <v/>
      </c>
      <c r="B47" s="147" t="n"/>
      <c r="C47" s="147" t="inlineStr">
        <is>
          <t>91.05.06-007</t>
        </is>
      </c>
      <c r="D47" s="263" t="inlineStr">
        <is>
          <t>Краны на гусеничном ходу, грузоподъемность 25 т</t>
        </is>
      </c>
      <c r="E47" s="264" t="inlineStr">
        <is>
          <t>маш.час</t>
        </is>
      </c>
      <c r="F47" s="148" t="n">
        <v>0.03</v>
      </c>
      <c r="G47" s="266" t="n">
        <v>120.04</v>
      </c>
      <c r="H47" s="32">
        <f>ROUND(F47*G47,2)</f>
        <v/>
      </c>
      <c r="I47" s="166" t="n"/>
    </row>
    <row r="48">
      <c r="A48" s="264">
        <f>A46+1</f>
        <v/>
      </c>
      <c r="B48" s="147" t="n"/>
      <c r="C48" s="147" t="inlineStr">
        <is>
          <t>91.06.05-011</t>
        </is>
      </c>
      <c r="D48" s="263" t="inlineStr">
        <is>
          <t>Погрузчик, грузоподъемность 5 т</t>
        </is>
      </c>
      <c r="E48" s="264" t="inlineStr">
        <is>
          <t>маш.час</t>
        </is>
      </c>
      <c r="F48" s="148" t="n">
        <v>0.04</v>
      </c>
      <c r="G48" s="266" t="n">
        <v>89.98999999999999</v>
      </c>
      <c r="H48" s="32">
        <f>ROUND(F48*G48,2)</f>
        <v/>
      </c>
      <c r="I48" s="166" t="n"/>
    </row>
    <row r="49">
      <c r="A49" s="264">
        <f>A48+1</f>
        <v/>
      </c>
      <c r="B49" s="147" t="n"/>
      <c r="C49" s="147" t="inlineStr">
        <is>
          <t>91.21.12-002</t>
        </is>
      </c>
      <c r="D49" s="263" t="inlineStr">
        <is>
          <t>Ножницы листовые кривошипные гильотинные</t>
        </is>
      </c>
      <c r="E49" s="264" t="inlineStr">
        <is>
          <t>маш.час</t>
        </is>
      </c>
      <c r="F49" s="148" t="n">
        <v>0.05</v>
      </c>
      <c r="G49" s="266" t="n">
        <v>70</v>
      </c>
      <c r="H49" s="32">
        <f>ROUND(F49*G49,2)</f>
        <v/>
      </c>
      <c r="I49" s="166" t="n"/>
    </row>
    <row r="50">
      <c r="A50" s="264">
        <f>A48+1</f>
        <v/>
      </c>
      <c r="B50" s="147" t="n"/>
      <c r="C50" s="147" t="inlineStr">
        <is>
          <t>91.21.16-014</t>
        </is>
      </c>
      <c r="D50" s="263" t="inlineStr">
        <is>
          <t>Пресс: листогибочный кривошипный 1000 кН (100 тс)</t>
        </is>
      </c>
      <c r="E50" s="264" t="inlineStr">
        <is>
          <t>маш.час</t>
        </is>
      </c>
      <c r="F50" s="148" t="n">
        <v>0.05</v>
      </c>
      <c r="G50" s="266" t="n">
        <v>56.24</v>
      </c>
      <c r="H50" s="32">
        <f>ROUND(F50*G50,2)</f>
        <v/>
      </c>
      <c r="I50" s="166" t="n"/>
    </row>
    <row r="51">
      <c r="A51" s="264">
        <f>A50+1</f>
        <v/>
      </c>
      <c r="B51" s="147" t="n"/>
      <c r="C51" s="147" t="inlineStr">
        <is>
          <t>91.21.16-013</t>
        </is>
      </c>
      <c r="D51" s="263" t="inlineStr">
        <is>
          <t>Пресс: кривошипный простого действия 25 кН (2,5 тс)</t>
        </is>
      </c>
      <c r="E51" s="264" t="inlineStr">
        <is>
          <t>маш.час</t>
        </is>
      </c>
      <c r="F51" s="148" t="n">
        <v>0.05</v>
      </c>
      <c r="G51" s="266" t="n">
        <v>16.92</v>
      </c>
      <c r="H51" s="32">
        <f>ROUND(F51*G51,2)</f>
        <v/>
      </c>
      <c r="I51" s="166" t="n"/>
    </row>
    <row r="52">
      <c r="A52" s="264">
        <f>A50+1</f>
        <v/>
      </c>
      <c r="B52" s="147" t="n"/>
      <c r="C52" s="147" t="inlineStr">
        <is>
          <t>91.07.04-002</t>
        </is>
      </c>
      <c r="D52" s="263" t="inlineStr">
        <is>
          <t>Вибратор поверхностный</t>
        </is>
      </c>
      <c r="E52" s="264" t="inlineStr">
        <is>
          <t>маш.час</t>
        </is>
      </c>
      <c r="F52" s="148" t="n">
        <v>1.13</v>
      </c>
      <c r="G52" s="266" t="n">
        <v>0.5</v>
      </c>
      <c r="H52" s="32">
        <f>ROUND(F52*G52,2)</f>
        <v/>
      </c>
      <c r="I52" s="166" t="n"/>
    </row>
    <row r="53" ht="25.5" customHeight="1">
      <c r="A53" s="264">
        <f>A52+1</f>
        <v/>
      </c>
      <c r="B53" s="147" t="n"/>
      <c r="C53" s="147" t="inlineStr">
        <is>
          <t>91.21.01-012</t>
        </is>
      </c>
      <c r="D53" s="263" t="inlineStr">
        <is>
          <t>Агрегаты окрасочные высокого давления для окраски поверхностей конструкций, мощность 1 кВт</t>
        </is>
      </c>
      <c r="E53" s="264" t="inlineStr">
        <is>
          <t>маш.час</t>
        </is>
      </c>
      <c r="F53" s="148" t="n">
        <v>0.06</v>
      </c>
      <c r="G53" s="266" t="n">
        <v>6.82</v>
      </c>
      <c r="H53" s="32">
        <f>ROUND(F53*G53,2)</f>
        <v/>
      </c>
      <c r="I53" s="166" t="n"/>
    </row>
    <row r="54">
      <c r="A54" s="264">
        <f>A52+1</f>
        <v/>
      </c>
      <c r="B54" s="147" t="n"/>
      <c r="C54" s="147" t="inlineStr">
        <is>
          <t>91.21.19-031</t>
        </is>
      </c>
      <c r="D54" s="263" t="inlineStr">
        <is>
          <t>Станок: сверлильный</t>
        </is>
      </c>
      <c r="E54" s="264" t="inlineStr">
        <is>
          <t>маш.час</t>
        </is>
      </c>
      <c r="F54" s="148" t="n">
        <v>0.05</v>
      </c>
      <c r="G54" s="266" t="n">
        <v>2.36</v>
      </c>
      <c r="H54" s="32">
        <f>ROUND(F54*G54,2)</f>
        <v/>
      </c>
      <c r="I54" s="166" t="n"/>
    </row>
    <row r="55" ht="15" customHeight="1">
      <c r="A55" s="254" t="inlineStr">
        <is>
          <t>Оборудование</t>
        </is>
      </c>
      <c r="B55" s="327" t="n"/>
      <c r="C55" s="327" t="n"/>
      <c r="D55" s="328" t="n"/>
      <c r="E55" s="167" t="n"/>
      <c r="F55" s="168" t="n"/>
      <c r="G55" s="161" t="n"/>
      <c r="H55" s="181">
        <f>SUM(H56:H58)</f>
        <v/>
      </c>
      <c r="I55" s="166" t="n"/>
    </row>
    <row r="56">
      <c r="A56" s="264" t="n">
        <v>28</v>
      </c>
      <c r="B56" s="147" t="n"/>
      <c r="C56" s="147" t="inlineStr">
        <is>
          <t>Прайс из СД ОП</t>
        </is>
      </c>
      <c r="D56" s="263" t="inlineStr">
        <is>
          <t>Трансформатор напряжения НАМИ-330</t>
        </is>
      </c>
      <c r="E56" s="264" t="inlineStr">
        <is>
          <t>шт.</t>
        </is>
      </c>
      <c r="F56" s="264" t="n">
        <v>3</v>
      </c>
      <c r="G56" s="266" t="n">
        <v>328227.03</v>
      </c>
      <c r="H56" s="32" t="n">
        <v>984681.09</v>
      </c>
      <c r="I56" s="166" t="n"/>
    </row>
    <row r="57">
      <c r="A57" s="264">
        <f>A56+1</f>
        <v/>
      </c>
      <c r="B57" s="147" t="n"/>
      <c r="C57" s="147" t="inlineStr">
        <is>
          <t>Прайс из СД ОП</t>
        </is>
      </c>
      <c r="D57" s="263" t="inlineStr">
        <is>
          <t>Шкаф ЯЗН-11-АСКУЭ</t>
        </is>
      </c>
      <c r="E57" s="264" t="inlineStr">
        <is>
          <t>шт.</t>
        </is>
      </c>
      <c r="F57" s="264" t="n">
        <v>1</v>
      </c>
      <c r="G57" s="266" t="n">
        <v>5872.3</v>
      </c>
      <c r="H57" s="32" t="n">
        <v>5872.3</v>
      </c>
      <c r="I57" s="166" t="n"/>
    </row>
    <row r="58">
      <c r="A58" s="264">
        <f>A57+1</f>
        <v/>
      </c>
      <c r="B58" s="147" t="n"/>
      <c r="C58" s="147" t="inlineStr">
        <is>
          <t>Прайс из СД ОП</t>
        </is>
      </c>
      <c r="D58" s="263" t="inlineStr">
        <is>
          <t>Шкаф догрузочных резисторов</t>
        </is>
      </c>
      <c r="E58" s="264" t="inlineStr">
        <is>
          <t>шт.</t>
        </is>
      </c>
      <c r="F58" s="264" t="n">
        <v>1</v>
      </c>
      <c r="G58" s="266" t="n">
        <v>3664.05</v>
      </c>
      <c r="H58" s="32" t="n">
        <v>3664.05</v>
      </c>
      <c r="I58" s="166" t="n"/>
    </row>
    <row r="59" ht="15" customHeight="1">
      <c r="A59" s="253" t="inlineStr">
        <is>
          <t>Материалы</t>
        </is>
      </c>
      <c r="B59" s="327" t="n"/>
      <c r="C59" s="327" t="n"/>
      <c r="D59" s="328" t="n"/>
      <c r="E59" s="173" t="n"/>
      <c r="F59" s="173" t="n"/>
      <c r="G59" s="160" t="n"/>
      <c r="H59" s="178">
        <f>SUM(H60:H117)</f>
        <v/>
      </c>
    </row>
    <row r="60" ht="25.5" customHeight="1">
      <c r="A60" s="264" t="n">
        <v>31</v>
      </c>
      <c r="B60" s="147" t="n"/>
      <c r="C60" s="147" t="inlineStr">
        <is>
          <t>07.2.07.04-0004</t>
        </is>
      </c>
      <c r="D60" s="263" t="inlineStr">
        <is>
          <t>Конструкции стальные индивидуальные решетчатые сварные, масса 0,5-1 т</t>
        </is>
      </c>
      <c r="E60" s="264" t="inlineStr">
        <is>
          <t>т</t>
        </is>
      </c>
      <c r="F60" s="182" t="n">
        <v>0.8631</v>
      </c>
      <c r="G60" s="266" t="n">
        <v>10367.82</v>
      </c>
      <c r="H60" s="32">
        <f>ROUND(F60*G60,2)</f>
        <v/>
      </c>
      <c r="I60" s="166" t="n"/>
    </row>
    <row r="61" ht="25.5" customHeight="1">
      <c r="A61" s="264">
        <f>A60+1</f>
        <v/>
      </c>
      <c r="B61" s="147" t="n"/>
      <c r="C61" s="265" t="inlineStr">
        <is>
          <t>04.1.02.05-0061</t>
        </is>
      </c>
      <c r="D61" s="263" t="inlineStr">
        <is>
          <t>Смеси бетонные тяжелого бетона (БСТ), крупность заполнителя 40 мм, класс В20 (М250)</t>
        </is>
      </c>
      <c r="E61" s="264" t="inlineStr">
        <is>
          <t>м3</t>
        </is>
      </c>
      <c r="F61" s="182" t="n">
        <v>15.906</v>
      </c>
      <c r="G61" s="266" t="n">
        <v>667.83</v>
      </c>
      <c r="H61" s="32">
        <f>ROUND(F61*G61,2)</f>
        <v/>
      </c>
      <c r="I61" s="166" t="n"/>
    </row>
    <row r="62" ht="25.5" customHeight="1">
      <c r="A62" s="264">
        <f>A61+1</f>
        <v/>
      </c>
      <c r="B62" s="147" t="n"/>
      <c r="C62" s="147" t="inlineStr">
        <is>
          <t>21.1.06.10-0411</t>
        </is>
      </c>
      <c r="D62" s="263" t="inlineStr">
        <is>
          <t>Кабель силовой с медными жилами ВВГнг(A)-LS 5х16мк(N, РЕ)-1000</t>
        </is>
      </c>
      <c r="E62" s="264" t="inlineStr">
        <is>
          <t>1000 м</t>
        </is>
      </c>
      <c r="F62" s="264" t="n">
        <v>0.051</v>
      </c>
      <c r="G62" s="266" t="n">
        <v>98440.41</v>
      </c>
      <c r="H62" s="32">
        <f>ROUND(F62*G62,2)</f>
        <v/>
      </c>
      <c r="I62" s="166" t="n"/>
    </row>
    <row r="63" ht="38.25" customHeight="1">
      <c r="A63" s="264">
        <f>A62+1</f>
        <v/>
      </c>
      <c r="B63" s="147" t="n"/>
      <c r="C63" s="147" t="inlineStr">
        <is>
          <t>07.2.07.12-0019</t>
        </is>
      </c>
      <c r="D63" s="263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3" s="264" t="inlineStr">
        <is>
          <t>т</t>
        </is>
      </c>
      <c r="F63" s="264" t="n">
        <v>0.5013</v>
      </c>
      <c r="G63" s="266" t="n">
        <v>8060</v>
      </c>
      <c r="H63" s="32">
        <f>ROUND(F63*G63,2)</f>
        <v/>
      </c>
      <c r="I63" s="166" t="n"/>
    </row>
    <row r="64" ht="102" customHeight="1">
      <c r="A64" s="264">
        <f>A63+1</f>
        <v/>
      </c>
      <c r="B64" s="147" t="n"/>
      <c r="C64" s="147" t="inlineStr">
        <is>
          <t>01.2.03.03-0122</t>
        </is>
      </c>
      <c r="D64" s="26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264" t="inlineStr">
        <is>
          <t>кг</t>
        </is>
      </c>
      <c r="F64" s="264" t="n">
        <v>275.975</v>
      </c>
      <c r="G64" s="266" t="n">
        <v>13.91</v>
      </c>
      <c r="H64" s="32">
        <f>ROUND(F64*G64,2)</f>
        <v/>
      </c>
      <c r="I64" s="166" t="n"/>
    </row>
    <row r="65" ht="38.25" customHeight="1">
      <c r="A65" s="264">
        <f>A64+1</f>
        <v/>
      </c>
      <c r="B65" s="147" t="n"/>
      <c r="C65" s="147" t="inlineStr">
        <is>
          <t>08.4.01.01-0022</t>
        </is>
      </c>
      <c r="D65" s="26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5" s="264" t="inlineStr">
        <is>
          <t>т</t>
        </is>
      </c>
      <c r="F65" s="264" t="n">
        <v>0.314</v>
      </c>
      <c r="G65" s="266" t="n">
        <v>10100</v>
      </c>
      <c r="H65" s="32">
        <f>ROUND(F65*G65,2)</f>
        <v/>
      </c>
      <c r="I65" s="166" t="n"/>
    </row>
    <row r="66">
      <c r="A66" s="264">
        <f>A65+1</f>
        <v/>
      </c>
      <c r="B66" s="147" t="n"/>
      <c r="C66" s="174" t="inlineStr">
        <is>
          <t>21.1.08.03-0574</t>
        </is>
      </c>
      <c r="D66" s="114" t="inlineStr">
        <is>
          <t>Кабель контрольный КВВГЭнг(А)-LS 4x2,5</t>
        </is>
      </c>
      <c r="E66" s="272" t="inlineStr">
        <is>
          <t>1000 м</t>
        </is>
      </c>
      <c r="F66" s="272" t="n">
        <v>0.07199999999999999</v>
      </c>
      <c r="G66" s="184" t="n">
        <v>38348.22</v>
      </c>
      <c r="H66" s="32">
        <f>ROUND(F66*G66,2)</f>
        <v/>
      </c>
      <c r="I66" s="166" t="n"/>
    </row>
    <row r="67" ht="51" customHeight="1">
      <c r="A67" s="264" t="n">
        <v>38</v>
      </c>
      <c r="B67" s="147" t="n"/>
      <c r="C67" s="147" t="inlineStr">
        <is>
          <t>21.2.01.02-0094</t>
        </is>
      </c>
      <c r="D67" s="26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7" s="264" t="inlineStr">
        <is>
          <t>т</t>
        </is>
      </c>
      <c r="F67" s="264" t="n">
        <v>0.0554</v>
      </c>
      <c r="G67" s="266" t="n">
        <v>32758.86</v>
      </c>
      <c r="H67" s="32">
        <f>ROUND(F67*G67,2)</f>
        <v/>
      </c>
      <c r="I67" s="166" t="n"/>
    </row>
    <row r="68">
      <c r="A68" s="264" t="n">
        <v>39</v>
      </c>
      <c r="B68" s="147" t="n"/>
      <c r="C68" s="147" t="inlineStr">
        <is>
          <t>20.1.01.02-0009</t>
        </is>
      </c>
      <c r="D68" s="263" t="inlineStr">
        <is>
          <t>Зажим аппаратный прессуемый: 2А6А-300-3</t>
        </is>
      </c>
      <c r="E68" s="264" t="inlineStr">
        <is>
          <t>100 шт</t>
        </is>
      </c>
      <c r="F68" s="264" t="n">
        <v>0.03</v>
      </c>
      <c r="G68" s="266" t="n">
        <v>35576</v>
      </c>
      <c r="H68" s="32">
        <f>ROUND(F68*G68,2)</f>
        <v/>
      </c>
      <c r="I68" s="166" t="n"/>
    </row>
    <row r="69">
      <c r="A69" s="264" t="n">
        <v>40</v>
      </c>
      <c r="B69" s="147" t="n"/>
      <c r="C69" s="147" t="inlineStr">
        <is>
          <t>20.1.01.02-0010</t>
        </is>
      </c>
      <c r="D69" s="263" t="inlineStr">
        <is>
          <t>Зажим аппаратный прессуемый: 2А6А-300-4</t>
        </is>
      </c>
      <c r="E69" s="264" t="inlineStr">
        <is>
          <t>100 шт</t>
        </is>
      </c>
      <c r="F69" s="264" t="n">
        <v>0.03</v>
      </c>
      <c r="G69" s="266" t="n">
        <v>35576</v>
      </c>
      <c r="H69" s="32">
        <f>ROUND(F69*G69,2)</f>
        <v/>
      </c>
      <c r="I69" s="166" t="n"/>
    </row>
    <row r="70">
      <c r="A70" s="264" t="n">
        <v>41</v>
      </c>
      <c r="B70" s="147" t="n"/>
      <c r="C70" s="147" t="inlineStr">
        <is>
          <t>04.1.02.05-0004</t>
        </is>
      </c>
      <c r="D70" s="263" t="inlineStr">
        <is>
          <t>Бетон тяжелый, класс: В10 (М150)</t>
        </is>
      </c>
      <c r="E70" s="264" t="inlineStr">
        <is>
          <t>м3</t>
        </is>
      </c>
      <c r="F70" s="264" t="n">
        <v>1.8</v>
      </c>
      <c r="G70" s="266" t="n">
        <v>490</v>
      </c>
      <c r="H70" s="32">
        <f>ROUND(F70*G70,2)</f>
        <v/>
      </c>
      <c r="I70" s="166" t="n"/>
    </row>
    <row r="71">
      <c r="A71" s="264" t="n">
        <v>42</v>
      </c>
      <c r="B71" s="147" t="n"/>
      <c r="C71" s="147" t="inlineStr">
        <is>
          <t>08.4.03.04-0001</t>
        </is>
      </c>
      <c r="D71" s="263" t="inlineStr">
        <is>
          <t>Горячекатаная арматурная сталь класса: А-I, А-II, А-III</t>
        </is>
      </c>
      <c r="E71" s="264" t="inlineStr">
        <is>
          <t>т</t>
        </is>
      </c>
      <c r="F71" s="264" t="n">
        <v>0.1537</v>
      </c>
      <c r="G71" s="266" t="n">
        <v>5650</v>
      </c>
      <c r="H71" s="32">
        <f>ROUND(F71*G71,2)</f>
        <v/>
      </c>
      <c r="I71" s="166" t="n"/>
    </row>
    <row r="72">
      <c r="A72" s="264" t="n">
        <v>43</v>
      </c>
      <c r="B72" s="147" t="n"/>
      <c r="C72" s="147" t="inlineStr">
        <is>
          <t>01.7.15.03-0042</t>
        </is>
      </c>
      <c r="D72" s="263" t="inlineStr">
        <is>
          <t>Болты с гайками и шайбами строительные</t>
        </is>
      </c>
      <c r="E72" s="264" t="inlineStr">
        <is>
          <t>кг</t>
        </is>
      </c>
      <c r="F72" s="264" t="n">
        <v>72</v>
      </c>
      <c r="G72" s="266" t="n">
        <v>9.039999999999999</v>
      </c>
      <c r="H72" s="32">
        <f>ROUND(F72*G72,2)</f>
        <v/>
      </c>
      <c r="I72" s="166" t="n"/>
    </row>
    <row r="73" ht="25.5" customHeight="1">
      <c r="A73" s="264" t="n">
        <v>44</v>
      </c>
      <c r="B73" s="147" t="n"/>
      <c r="C73" s="147" t="inlineStr">
        <is>
          <t>05.1.01.10-0131</t>
        </is>
      </c>
      <c r="D73" s="263" t="inlineStr">
        <is>
          <t>Лотки каналов и тоннелей железобетонные для прокладки коммуникаций</t>
        </is>
      </c>
      <c r="E73" s="264" t="inlineStr">
        <is>
          <t>м3</t>
        </is>
      </c>
      <c r="F73" s="264" t="n">
        <v>0.28</v>
      </c>
      <c r="G73" s="266" t="n">
        <v>1837.28</v>
      </c>
      <c r="H73" s="32">
        <f>ROUND(F73*G73,2)</f>
        <v/>
      </c>
      <c r="I73" s="166" t="n"/>
    </row>
    <row r="74">
      <c r="A74" s="264" t="n">
        <v>45</v>
      </c>
      <c r="B74" s="147" t="n"/>
      <c r="C74" s="147" t="inlineStr">
        <is>
          <t>11.2.13.04-0011</t>
        </is>
      </c>
      <c r="D74" s="263" t="inlineStr">
        <is>
          <t>Щиты: из досок толщиной 25 мм</t>
        </is>
      </c>
      <c r="E74" s="264" t="inlineStr">
        <is>
          <t>м2</t>
        </is>
      </c>
      <c r="F74" s="264" t="n">
        <v>7.608</v>
      </c>
      <c r="G74" s="266" t="n">
        <v>35.53</v>
      </c>
      <c r="H74" s="32">
        <f>ROUND(F74*G74,2)</f>
        <v/>
      </c>
      <c r="I74" s="166" t="n"/>
    </row>
    <row r="75">
      <c r="A75" s="264" t="n">
        <v>46</v>
      </c>
      <c r="B75" s="147" t="n"/>
      <c r="C75" s="147" t="inlineStr">
        <is>
          <t>01.3.02.08-0001</t>
        </is>
      </c>
      <c r="D75" s="263" t="inlineStr">
        <is>
          <t>Кислород технический: газообразный</t>
        </is>
      </c>
      <c r="E75" s="264" t="inlineStr">
        <is>
          <t>м3</t>
        </is>
      </c>
      <c r="F75" s="264" t="n">
        <v>34.8854</v>
      </c>
      <c r="G75" s="266" t="n">
        <v>6.22</v>
      </c>
      <c r="H75" s="32">
        <f>ROUND(F75*G75,2)</f>
        <v/>
      </c>
      <c r="I75" s="166" t="n"/>
    </row>
    <row r="76">
      <c r="A76" s="264" t="n">
        <v>47</v>
      </c>
      <c r="B76" s="147" t="n"/>
      <c r="C76" s="147" t="inlineStr">
        <is>
          <t>01.7.17.11-0001</t>
        </is>
      </c>
      <c r="D76" s="263" t="inlineStr">
        <is>
          <t>Бумага шлифовальная</t>
        </is>
      </c>
      <c r="E76" s="264" t="inlineStr">
        <is>
          <t>кг</t>
        </is>
      </c>
      <c r="F76" s="264" t="n">
        <v>4</v>
      </c>
      <c r="G76" s="266" t="n">
        <v>50</v>
      </c>
      <c r="H76" s="32">
        <f>ROUND(F76*G76,2)</f>
        <v/>
      </c>
      <c r="I76" s="166" t="n"/>
    </row>
    <row r="77">
      <c r="A77" s="264" t="n">
        <v>48</v>
      </c>
      <c r="B77" s="147" t="n"/>
      <c r="C77" s="147" t="inlineStr">
        <is>
          <t>02.2.05.04-1777</t>
        </is>
      </c>
      <c r="D77" s="263" t="inlineStr">
        <is>
          <t>Щебень М 800, фракция 20-40 мм, группа 2</t>
        </is>
      </c>
      <c r="E77" s="264" t="inlineStr">
        <is>
          <t>м3</t>
        </is>
      </c>
      <c r="F77" s="264" t="n">
        <v>1.8</v>
      </c>
      <c r="G77" s="266" t="n">
        <v>108.4</v>
      </c>
      <c r="H77" s="32">
        <f>ROUND(F77*G77,2)</f>
        <v/>
      </c>
      <c r="I77" s="166" t="n"/>
    </row>
    <row r="78" ht="25.5" customHeight="1">
      <c r="A78" s="264" t="n">
        <v>49</v>
      </c>
      <c r="B78" s="147" t="n"/>
      <c r="C78" s="147" t="inlineStr">
        <is>
          <t>999-9950</t>
        </is>
      </c>
      <c r="D78" s="263" t="inlineStr">
        <is>
          <t>Вспомогательные ненормируемые ресурсы (2% от Оплаты труда рабочих)</t>
        </is>
      </c>
      <c r="E78" s="264" t="inlineStr">
        <is>
          <t>руб</t>
        </is>
      </c>
      <c r="F78" s="264" t="n">
        <v>190.4059</v>
      </c>
      <c r="G78" s="266" t="n">
        <v>1</v>
      </c>
      <c r="H78" s="32">
        <f>ROUND(F78*G78,2)</f>
        <v/>
      </c>
      <c r="I78" s="166" t="n"/>
    </row>
    <row r="79">
      <c r="A79" s="264" t="n">
        <v>50</v>
      </c>
      <c r="B79" s="147" t="n"/>
      <c r="C79" s="147" t="inlineStr">
        <is>
          <t>01.7.15.07-0031</t>
        </is>
      </c>
      <c r="D79" s="263" t="inlineStr">
        <is>
          <t>Дюбели распорные с гайкой</t>
        </is>
      </c>
      <c r="E79" s="264" t="inlineStr">
        <is>
          <t>100 шт</t>
        </is>
      </c>
      <c r="F79" s="264" t="n">
        <v>1.68</v>
      </c>
      <c r="G79" s="266" t="n">
        <v>110</v>
      </c>
      <c r="H79" s="32">
        <f>ROUND(F79*G79,2)</f>
        <v/>
      </c>
      <c r="I79" s="166" t="n"/>
    </row>
    <row r="80" ht="25.5" customHeight="1">
      <c r="A80" s="264" t="n">
        <v>51</v>
      </c>
      <c r="B80" s="147" t="n"/>
      <c r="C80" s="147" t="inlineStr">
        <is>
          <t>03.2.01.01-0003</t>
        </is>
      </c>
      <c r="D80" s="263" t="inlineStr">
        <is>
          <t>Портландцемент общестроительного назначения бездобавочный, марки: 500</t>
        </is>
      </c>
      <c r="E80" s="264" t="inlineStr">
        <is>
          <t>т</t>
        </is>
      </c>
      <c r="F80" s="264" t="n">
        <v>0.378</v>
      </c>
      <c r="G80" s="266" t="n">
        <v>480</v>
      </c>
      <c r="H80" s="32">
        <f>ROUND(F80*G80,2)</f>
        <v/>
      </c>
      <c r="I80" s="166" t="n"/>
    </row>
    <row r="81" ht="25.5" customHeight="1">
      <c r="A81" s="264" t="n">
        <v>52</v>
      </c>
      <c r="B81" s="147" t="n"/>
      <c r="C81" s="147" t="inlineStr">
        <is>
          <t>08.4.03.02-0005</t>
        </is>
      </c>
      <c r="D81" s="263" t="inlineStr">
        <is>
          <t>Горячекатаная арматурная сталь гладкая класса А-I, диаметром: 14 мм</t>
        </is>
      </c>
      <c r="E81" s="264" t="inlineStr">
        <is>
          <t>т</t>
        </is>
      </c>
      <c r="F81" s="264" t="n">
        <v>0.0283</v>
      </c>
      <c r="G81" s="266" t="n">
        <v>6210</v>
      </c>
      <c r="H81" s="32">
        <f>ROUND(F81*G81,2)</f>
        <v/>
      </c>
      <c r="I81" s="166" t="n"/>
    </row>
    <row r="82">
      <c r="A82" s="264" t="n">
        <v>53</v>
      </c>
      <c r="B82" s="147" t="n"/>
      <c r="C82" s="147" t="inlineStr">
        <is>
          <t>01.3.02.03-0001</t>
        </is>
      </c>
      <c r="D82" s="263" t="inlineStr">
        <is>
          <t>Ацетилен газообразный технический</t>
        </is>
      </c>
      <c r="E82" s="264" t="inlineStr">
        <is>
          <t>м3</t>
        </is>
      </c>
      <c r="F82" s="264" t="n">
        <v>4.535</v>
      </c>
      <c r="G82" s="266" t="n">
        <v>38.51</v>
      </c>
      <c r="H82" s="32">
        <f>ROUND(F82*G82,2)</f>
        <v/>
      </c>
      <c r="I82" s="166" t="n"/>
    </row>
    <row r="83" ht="25.5" customHeight="1">
      <c r="A83" s="264" t="n">
        <v>54</v>
      </c>
      <c r="B83" s="147" t="n"/>
      <c r="C83" s="147" t="inlineStr">
        <is>
          <t>11.1.03.06-0095</t>
        </is>
      </c>
      <c r="D83" s="263" t="inlineStr">
        <is>
          <t>Доски обрезные хвойных пород длиной: 4-6,5 м, шириной 75-150 мм, толщиной 44 мм и более, III сорта</t>
        </is>
      </c>
      <c r="E83" s="264" t="inlineStr">
        <is>
          <t>м3</t>
        </is>
      </c>
      <c r="F83" s="264" t="n">
        <v>0.1103</v>
      </c>
      <c r="G83" s="266" t="n">
        <v>1056</v>
      </c>
      <c r="H83" s="32">
        <f>ROUND(F83*G83,2)</f>
        <v/>
      </c>
      <c r="I83" s="166" t="n"/>
    </row>
    <row r="84">
      <c r="A84" s="264" t="n">
        <v>55</v>
      </c>
      <c r="B84" s="147" t="n"/>
      <c r="C84" s="147" t="inlineStr">
        <is>
          <t>01.7.11.07-0034</t>
        </is>
      </c>
      <c r="D84" s="263" t="inlineStr">
        <is>
          <t>Электроды диаметром: 4 мм Э42А</t>
        </is>
      </c>
      <c r="E84" s="264" t="inlineStr">
        <is>
          <t>кг</t>
        </is>
      </c>
      <c r="F84" s="264" t="n">
        <v>10.578</v>
      </c>
      <c r="G84" s="266" t="n">
        <v>10.57</v>
      </c>
      <c r="H84" s="32">
        <f>ROUND(F84*G84,2)</f>
        <v/>
      </c>
      <c r="I84" s="166" t="n"/>
    </row>
    <row r="85">
      <c r="A85" s="264" t="n">
        <v>56</v>
      </c>
      <c r="B85" s="147" t="n"/>
      <c r="C85" s="147" t="inlineStr">
        <is>
          <t>14.4.02.09-0001</t>
        </is>
      </c>
      <c r="D85" s="263" t="inlineStr">
        <is>
          <t>Краска</t>
        </is>
      </c>
      <c r="E85" s="264" t="inlineStr">
        <is>
          <t>кг</t>
        </is>
      </c>
      <c r="F85" s="264" t="n">
        <v>2.592</v>
      </c>
      <c r="G85" s="266" t="n">
        <v>28.6</v>
      </c>
      <c r="H85" s="32">
        <f>ROUND(F85*G85,2)</f>
        <v/>
      </c>
      <c r="I85" s="166" t="n"/>
    </row>
    <row r="86">
      <c r="A86" s="264" t="n">
        <v>57</v>
      </c>
      <c r="B86" s="147" t="n"/>
      <c r="C86" s="147" t="inlineStr">
        <is>
          <t>01.7.15.06-0111</t>
        </is>
      </c>
      <c r="D86" s="263" t="inlineStr">
        <is>
          <t>Гвозди строительные</t>
        </is>
      </c>
      <c r="E86" s="264" t="inlineStr">
        <is>
          <t>т</t>
        </is>
      </c>
      <c r="F86" s="264" t="n">
        <v>0.006</v>
      </c>
      <c r="G86" s="266" t="n">
        <v>11978</v>
      </c>
      <c r="H86" s="32">
        <f>ROUND(F86*G86,2)</f>
        <v/>
      </c>
      <c r="I86" s="166" t="n"/>
    </row>
    <row r="87" ht="25.5" customHeight="1">
      <c r="A87" s="264" t="n">
        <v>58</v>
      </c>
      <c r="B87" s="147" t="n"/>
      <c r="C87" s="147" t="inlineStr">
        <is>
          <t>11.1.02.04-0031</t>
        </is>
      </c>
      <c r="D87" s="263" t="inlineStr">
        <is>
          <t>Лесоматериалы круглые хвойных пород для строительства диаметром 14-24 см, длиной 3-6,5 м</t>
        </is>
      </c>
      <c r="E87" s="264" t="inlineStr">
        <is>
          <t>м3</t>
        </is>
      </c>
      <c r="F87" s="264" t="n">
        <v>0.1061</v>
      </c>
      <c r="G87" s="266" t="n">
        <v>558.33</v>
      </c>
      <c r="H87" s="32">
        <f>ROUND(F87*G87,2)</f>
        <v/>
      </c>
      <c r="I87" s="166" t="n"/>
    </row>
    <row r="88">
      <c r="A88" s="264" t="n">
        <v>59</v>
      </c>
      <c r="B88" s="147" t="n"/>
      <c r="C88" s="147" t="inlineStr">
        <is>
          <t>08.3.07.01-0043</t>
        </is>
      </c>
      <c r="D88" s="263" t="inlineStr">
        <is>
          <t>Сталь полосовая: 40х5 мм, марка Ст3сп</t>
        </is>
      </c>
      <c r="E88" s="264" t="inlineStr">
        <is>
          <t>т</t>
        </is>
      </c>
      <c r="F88" s="264" t="n">
        <v>0.00942</v>
      </c>
      <c r="G88" s="266" t="n">
        <v>6159.22</v>
      </c>
      <c r="H88" s="32">
        <f>ROUND(F88*G88,2)</f>
        <v/>
      </c>
      <c r="I88" s="166" t="n"/>
    </row>
    <row r="89" ht="25.5" customHeight="1">
      <c r="A89" s="264" t="n">
        <v>60</v>
      </c>
      <c r="B89" s="147" t="n"/>
      <c r="C89" s="147" t="inlineStr">
        <is>
          <t>08.3.07.01-0076</t>
        </is>
      </c>
      <c r="D89" s="263" t="inlineStr">
        <is>
          <t>Сталь полосовая, марка стали: Ст3сп шириной 50-200 мм толщиной 4-5 мм</t>
        </is>
      </c>
      <c r="E89" s="264" t="inlineStr">
        <is>
          <t>т</t>
        </is>
      </c>
      <c r="F89" s="264" t="n">
        <v>0.0107</v>
      </c>
      <c r="G89" s="266" t="n">
        <v>5000</v>
      </c>
      <c r="H89" s="32">
        <f>ROUND(F89*G89,2)</f>
        <v/>
      </c>
      <c r="I89" s="166" t="n"/>
    </row>
    <row r="90">
      <c r="A90" s="264" t="n">
        <v>61</v>
      </c>
      <c r="B90" s="147" t="n"/>
      <c r="C90" s="147" t="inlineStr">
        <is>
          <t>01.3.01.03-0002</t>
        </is>
      </c>
      <c r="D90" s="263" t="inlineStr">
        <is>
          <t>Керосин для технических целей марок КТ-1, КТ-2</t>
        </is>
      </c>
      <c r="E90" s="264" t="inlineStr">
        <is>
          <t>т</t>
        </is>
      </c>
      <c r="F90" s="264" t="n">
        <v>0.0189</v>
      </c>
      <c r="G90" s="266" t="n">
        <v>2606.9</v>
      </c>
      <c r="H90" s="32">
        <f>ROUND(F90*G90,2)</f>
        <v/>
      </c>
      <c r="I90" s="166" t="n"/>
    </row>
    <row r="91" ht="25.5" customHeight="1">
      <c r="A91" s="264" t="n">
        <v>62</v>
      </c>
      <c r="B91" s="147" t="n"/>
      <c r="C91" s="147" t="inlineStr">
        <is>
          <t>11.1.03.06-0087</t>
        </is>
      </c>
      <c r="D91" s="263" t="inlineStr">
        <is>
          <t>Доски обрезные хвойных пород длиной: 4-6,5 м, шириной 75-150 мм, толщиной 25 мм, III сорта</t>
        </is>
      </c>
      <c r="E91" s="264" t="inlineStr">
        <is>
          <t>м3</t>
        </is>
      </c>
      <c r="F91" s="264" t="n">
        <v>0.0403</v>
      </c>
      <c r="G91" s="266" t="n">
        <v>1100</v>
      </c>
      <c r="H91" s="32">
        <f>ROUND(F91*G91,2)</f>
        <v/>
      </c>
      <c r="I91" s="166" t="n"/>
    </row>
    <row r="92">
      <c r="A92" s="264" t="n">
        <v>63</v>
      </c>
      <c r="B92" s="147" t="n"/>
      <c r="C92" s="147" t="inlineStr">
        <is>
          <t>01.7.11.07-0032</t>
        </is>
      </c>
      <c r="D92" s="263" t="inlineStr">
        <is>
          <t>Электроды диаметром: 4 мм Э42</t>
        </is>
      </c>
      <c r="E92" s="264" t="inlineStr">
        <is>
          <t>т</t>
        </is>
      </c>
      <c r="F92" s="264" t="n">
        <v>0.0041</v>
      </c>
      <c r="G92" s="266" t="n">
        <v>10315.01</v>
      </c>
      <c r="H92" s="32">
        <f>ROUND(F92*G92,2)</f>
        <v/>
      </c>
      <c r="I92" s="166" t="n"/>
    </row>
    <row r="93">
      <c r="A93" s="264" t="n">
        <v>64</v>
      </c>
      <c r="B93" s="147" t="n"/>
      <c r="C93" s="147" t="inlineStr">
        <is>
          <t>14.4.02.09-0301</t>
        </is>
      </c>
      <c r="D93" s="263" t="inlineStr">
        <is>
          <t>Краска "Цинол"</t>
        </is>
      </c>
      <c r="E93" s="264" t="inlineStr">
        <is>
          <t>кг</t>
        </is>
      </c>
      <c r="F93" s="264" t="n">
        <v>0.138</v>
      </c>
      <c r="G93" s="266" t="n">
        <v>238.48</v>
      </c>
      <c r="H93" s="32">
        <f>ROUND(F93*G93,2)</f>
        <v/>
      </c>
      <c r="I93" s="166" t="n"/>
    </row>
    <row r="94">
      <c r="A94" s="264" t="n">
        <v>65</v>
      </c>
      <c r="B94" s="147" t="n"/>
      <c r="C94" s="147" t="inlineStr">
        <is>
          <t>01.7.20.08-0031</t>
        </is>
      </c>
      <c r="D94" s="263" t="inlineStr">
        <is>
          <t>Бязь суровая арт. 6804</t>
        </is>
      </c>
      <c r="E94" s="264" t="inlineStr">
        <is>
          <t>10 м2</t>
        </is>
      </c>
      <c r="F94" s="264" t="n">
        <v>0.378</v>
      </c>
      <c r="G94" s="266" t="n">
        <v>79.09999999999999</v>
      </c>
      <c r="H94" s="32">
        <f>ROUND(F94*G94,2)</f>
        <v/>
      </c>
      <c r="I94" s="166" t="n"/>
    </row>
    <row r="95" ht="25.5" customHeight="1">
      <c r="A95" s="264" t="n">
        <v>66</v>
      </c>
      <c r="B95" s="147" t="n"/>
      <c r="C95" s="147" t="inlineStr">
        <is>
          <t>08.3.03.06-0002</t>
        </is>
      </c>
      <c r="D95" s="263" t="inlineStr">
        <is>
          <t>Проволока горячекатаная в мотках, диаметром 6,3-6,5 мм</t>
        </is>
      </c>
      <c r="E95" s="264" t="inlineStr">
        <is>
          <t>т</t>
        </is>
      </c>
      <c r="F95" s="264" t="n">
        <v>0.0061</v>
      </c>
      <c r="G95" s="266" t="n">
        <v>4455.2</v>
      </c>
      <c r="H95" s="32">
        <f>ROUND(F95*G95,2)</f>
        <v/>
      </c>
      <c r="I95" s="166" t="n"/>
    </row>
    <row r="96">
      <c r="A96" s="264" t="n">
        <v>67</v>
      </c>
      <c r="B96" s="147" t="n"/>
      <c r="C96" s="147" t="inlineStr">
        <is>
          <t>08.3.08.02-0022</t>
        </is>
      </c>
      <c r="D96" s="263" t="inlineStr">
        <is>
          <t>Сталь угловая: 50х50 мм</t>
        </is>
      </c>
      <c r="E96" s="264" t="inlineStr">
        <is>
          <t>т</t>
        </is>
      </c>
      <c r="F96" s="264" t="n">
        <v>0.0045</v>
      </c>
      <c r="G96" s="266" t="n">
        <v>5763</v>
      </c>
      <c r="H96" s="32">
        <f>ROUND(F96*G96,2)</f>
        <v/>
      </c>
      <c r="I96" s="166" t="n"/>
    </row>
    <row r="97">
      <c r="A97" s="264" t="n">
        <v>68</v>
      </c>
      <c r="B97" s="147" t="n"/>
      <c r="C97" s="147" t="inlineStr">
        <is>
          <t>01.7.15.07-0014</t>
        </is>
      </c>
      <c r="D97" s="263" t="inlineStr">
        <is>
          <t>Дюбели распорные полипропиленовые</t>
        </is>
      </c>
      <c r="E97" s="264" t="inlineStr">
        <is>
          <t>100 шт</t>
        </is>
      </c>
      <c r="F97" s="264" t="n">
        <v>0.2652</v>
      </c>
      <c r="G97" s="266" t="n">
        <v>86</v>
      </c>
      <c r="H97" s="32">
        <f>ROUND(F97*G97,2)</f>
        <v/>
      </c>
      <c r="I97" s="166" t="n"/>
    </row>
    <row r="98" ht="25.5" customHeight="1">
      <c r="A98" s="264" t="n">
        <v>69</v>
      </c>
      <c r="B98" s="147" t="n"/>
      <c r="C98" s="147" t="inlineStr">
        <is>
          <t>01.3.01.06-0050</t>
        </is>
      </c>
      <c r="D98" s="263" t="inlineStr">
        <is>
          <t>Смазка универсальная тугоплавкая УТ (консталин жировой)</t>
        </is>
      </c>
      <c r="E98" s="264" t="inlineStr">
        <is>
          <t>т</t>
        </is>
      </c>
      <c r="F98" s="264" t="n">
        <v>0.0011</v>
      </c>
      <c r="G98" s="266" t="n">
        <v>17500</v>
      </c>
      <c r="H98" s="32">
        <f>ROUND(F98*G98,2)</f>
        <v/>
      </c>
      <c r="I98" s="166" t="n"/>
    </row>
    <row r="99" ht="25.5" customHeight="1">
      <c r="A99" s="264" t="n">
        <v>70</v>
      </c>
      <c r="B99" s="147" t="n"/>
      <c r="C99" s="265" t="inlineStr">
        <is>
          <t>02.3.01.02-0020</t>
        </is>
      </c>
      <c r="D99" s="263" t="inlineStr">
        <is>
          <t>Песок природный для строительных: растворов средний</t>
        </is>
      </c>
      <c r="E99" s="264" t="inlineStr">
        <is>
          <t>м3</t>
        </is>
      </c>
      <c r="F99" s="182" t="n">
        <v>0.315</v>
      </c>
      <c r="G99" s="266" t="n">
        <v>59.99</v>
      </c>
      <c r="H99" s="32">
        <f>ROUND(F99*G99,2)</f>
        <v/>
      </c>
      <c r="I99" s="166" t="n"/>
    </row>
    <row r="100">
      <c r="A100" s="264" t="n">
        <v>71</v>
      </c>
      <c r="B100" s="147" t="n"/>
      <c r="C100" s="147" t="inlineStr">
        <is>
          <t>01.2.01.02-0054</t>
        </is>
      </c>
      <c r="D100" s="263" t="inlineStr">
        <is>
          <t>Битумы нефтяные строительные марки: БН-90/10</t>
        </is>
      </c>
      <c r="E100" s="264" t="inlineStr">
        <is>
          <t>т</t>
        </is>
      </c>
      <c r="F100" s="264" t="n">
        <v>0.0126</v>
      </c>
      <c r="G100" s="266" t="n">
        <v>1383.1</v>
      </c>
      <c r="H100" s="32">
        <f>ROUND(F100*G100,2)</f>
        <v/>
      </c>
      <c r="I100" s="166" t="n"/>
    </row>
    <row r="101" ht="25.5" customHeight="1">
      <c r="A101" s="264" t="n">
        <v>72</v>
      </c>
      <c r="B101" s="147" t="n"/>
      <c r="C101" s="147" t="inlineStr">
        <is>
          <t>11.1.03.01-0079</t>
        </is>
      </c>
      <c r="D101" s="263" t="inlineStr">
        <is>
          <t>Бруски обрезные хвойных пород длиной: 4-6,5 м, шириной 75-150 мм, толщиной 40-75 мм, III сорта</t>
        </is>
      </c>
      <c r="E101" s="264" t="inlineStr">
        <is>
          <t>м3</t>
        </is>
      </c>
      <c r="F101" s="264" t="n">
        <v>0.0123</v>
      </c>
      <c r="G101" s="266" t="n">
        <v>1287</v>
      </c>
      <c r="H101" s="32">
        <f>ROUND(F101*G101,2)</f>
        <v/>
      </c>
      <c r="I101" s="166" t="n"/>
    </row>
    <row r="102" ht="25.5" customHeight="1">
      <c r="A102" s="264" t="n">
        <v>73</v>
      </c>
      <c r="B102" s="147" t="n"/>
      <c r="C102" s="147" t="inlineStr">
        <is>
          <t>08.3.08.02-0091</t>
        </is>
      </c>
      <c r="D102" s="263" t="inlineStr">
        <is>
          <t>Сталь угловая, марки Ст3, перфорированная УП 35х35 мм</t>
        </is>
      </c>
      <c r="E102" s="264" t="inlineStr">
        <is>
          <t>м</t>
        </is>
      </c>
      <c r="F102" s="264" t="n">
        <v>0.95</v>
      </c>
      <c r="G102" s="266" t="n">
        <v>15.13</v>
      </c>
      <c r="H102" s="32">
        <f>ROUND(F102*G102,2)</f>
        <v/>
      </c>
      <c r="I102" s="166" t="n"/>
    </row>
    <row r="103">
      <c r="A103" s="264" t="n">
        <v>74</v>
      </c>
      <c r="B103" s="147" t="n"/>
      <c r="C103" s="147" t="inlineStr">
        <is>
          <t>01.2.03.03-0044</t>
        </is>
      </c>
      <c r="D103" s="263" t="inlineStr">
        <is>
          <t>Мастика битумно-латексная кровельная</t>
        </is>
      </c>
      <c r="E103" s="264" t="inlineStr">
        <is>
          <t>т</t>
        </is>
      </c>
      <c r="F103" s="264" t="n">
        <v>0.0035</v>
      </c>
      <c r="G103" s="266" t="n">
        <v>3039.7</v>
      </c>
      <c r="H103" s="32">
        <f>ROUND(F103*G103,2)</f>
        <v/>
      </c>
      <c r="I103" s="166" t="n"/>
    </row>
    <row r="104" ht="25.5" customHeight="1">
      <c r="A104" s="264" t="n">
        <v>75</v>
      </c>
      <c r="B104" s="147" t="n"/>
      <c r="C104" s="165" t="inlineStr">
        <is>
          <t>08.3.05.02-0052</t>
        </is>
      </c>
      <c r="D104" s="180" t="inlineStr">
        <is>
          <t>Сталь листовая горячекатаная марки Ст3 толщиной: 2-6 мм</t>
        </is>
      </c>
      <c r="E104" s="279" t="inlineStr">
        <is>
          <t>т</t>
        </is>
      </c>
      <c r="F104" s="265" t="n">
        <v>0.001</v>
      </c>
      <c r="G104" s="278" t="n">
        <v>5941.89</v>
      </c>
      <c r="H104" s="32">
        <f>ROUND(F104*G104,2)</f>
        <v/>
      </c>
      <c r="I104" s="166" t="n"/>
    </row>
    <row r="105">
      <c r="A105" s="264" t="n">
        <v>76</v>
      </c>
      <c r="B105" s="147" t="n"/>
      <c r="C105" s="147" t="inlineStr">
        <is>
          <t>01.7.11.07-0054</t>
        </is>
      </c>
      <c r="D105" s="263" t="inlineStr">
        <is>
          <t>Электроды диаметром: 6 мм Э42</t>
        </is>
      </c>
      <c r="E105" s="264" t="inlineStr">
        <is>
          <t>т</t>
        </is>
      </c>
      <c r="F105" s="264" t="n">
        <v>0.0005999999999999999</v>
      </c>
      <c r="G105" s="266" t="n">
        <v>9424</v>
      </c>
      <c r="H105" s="32">
        <f>ROUND(F105*G105,2)</f>
        <v/>
      </c>
      <c r="I105" s="166" t="n"/>
    </row>
    <row r="106">
      <c r="A106" s="264" t="n">
        <v>77</v>
      </c>
      <c r="B106" s="147" t="n"/>
      <c r="C106" s="147" t="inlineStr">
        <is>
          <t>01.7.07.12-0024</t>
        </is>
      </c>
      <c r="D106" s="263" t="inlineStr">
        <is>
          <t>Пленка полиэтиленовая толщиной: 0,15 мм</t>
        </is>
      </c>
      <c r="E106" s="264" t="inlineStr">
        <is>
          <t>м2</t>
        </is>
      </c>
      <c r="F106" s="264" t="n">
        <v>1.552</v>
      </c>
      <c r="G106" s="266" t="n">
        <v>3.62</v>
      </c>
      <c r="H106" s="32">
        <f>ROUND(F106*G106,2)</f>
        <v/>
      </c>
      <c r="I106" s="166" t="n"/>
    </row>
    <row r="107">
      <c r="A107" s="264" t="n">
        <v>78</v>
      </c>
      <c r="B107" s="147" t="n"/>
      <c r="C107" s="147" t="inlineStr">
        <is>
          <t>03.1.02.03-0011</t>
        </is>
      </c>
      <c r="D107" s="263" t="inlineStr">
        <is>
          <t>Известь строительная: негашеная комовая, сорт I</t>
        </is>
      </c>
      <c r="E107" s="264" t="inlineStr">
        <is>
          <t>т</t>
        </is>
      </c>
      <c r="F107" s="264" t="n">
        <v>0.0071</v>
      </c>
      <c r="G107" s="266" t="n">
        <v>734.5</v>
      </c>
      <c r="H107" s="32">
        <f>ROUND(F107*G107,2)</f>
        <v/>
      </c>
      <c r="I107" s="166" t="n"/>
    </row>
    <row r="108">
      <c r="A108" s="264" t="n">
        <v>79</v>
      </c>
      <c r="B108" s="147" t="n"/>
      <c r="C108" s="147" t="inlineStr">
        <is>
          <t>01.7.03.01-0001</t>
        </is>
      </c>
      <c r="D108" s="263" t="inlineStr">
        <is>
          <t>Вода</t>
        </is>
      </c>
      <c r="E108" s="264" t="inlineStr">
        <is>
          <t>м3</t>
        </is>
      </c>
      <c r="F108" s="264" t="n">
        <v>1.069</v>
      </c>
      <c r="G108" s="266" t="n">
        <v>2.44</v>
      </c>
      <c r="H108" s="32">
        <f>ROUND(F108*G108,2)</f>
        <v/>
      </c>
      <c r="I108" s="166" t="n"/>
    </row>
    <row r="109" ht="25.5" customHeight="1">
      <c r="A109" s="264" t="n">
        <v>80</v>
      </c>
      <c r="B109" s="147" t="n"/>
      <c r="C109" s="147" t="inlineStr">
        <is>
          <t>11.1.03.05-0066</t>
        </is>
      </c>
      <c r="D109" s="263" t="inlineStr">
        <is>
          <t>Доски необрезные хвойных пород длиной: 2-3,75 м, все ширины, толщиной 32-40 мм, IV сорта</t>
        </is>
      </c>
      <c r="E109" s="264" t="inlineStr">
        <is>
          <t>м3</t>
        </is>
      </c>
      <c r="F109" s="264" t="n">
        <v>0.0018</v>
      </c>
      <c r="G109" s="266" t="n">
        <v>602</v>
      </c>
      <c r="H109" s="32">
        <f>ROUND(F109*G109,2)</f>
        <v/>
      </c>
      <c r="I109" s="166" t="n"/>
    </row>
    <row r="110">
      <c r="A110" s="264" t="n">
        <v>81</v>
      </c>
      <c r="B110" s="147" t="n"/>
      <c r="C110" s="147" t="inlineStr">
        <is>
          <t>01.7.15.03-0041</t>
        </is>
      </c>
      <c r="D110" s="263" t="inlineStr">
        <is>
          <t>Болты с гайками и шайбами строительные</t>
        </is>
      </c>
      <c r="E110" s="264" t="inlineStr">
        <is>
          <t>т</t>
        </is>
      </c>
      <c r="F110" s="264" t="n">
        <v>0.0001</v>
      </c>
      <c r="G110" s="266" t="n">
        <v>9040.01</v>
      </c>
      <c r="H110" s="32">
        <f>ROUND(F110*G110,2)</f>
        <v/>
      </c>
      <c r="I110" s="166" t="n"/>
    </row>
    <row r="111">
      <c r="A111" s="264" t="n">
        <v>82</v>
      </c>
      <c r="B111" s="147" t="n"/>
      <c r="C111" s="147" t="inlineStr">
        <is>
          <t>01.7.15.07-0007</t>
        </is>
      </c>
      <c r="D111" s="263" t="inlineStr">
        <is>
          <t>Дюбели пластмассовые диаметр 14 мм</t>
        </is>
      </c>
      <c r="E111" s="264" t="inlineStr">
        <is>
          <t>100 шт</t>
        </is>
      </c>
      <c r="F111" s="264" t="n">
        <v>0.02</v>
      </c>
      <c r="G111" s="266" t="n">
        <v>26.6</v>
      </c>
      <c r="H111" s="32">
        <f>ROUND(F111*G111,2)</f>
        <v/>
      </c>
      <c r="I111" s="166" t="n"/>
    </row>
    <row r="112">
      <c r="A112" s="264" t="n">
        <v>83</v>
      </c>
      <c r="B112" s="147" t="n"/>
      <c r="C112" s="147" t="inlineStr">
        <is>
          <t>01.7.15.14-0043</t>
        </is>
      </c>
      <c r="D112" s="263" t="inlineStr">
        <is>
          <t>Шуруп самонарезающий: (LN) 3,5/11 мм</t>
        </is>
      </c>
      <c r="E112" s="264" t="inlineStr">
        <is>
          <t>100 шт</t>
        </is>
      </c>
      <c r="F112" s="264" t="n">
        <v>0.2652</v>
      </c>
      <c r="G112" s="266" t="n">
        <v>2</v>
      </c>
      <c r="H112" s="32">
        <f>ROUND(F112*G112,2)</f>
        <v/>
      </c>
      <c r="I112" s="166" t="n"/>
    </row>
    <row r="113" ht="25.5" customHeight="1">
      <c r="A113" s="264" t="n">
        <v>84</v>
      </c>
      <c r="B113" s="147" t="n"/>
      <c r="C113" s="147" t="inlineStr">
        <is>
          <t>02.2.05.04-0093</t>
        </is>
      </c>
      <c r="D113" s="263" t="inlineStr">
        <is>
          <t>Щебень из природного камня для строительных работ марка: 800, фракция 20-40 мм</t>
        </is>
      </c>
      <c r="E113" s="264" t="inlineStr">
        <is>
          <t>м3</t>
        </is>
      </c>
      <c r="F113" s="264" t="n">
        <v>0.0032</v>
      </c>
      <c r="G113" s="266" t="n">
        <v>108.4</v>
      </c>
      <c r="H113" s="32">
        <f>ROUND(F113*G113,2)</f>
        <v/>
      </c>
      <c r="I113" s="166" t="n"/>
    </row>
    <row r="114" ht="25.5" customHeight="1">
      <c r="A114" s="264" t="n">
        <v>85</v>
      </c>
      <c r="B114" s="147" t="n"/>
      <c r="C114" s="147" t="inlineStr">
        <is>
          <t>01.7.15.03-0031</t>
        </is>
      </c>
      <c r="D114" s="263" t="inlineStr">
        <is>
          <t>Болты с гайками и шайбами оцинкованные, диаметр: 6 мм</t>
        </is>
      </c>
      <c r="E114" s="264" t="inlineStr">
        <is>
          <t>кг</t>
        </is>
      </c>
      <c r="F114" s="264" t="n">
        <v>0.01</v>
      </c>
      <c r="G114" s="266" t="n">
        <v>28.22</v>
      </c>
      <c r="H114" s="32">
        <f>ROUND(F114*G114,2)</f>
        <v/>
      </c>
      <c r="I114" s="166" t="n"/>
    </row>
    <row r="115">
      <c r="A115" s="264" t="n">
        <v>86</v>
      </c>
      <c r="B115" s="147" t="n"/>
      <c r="C115" s="147" t="inlineStr">
        <is>
          <t>01.7.20.08-0051</t>
        </is>
      </c>
      <c r="D115" s="263" t="inlineStr">
        <is>
          <t>Ветошь</t>
        </is>
      </c>
      <c r="E115" s="264" t="inlineStr">
        <is>
          <t>кг</t>
        </is>
      </c>
      <c r="F115" s="264" t="n">
        <v>0.0789</v>
      </c>
      <c r="G115" s="266" t="n">
        <v>1.82</v>
      </c>
      <c r="H115" s="32">
        <f>ROUND(F115*G115,2)</f>
        <v/>
      </c>
      <c r="I115" s="166" t="n"/>
    </row>
    <row r="116" ht="51" customHeight="1">
      <c r="A116" s="264" t="n">
        <v>87</v>
      </c>
      <c r="B116" s="147" t="n"/>
      <c r="C116" s="147" t="inlineStr">
        <is>
          <t>08.2.02.11-0007</t>
        </is>
      </c>
      <c r="D116" s="26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6" s="264" t="inlineStr">
        <is>
          <t>10 м</t>
        </is>
      </c>
      <c r="F116" s="264" t="n">
        <v>0.0001</v>
      </c>
      <c r="G116" s="266" t="n">
        <v>50.24</v>
      </c>
      <c r="H116" s="32">
        <f>ROUND(F116*G116,2)</f>
        <v/>
      </c>
      <c r="I116" s="166" t="n"/>
    </row>
    <row r="117">
      <c r="A117" s="264" t="n">
        <v>88</v>
      </c>
      <c r="B117" s="147" t="n"/>
      <c r="C117" s="147" t="inlineStr">
        <is>
          <t>01.3.02.09-0022</t>
        </is>
      </c>
      <c r="D117" s="263" t="inlineStr">
        <is>
          <t>Пропан-бутан, смесь техническая</t>
        </is>
      </c>
      <c r="E117" s="264" t="inlineStr">
        <is>
          <t>кг</t>
        </is>
      </c>
      <c r="F117" s="264" t="n">
        <v>0.0016</v>
      </c>
      <c r="G117" s="266" t="n">
        <v>6.09</v>
      </c>
      <c r="H117" s="32">
        <f>ROUND(F117*G117,2)</f>
        <v/>
      </c>
      <c r="I117" s="166" t="n"/>
    </row>
    <row r="118">
      <c r="C118" s="156" t="n"/>
      <c r="D118" s="154" t="n"/>
      <c r="E118" s="155" t="n"/>
      <c r="F118" s="155" t="n"/>
      <c r="G118" s="157" t="n"/>
      <c r="H118" s="172" t="n"/>
    </row>
    <row r="119" ht="25.5" customHeight="1">
      <c r="B119" s="169" t="inlineStr">
        <is>
          <t xml:space="preserve">Примечание: </t>
        </is>
      </c>
      <c r="C119" s="2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20">
      <c r="I120" s="170" t="n"/>
    </row>
    <row r="123" ht="14.25" customFormat="1" customHeight="1" s="12">
      <c r="A123" s="4" t="inlineStr">
        <is>
          <t>Составил ______________________    Е. М. Добровольская</t>
        </is>
      </c>
    </row>
    <row r="124" ht="14.25" customFormat="1" customHeight="1" s="12">
      <c r="A124" s="33" t="inlineStr">
        <is>
          <t xml:space="preserve">                         (подпись, инициалы, фамилия)</t>
        </is>
      </c>
    </row>
    <row r="125" ht="14.25" customFormat="1" customHeight="1" s="12">
      <c r="A125" s="4" t="n"/>
    </row>
    <row r="126" ht="14.25" customFormat="1" customHeight="1" s="12">
      <c r="A126" s="4" t="inlineStr">
        <is>
          <t>Проверил ______________________        А.В. Костянецкая</t>
        </is>
      </c>
    </row>
    <row r="127" ht="14.25" customFormat="1" customHeight="1" s="12">
      <c r="A127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A6:F7"/>
    <mergeCell ref="E9:E10"/>
    <mergeCell ref="F9:F10"/>
    <mergeCell ref="A9:A10"/>
    <mergeCell ref="A12:D12"/>
    <mergeCell ref="A2:H2"/>
    <mergeCell ref="A55:D55"/>
    <mergeCell ref="C119:H119"/>
    <mergeCell ref="A59:D59"/>
    <mergeCell ref="A25:D25"/>
    <mergeCell ref="A3:I3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6" t="inlineStr">
        <is>
          <t>Ресурсная модель</t>
        </is>
      </c>
    </row>
    <row r="6">
      <c r="B6" s="141" t="n"/>
      <c r="C6" s="4" t="n"/>
      <c r="D6" s="4" t="n"/>
      <c r="E6" s="4" t="n"/>
    </row>
    <row r="7" ht="25.5" customHeight="1">
      <c r="B7" s="261" t="inlineStr">
        <is>
          <t>Наименование разрабатываемого показателя УНЦ - ТН (до трех вторичных обмоток) на три фазы с устройством фундамента напряжение 330 кВ</t>
        </is>
      </c>
    </row>
    <row r="8">
      <c r="B8" s="262" t="inlineStr">
        <is>
          <t>Единица измерения  — 1 ед</t>
        </is>
      </c>
    </row>
    <row r="9">
      <c r="B9" s="141" t="n"/>
      <c r="C9" s="4" t="n"/>
      <c r="D9" s="4" t="n"/>
      <c r="E9" s="4" t="n"/>
    </row>
    <row r="10" ht="51" customHeight="1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5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5">
        <f>'Прил.5 Расчет СМР и ОБ'!J27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5">
        <f>'Прил.5 Расчет СМР и ОБ'!J49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5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5">
        <f>'Прил.5 Расчет СМР и ОБ'!J71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5">
        <f>'Прил.5 Расчет СМР и ОБ'!J121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8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ОБ'!D124</f>
        <v/>
      </c>
      <c r="D23" s="27" t="n"/>
      <c r="E23" s="25" t="n"/>
    </row>
    <row r="24">
      <c r="B24" s="25" t="inlineStr">
        <is>
          <t>ВСЕГО СМР с НР и СП</t>
        </is>
      </c>
      <c r="C24" s="18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5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5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138112.8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5">
        <f>C40/'Прил.5 Расчет СМР и ОБ'!E128</f>
        <v/>
      </c>
      <c r="D41" s="25" t="n"/>
      <c r="E41" s="25" t="n"/>
    </row>
    <row r="42">
      <c r="B42" s="144" t="n"/>
      <c r="C42" s="4" t="n"/>
      <c r="D42" s="4" t="n"/>
      <c r="E42" s="4" t="n"/>
    </row>
    <row r="43">
      <c r="B43" s="144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6"/>
  <sheetViews>
    <sheetView tabSelected="1" view="pageBreakPreview" workbookViewId="0">
      <selection activeCell="K9" sqref="A9:XFD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5.140625" customWidth="1" style="12" min="12" max="12"/>
  </cols>
  <sheetData>
    <row r="1">
      <c r="M1" s="12" t="n"/>
      <c r="N1" s="12" t="n"/>
    </row>
    <row r="2" ht="15.75" customHeight="1">
      <c r="H2" s="26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6" t="inlineStr">
        <is>
          <t>Расчет стоимости СМР и оборудования</t>
        </is>
      </c>
    </row>
    <row r="5" ht="12.75" customFormat="1" customHeight="1" s="4">
      <c r="A5" s="226" t="n"/>
      <c r="B5" s="226" t="n"/>
      <c r="C5" s="284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4">
      <c r="A6" s="229" t="inlineStr">
        <is>
          <t>Наименование разрабатываемого показателя УНЦ</t>
        </is>
      </c>
      <c r="D6" s="229" t="inlineStr">
        <is>
          <t>ТН (до трех вторичных обмоток) на три фазы с устройством фундамента напряжение 330 кВ</t>
        </is>
      </c>
    </row>
    <row r="7" ht="12.75" customFormat="1" customHeight="1" s="4">
      <c r="A7" s="229" t="inlineStr">
        <is>
          <t>Единица измерения  — 1 ед.</t>
        </is>
      </c>
      <c r="I7" s="261" t="n"/>
      <c r="J7" s="261" t="n"/>
    </row>
    <row r="8" ht="13.5" customFormat="1" customHeight="1" s="4">
      <c r="A8" s="229" t="n"/>
    </row>
    <row r="9" ht="27" customHeight="1">
      <c r="A9" s="264" t="inlineStr">
        <is>
          <t>№ пп.</t>
        </is>
      </c>
      <c r="B9" s="264" t="inlineStr">
        <is>
          <t>Код ресурса</t>
        </is>
      </c>
      <c r="C9" s="264" t="inlineStr">
        <is>
          <t>Наименование</t>
        </is>
      </c>
      <c r="D9" s="264" t="inlineStr">
        <is>
          <t>Ед. изм.</t>
        </is>
      </c>
      <c r="E9" s="264" t="inlineStr">
        <is>
          <t>Кол-во единиц по проектным данным</t>
        </is>
      </c>
      <c r="F9" s="264" t="inlineStr">
        <is>
          <t>Сметная стоимость в ценах на 01.01.2000 (руб.)</t>
        </is>
      </c>
      <c r="G9" s="328" t="n"/>
      <c r="H9" s="264" t="inlineStr">
        <is>
          <t>Удельный вес, %</t>
        </is>
      </c>
      <c r="I9" s="264" t="inlineStr">
        <is>
          <t>Сметная стоимость в ценах на 01.01.2023 (руб.)</t>
        </is>
      </c>
      <c r="J9" s="328" t="n"/>
      <c r="M9" s="12" t="n"/>
      <c r="N9" s="12" t="n"/>
    </row>
    <row r="10" ht="28.5" customHeight="1">
      <c r="A10" s="330" t="n"/>
      <c r="B10" s="330" t="n"/>
      <c r="C10" s="330" t="n"/>
      <c r="D10" s="330" t="n"/>
      <c r="E10" s="330" t="n"/>
      <c r="F10" s="264" t="inlineStr">
        <is>
          <t>на ед. изм.</t>
        </is>
      </c>
      <c r="G10" s="264" t="inlineStr">
        <is>
          <t>общая</t>
        </is>
      </c>
      <c r="H10" s="330" t="n"/>
      <c r="I10" s="264" t="inlineStr">
        <is>
          <t>на ед. изм.</t>
        </is>
      </c>
      <c r="J10" s="264" t="inlineStr">
        <is>
          <t>общая</t>
        </is>
      </c>
      <c r="M10" s="12" t="n"/>
      <c r="N10" s="12" t="n"/>
    </row>
    <row r="11">
      <c r="A11" s="264" t="n">
        <v>1</v>
      </c>
      <c r="B11" s="264" t="n">
        <v>2</v>
      </c>
      <c r="C11" s="264" t="n">
        <v>3</v>
      </c>
      <c r="D11" s="264" t="n">
        <v>4</v>
      </c>
      <c r="E11" s="264" t="n">
        <v>5</v>
      </c>
      <c r="F11" s="264" t="n">
        <v>6</v>
      </c>
      <c r="G11" s="264" t="n">
        <v>7</v>
      </c>
      <c r="H11" s="264" t="n">
        <v>8</v>
      </c>
      <c r="I11" s="272" t="n">
        <v>9</v>
      </c>
      <c r="J11" s="272" t="n">
        <v>10</v>
      </c>
      <c r="M11" s="12" t="n"/>
      <c r="N11" s="12" t="n"/>
    </row>
    <row r="12">
      <c r="A12" s="264" t="n"/>
      <c r="B12" s="268" t="inlineStr">
        <is>
          <t>Затраты труда рабочих-строителей</t>
        </is>
      </c>
      <c r="C12" s="327" t="n"/>
      <c r="D12" s="327" t="n"/>
      <c r="E12" s="327" t="n"/>
      <c r="F12" s="327" t="n"/>
      <c r="G12" s="327" t="n"/>
      <c r="H12" s="328" t="n"/>
      <c r="I12" s="187" t="n"/>
      <c r="J12" s="187" t="n"/>
    </row>
    <row r="13" ht="25.5" customHeight="1">
      <c r="A13" s="264" t="n">
        <v>1</v>
      </c>
      <c r="B13" s="147" t="inlineStr">
        <is>
          <t>1-3-6</t>
        </is>
      </c>
      <c r="C13" s="263" t="inlineStr">
        <is>
          <t>Затраты труда рабочих-строителей среднего разряда (3,6)</t>
        </is>
      </c>
      <c r="D13" s="264" t="inlineStr">
        <is>
          <t>чел.-ч.</t>
        </is>
      </c>
      <c r="E13" s="148" t="n">
        <v>1083.7995642702</v>
      </c>
      <c r="F13" s="32" t="n">
        <v>9.18</v>
      </c>
      <c r="G13" s="32">
        <f>SUM(Прил.3!H15:H24)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64" t="n">
        <v>2</v>
      </c>
      <c r="B14" s="147" t="inlineStr">
        <is>
          <t>10-30-1</t>
        </is>
      </c>
      <c r="C14" s="263" t="inlineStr">
        <is>
          <t>Инженер I категории</t>
        </is>
      </c>
      <c r="D14" s="264" t="inlineStr">
        <is>
          <t>чел.-ч.</t>
        </is>
      </c>
      <c r="E14" s="148" t="n">
        <v>210.5</v>
      </c>
      <c r="F14" s="32" t="n">
        <v>15.49</v>
      </c>
      <c r="G14" s="32">
        <f>Прил.3!H13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64" t="n">
        <v>3</v>
      </c>
      <c r="B15" s="147" t="inlineStr">
        <is>
          <t>10-30-2</t>
        </is>
      </c>
      <c r="C15" s="263" t="inlineStr">
        <is>
          <t>Инженер II категории</t>
        </is>
      </c>
      <c r="D15" s="264" t="inlineStr">
        <is>
          <t>чел.-ч.</t>
        </is>
      </c>
      <c r="E15" s="148" t="n">
        <v>210.5</v>
      </c>
      <c r="F15" s="32" t="n">
        <v>14.09</v>
      </c>
      <c r="G15" s="32">
        <f>Прил.3!H14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4" t="n"/>
      <c r="B16" s="264" t="n"/>
      <c r="C16" s="268" t="inlineStr">
        <is>
          <t>Итого по разделу "Затраты труда рабочих-строителей"</t>
        </is>
      </c>
      <c r="D16" s="264" t="inlineStr">
        <is>
          <t>чел.-ч.</t>
        </is>
      </c>
      <c r="E16" s="148">
        <f>SUM(E13:E15)</f>
        <v/>
      </c>
      <c r="F16" s="32" t="n"/>
      <c r="G16" s="32">
        <f>SUM(G13:G15)</f>
        <v/>
      </c>
      <c r="H16" s="267" t="n">
        <v>1</v>
      </c>
      <c r="I16" s="187" t="n"/>
      <c r="J16" s="32">
        <f>SUM(J13:J15)</f>
        <v/>
      </c>
    </row>
    <row r="17" ht="14.25" customFormat="1" customHeight="1" s="12">
      <c r="A17" s="264" t="n"/>
      <c r="B17" s="263" t="inlineStr">
        <is>
          <t>Затраты труда машинистов</t>
        </is>
      </c>
      <c r="C17" s="327" t="n"/>
      <c r="D17" s="327" t="n"/>
      <c r="E17" s="327" t="n"/>
      <c r="F17" s="327" t="n"/>
      <c r="G17" s="327" t="n"/>
      <c r="H17" s="328" t="n"/>
      <c r="I17" s="187" t="n"/>
      <c r="J17" s="187" t="n"/>
    </row>
    <row r="18" ht="14.25" customFormat="1" customHeight="1" s="12">
      <c r="A18" s="264" t="n">
        <v>4</v>
      </c>
      <c r="B18" s="264" t="n">
        <v>2</v>
      </c>
      <c r="C18" s="263" t="inlineStr">
        <is>
          <t>Затраты труда машинистов</t>
        </is>
      </c>
      <c r="D18" s="264" t="inlineStr">
        <is>
          <t>чел.-ч.</t>
        </is>
      </c>
      <c r="E18" s="148" t="n">
        <v>145.3908</v>
      </c>
      <c r="F18" s="32">
        <f>G18/E18</f>
        <v/>
      </c>
      <c r="G18" s="32">
        <f>Прил.3!H26</f>
        <v/>
      </c>
      <c r="H18" s="267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64" t="n"/>
      <c r="B19" s="268" t="inlineStr">
        <is>
          <t>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87" t="n"/>
      <c r="J19" s="187" t="n"/>
    </row>
    <row r="20" ht="14.25" customFormat="1" customHeight="1" s="12">
      <c r="A20" s="264" t="n"/>
      <c r="B20" s="263" t="inlineStr">
        <is>
          <t>Основные машины и механизмы</t>
        </is>
      </c>
      <c r="C20" s="327" t="n"/>
      <c r="D20" s="327" t="n"/>
      <c r="E20" s="327" t="n"/>
      <c r="F20" s="327" t="n"/>
      <c r="G20" s="327" t="n"/>
      <c r="H20" s="328" t="n"/>
      <c r="I20" s="187" t="n"/>
      <c r="J20" s="187" t="n"/>
    </row>
    <row r="21" ht="38.25" customFormat="1" customHeight="1" s="12">
      <c r="A21" s="264" t="n">
        <v>5</v>
      </c>
      <c r="B21" s="147" t="inlineStr">
        <is>
          <t>91.11.01-012</t>
        </is>
      </c>
      <c r="C21" s="263" t="inlineStr">
        <is>
          <t>Машины монтажные для выполнения работ при прокладке и монтаже кабеля на базе автомобиля</t>
        </is>
      </c>
      <c r="D21" s="264" t="inlineStr">
        <is>
          <t>маш.час</t>
        </is>
      </c>
      <c r="E21" s="148" t="n">
        <v>48</v>
      </c>
      <c r="F21" s="266" t="n">
        <v>110.86</v>
      </c>
      <c r="G21" s="32">
        <f>ROUND(E21*F21,2)</f>
        <v/>
      </c>
      <c r="H21" s="188">
        <f>G21/$G$50</f>
        <v/>
      </c>
      <c r="I21" s="32">
        <f>ROUND(F21*Прил.10!D12,2)</f>
        <v/>
      </c>
      <c r="J21" s="32">
        <f>ROUND(I21*E21,2)</f>
        <v/>
      </c>
    </row>
    <row r="22" ht="25.5" customFormat="1" customHeight="1" s="12">
      <c r="A22" s="264" t="n">
        <v>6</v>
      </c>
      <c r="B22" s="147" t="inlineStr">
        <is>
          <t>91.05.05-014</t>
        </is>
      </c>
      <c r="C22" s="263" t="inlineStr">
        <is>
          <t>Краны на автомобильном ходу, грузоподъемность 10 т</t>
        </is>
      </c>
      <c r="D22" s="264" t="inlineStr">
        <is>
          <t>маш.час</t>
        </is>
      </c>
      <c r="E22" s="148" t="n">
        <v>39.74</v>
      </c>
      <c r="F22" s="266" t="n">
        <v>111.99</v>
      </c>
      <c r="G22" s="32">
        <f>ROUND(E22*F22,2)</f>
        <v/>
      </c>
      <c r="H22" s="188">
        <f>G22/$G$50</f>
        <v/>
      </c>
      <c r="I22" s="32">
        <f>ROUND(F22*Прил.10!D12,2)</f>
        <v/>
      </c>
      <c r="J22" s="32">
        <f>ROUND(I22*E22,2)</f>
        <v/>
      </c>
    </row>
    <row r="23" ht="38.25" customFormat="1" customHeight="1" s="12">
      <c r="A23" s="264" t="n">
        <v>8</v>
      </c>
      <c r="B23" s="147" t="inlineStr">
        <is>
          <t>91.18.01-012</t>
        </is>
      </c>
      <c r="C23" s="263" t="inlineStr">
        <is>
          <t>Компрессоры передвижные с электродвигателем давлением 600 кПа (6 ат), производительность: до 3,5 м3/мин</t>
        </is>
      </c>
      <c r="D23" s="264" t="inlineStr">
        <is>
          <t>маш.час</t>
        </is>
      </c>
      <c r="E23" s="148" t="n">
        <v>98.19</v>
      </c>
      <c r="F23" s="266" t="n">
        <v>32.5</v>
      </c>
      <c r="G23" s="32">
        <f>ROUND(E23*F23,2)</f>
        <v/>
      </c>
      <c r="H23" s="188">
        <f>G23/$G$50</f>
        <v/>
      </c>
      <c r="I23" s="32">
        <f>ROUND(F23*Прил.10!D12,2)</f>
        <v/>
      </c>
      <c r="J23" s="32">
        <f>ROUND(I23*E23,2)</f>
        <v/>
      </c>
    </row>
    <row r="24" ht="25.5" customFormat="1" customHeight="1" s="12">
      <c r="A24" s="264" t="n">
        <v>9</v>
      </c>
      <c r="B24" s="147" t="inlineStr">
        <is>
          <t>91.10.01-002</t>
        </is>
      </c>
      <c r="C24" s="263" t="inlineStr">
        <is>
          <t>Агрегаты наполнительно-опрессовочные: до 300 м3/ч</t>
        </is>
      </c>
      <c r="D24" s="264" t="inlineStr">
        <is>
          <t>маш.час</t>
        </is>
      </c>
      <c r="E24" s="148" t="n">
        <v>8.25</v>
      </c>
      <c r="F24" s="266" t="n">
        <v>287.99</v>
      </c>
      <c r="G24" s="32">
        <f>ROUND(E24*F24,2)</f>
        <v/>
      </c>
      <c r="H24" s="188">
        <f>G24/$G$50</f>
        <v/>
      </c>
      <c r="I24" s="32">
        <f>ROUND(F24*Прил.10!D12,2)</f>
        <v/>
      </c>
      <c r="J24" s="32">
        <f>ROUND(I24*E24,2)</f>
        <v/>
      </c>
    </row>
    <row r="25" ht="25.5" customFormat="1" customHeight="1" s="12">
      <c r="A25" s="264" t="n">
        <v>10</v>
      </c>
      <c r="B25" s="147" t="inlineStr">
        <is>
          <t>91.06.03-058</t>
        </is>
      </c>
      <c r="C25" s="263" t="inlineStr">
        <is>
          <t>Лебедки электрические тяговым усилием: 156,96 кН (16 т)</t>
        </is>
      </c>
      <c r="D25" s="264" t="inlineStr">
        <is>
          <t>маш.час</t>
        </is>
      </c>
      <c r="E25" s="148" t="n">
        <v>8.25</v>
      </c>
      <c r="F25" s="266" t="n">
        <v>131.44</v>
      </c>
      <c r="G25" s="32">
        <f>ROUND(E25*F25,2)</f>
        <v/>
      </c>
      <c r="H25" s="188">
        <f>G25/$G$50</f>
        <v/>
      </c>
      <c r="I25" s="32">
        <f>ROUND(F25*Прил.10!D12,2)</f>
        <v/>
      </c>
      <c r="J25" s="32">
        <f>ROUND(I25*E25,2)</f>
        <v/>
      </c>
    </row>
    <row r="26" ht="25.5" customFormat="1" customHeight="1" s="12">
      <c r="A26" s="264" t="n">
        <v>11</v>
      </c>
      <c r="B26" s="147" t="inlineStr">
        <is>
          <t>91.14.02-001</t>
        </is>
      </c>
      <c r="C26" s="263" t="inlineStr">
        <is>
          <t>Автомобили бортовые, грузоподъемность: до 5 т</t>
        </is>
      </c>
      <c r="D26" s="264" t="inlineStr">
        <is>
          <t>маш.час</t>
        </is>
      </c>
      <c r="E26" s="148" t="n">
        <v>14.24</v>
      </c>
      <c r="F26" s="266" t="n">
        <v>65.70999999999999</v>
      </c>
      <c r="G26" s="32">
        <f>ROUND(E26*F26,2)</f>
        <v/>
      </c>
      <c r="H26" s="188">
        <f>G26/$G$50</f>
        <v/>
      </c>
      <c r="I26" s="32">
        <f>ROUND(F26*Прил.10!D12,2)</f>
        <v/>
      </c>
      <c r="J26" s="32">
        <f>ROUND(I26*E26,2)</f>
        <v/>
      </c>
    </row>
    <row r="27" ht="14.25" customFormat="1" customHeight="1" s="12">
      <c r="A27" s="264" t="n"/>
      <c r="B27" s="264" t="n"/>
      <c r="C27" s="263" t="inlineStr">
        <is>
          <t>Итого основные машины и механизмы</t>
        </is>
      </c>
      <c r="D27" s="264" t="n"/>
      <c r="E27" s="148" t="n"/>
      <c r="F27" s="32" t="n"/>
      <c r="G27" s="32">
        <f>SUM(G21:G26)</f>
        <v/>
      </c>
      <c r="H27" s="267">
        <f>G27/G50</f>
        <v/>
      </c>
      <c r="I27" s="189" t="n"/>
      <c r="J27" s="32">
        <f>SUM(J21:J26)</f>
        <v/>
      </c>
    </row>
    <row r="28" outlineLevel="1" ht="51" customFormat="1" customHeight="1" s="12">
      <c r="A28" s="264" t="n">
        <v>12</v>
      </c>
      <c r="B28" s="147" t="inlineStr">
        <is>
          <t>ФССЦпг-03-21-01-010</t>
        </is>
      </c>
      <c r="C28" s="263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28" s="264" t="inlineStr">
        <is>
          <t>1 т груза</t>
        </is>
      </c>
      <c r="E28" s="148" t="n">
        <v>48.816</v>
      </c>
      <c r="F28" s="266" t="n">
        <v>11.42</v>
      </c>
      <c r="G28" s="32">
        <f>ROUND(E28*F28,2)</f>
        <v/>
      </c>
      <c r="H28" s="188">
        <f>G28/$G$50</f>
        <v/>
      </c>
      <c r="I28" s="278">
        <f>ROUND(F28*Прил.10!$D$12,2)</f>
        <v/>
      </c>
      <c r="J28" s="32">
        <f>ROUND(I28*E28,2)</f>
        <v/>
      </c>
    </row>
    <row r="29" outlineLevel="1" ht="25.5" customFormat="1" customHeight="1" s="12">
      <c r="A29" s="264" t="n">
        <v>13</v>
      </c>
      <c r="B29" s="147" t="inlineStr">
        <is>
          <t>91.17.04-233</t>
        </is>
      </c>
      <c r="C29" s="263" t="inlineStr">
        <is>
          <t>Установки для сварки: ручной дуговой (постоянного тока)</t>
        </is>
      </c>
      <c r="D29" s="264" t="inlineStr">
        <is>
          <t>маш.час</t>
        </is>
      </c>
      <c r="E29" s="148" t="n">
        <v>68.23</v>
      </c>
      <c r="F29" s="266" t="n">
        <v>8.1</v>
      </c>
      <c r="G29" s="32">
        <f>ROUND(E29*F29,2)</f>
        <v/>
      </c>
      <c r="H29" s="188">
        <f>G29/$G$50</f>
        <v/>
      </c>
      <c r="I29" s="278">
        <f>ROUND(F29*Прил.10!$D$12,2)</f>
        <v/>
      </c>
      <c r="J29" s="32">
        <f>ROUND(I29*E29,2)</f>
        <v/>
      </c>
    </row>
    <row r="30" outlineLevel="1" ht="25.5" customFormat="1" customHeight="1" s="12">
      <c r="A30" s="264" t="n">
        <v>14</v>
      </c>
      <c r="B30" s="147" t="inlineStr">
        <is>
          <t>91.06.06-042</t>
        </is>
      </c>
      <c r="C30" s="263" t="inlineStr">
        <is>
          <t>Подъемники гидравлические высотой подъема: 10 м</t>
        </is>
      </c>
      <c r="D30" s="264" t="inlineStr">
        <is>
          <t>маш.час</t>
        </is>
      </c>
      <c r="E30" s="148" t="n">
        <v>15.88</v>
      </c>
      <c r="F30" s="266" t="n">
        <v>29.6</v>
      </c>
      <c r="G30" s="32">
        <f>ROUND(E30*F30,2)</f>
        <v/>
      </c>
      <c r="H30" s="188">
        <f>G30/$G$50</f>
        <v/>
      </c>
      <c r="I30" s="278">
        <f>ROUND(F30*Прил.10!$D$12,2)</f>
        <v/>
      </c>
      <c r="J30" s="32">
        <f>ROUND(I30*E30,2)</f>
        <v/>
      </c>
    </row>
    <row r="31" outlineLevel="1" ht="25.5" customFormat="1" customHeight="1" s="12">
      <c r="A31" s="264" t="n">
        <v>15</v>
      </c>
      <c r="B31" s="147" t="inlineStr">
        <is>
          <t>91.05.06-012</t>
        </is>
      </c>
      <c r="C31" s="263" t="inlineStr">
        <is>
          <t>Краны на гусеничном ходу, грузоподъемность до 16 т</t>
        </is>
      </c>
      <c r="D31" s="264" t="inlineStr">
        <is>
          <t>маш.час</t>
        </is>
      </c>
      <c r="E31" s="148" t="n">
        <v>3.53</v>
      </c>
      <c r="F31" s="266" t="n">
        <v>96.89</v>
      </c>
      <c r="G31" s="32">
        <f>ROUND(E31*F31,2)</f>
        <v/>
      </c>
      <c r="H31" s="188">
        <f>G31/$G$50</f>
        <v/>
      </c>
      <c r="I31" s="278">
        <f>ROUND(F31*Прил.10!$D$12,2)</f>
        <v/>
      </c>
      <c r="J31" s="32">
        <f>ROUND(I31*E31,2)</f>
        <v/>
      </c>
    </row>
    <row r="32" outlineLevel="1" ht="38.25" customFormat="1" customHeight="1" s="12">
      <c r="A32" s="264" t="n">
        <v>16</v>
      </c>
      <c r="B32" s="147" t="inlineStr">
        <is>
          <t>91.21.10-003</t>
        </is>
      </c>
      <c r="C32" s="263" t="inlineStr">
        <is>
          <t>Молотки при работе от передвижных компрессорных станций: отбойные пневматические</t>
        </is>
      </c>
      <c r="D32" s="264" t="inlineStr">
        <is>
          <t>маш.час</t>
        </is>
      </c>
      <c r="E32" s="148" t="n">
        <v>196.39</v>
      </c>
      <c r="F32" s="266" t="n">
        <v>1.53</v>
      </c>
      <c r="G32" s="32">
        <f>ROUND(E32*F32,2)</f>
        <v/>
      </c>
      <c r="H32" s="188">
        <f>G32/$G$50</f>
        <v/>
      </c>
      <c r="I32" s="278">
        <f>ROUND(F32*Прил.10!$D$12,2)</f>
        <v/>
      </c>
      <c r="J32" s="32">
        <f>ROUND(I32*E32,2)</f>
        <v/>
      </c>
    </row>
    <row r="33" outlineLevel="1" ht="38.25" customFormat="1" customHeight="1" s="12">
      <c r="A33" s="264" t="n">
        <v>17</v>
      </c>
      <c r="B33" s="147" t="inlineStr">
        <is>
          <t>91.01.05-106</t>
        </is>
      </c>
      <c r="C33" s="263" t="inlineStr">
        <is>
          <t>Экскаваторы одноковшовые дизельные на пневмоколесном ходу, емкость ковша 0,25 м3</t>
        </is>
      </c>
      <c r="D33" s="264" t="inlineStr">
        <is>
          <t>маш.час</t>
        </is>
      </c>
      <c r="E33" s="148" t="n">
        <v>2.96</v>
      </c>
      <c r="F33" s="266" t="n">
        <v>70.01000000000001</v>
      </c>
      <c r="G33" s="32">
        <f>ROUND(E33*F33,2)</f>
        <v/>
      </c>
      <c r="H33" s="188">
        <f>G33/$G$50</f>
        <v/>
      </c>
      <c r="I33" s="278">
        <f>ROUND(F33*Прил.10!$D$12,2)</f>
        <v/>
      </c>
      <c r="J33" s="32">
        <f>ROUND(I33*E33,2)</f>
        <v/>
      </c>
    </row>
    <row r="34" outlineLevel="1" ht="25.5" customFormat="1" customHeight="1" s="12">
      <c r="A34" s="264" t="n">
        <v>18</v>
      </c>
      <c r="B34" s="147" t="inlineStr">
        <is>
          <t>91.01.05-087</t>
        </is>
      </c>
      <c r="C34" s="263" t="inlineStr">
        <is>
          <t>Экскаваторы одноковшовые дизельные на гусеничном ходу, емкость ковша 1 м3</t>
        </is>
      </c>
      <c r="D34" s="264" t="inlineStr">
        <is>
          <t>маш.час</t>
        </is>
      </c>
      <c r="E34" s="148" t="n">
        <v>0.67</v>
      </c>
      <c r="F34" s="266" t="n">
        <v>122.9</v>
      </c>
      <c r="G34" s="32">
        <f>ROUND(E34*F34,2)</f>
        <v/>
      </c>
      <c r="H34" s="188">
        <f>G34/$G$50</f>
        <v/>
      </c>
      <c r="I34" s="278">
        <f>ROUND(F34*Прил.10!$D$12,2)</f>
        <v/>
      </c>
      <c r="J34" s="32">
        <f>ROUND(I34*E34,2)</f>
        <v/>
      </c>
    </row>
    <row r="35" outlineLevel="1" ht="14.25" customFormat="1" customHeight="1" s="12">
      <c r="A35" s="264" t="n">
        <v>19</v>
      </c>
      <c r="B35" s="147" t="inlineStr">
        <is>
          <t>91.17.04-042</t>
        </is>
      </c>
      <c r="C35" s="263" t="inlineStr">
        <is>
          <t>Аппарат для газовой сварки и резки</t>
        </is>
      </c>
      <c r="D35" s="264" t="inlineStr">
        <is>
          <t>маш.час</t>
        </is>
      </c>
      <c r="E35" s="148" t="n">
        <v>42.57</v>
      </c>
      <c r="F35" s="266" t="n">
        <v>1.2</v>
      </c>
      <c r="G35" s="32">
        <f>ROUND(E35*F35,2)</f>
        <v/>
      </c>
      <c r="H35" s="188">
        <f>G35/$G$50</f>
        <v/>
      </c>
      <c r="I35" s="278">
        <f>ROUND(F35*Прил.10!$D$12,2)</f>
        <v/>
      </c>
      <c r="J35" s="32">
        <f>ROUND(I35*E35,2)</f>
        <v/>
      </c>
    </row>
    <row r="36" outlineLevel="1" ht="14.25" customFormat="1" customHeight="1" s="12">
      <c r="A36" s="264" t="n">
        <v>20</v>
      </c>
      <c r="B36" s="147" t="inlineStr">
        <is>
          <t>91.08.04-021</t>
        </is>
      </c>
      <c r="C36" s="263" t="inlineStr">
        <is>
          <t>Котлы битумные: передвижные 400 л</t>
        </is>
      </c>
      <c r="D36" s="264" t="inlineStr">
        <is>
          <t>маш.час</t>
        </is>
      </c>
      <c r="E36" s="148" t="n">
        <v>1.54</v>
      </c>
      <c r="F36" s="266" t="n">
        <v>30</v>
      </c>
      <c r="G36" s="32">
        <f>ROUND(E36*F36,2)</f>
        <v/>
      </c>
      <c r="H36" s="188">
        <f>G36/$G$50</f>
        <v/>
      </c>
      <c r="I36" s="278">
        <f>ROUND(F36*Прил.10!$D$12,2)</f>
        <v/>
      </c>
      <c r="J36" s="32">
        <f>ROUND(I36*E36,2)</f>
        <v/>
      </c>
    </row>
    <row r="37" outlineLevel="1" ht="14.25" customFormat="1" customHeight="1" s="12">
      <c r="A37" s="264" t="n">
        <v>21</v>
      </c>
      <c r="B37" s="147" t="inlineStr">
        <is>
          <t>91.01.01-034</t>
        </is>
      </c>
      <c r="C37" s="263" t="inlineStr">
        <is>
          <t>Бульдозеры, мощность 59 кВт (80 л.с.)</t>
        </is>
      </c>
      <c r="D37" s="264" t="inlineStr">
        <is>
          <t>маш.час</t>
        </is>
      </c>
      <c r="E37" s="148" t="n">
        <v>0.6899999999999999</v>
      </c>
      <c r="F37" s="266" t="n">
        <v>59.47</v>
      </c>
      <c r="G37" s="32">
        <f>ROUND(E37*F37,2)</f>
        <v/>
      </c>
      <c r="H37" s="188">
        <f>G37/$G$50</f>
        <v/>
      </c>
      <c r="I37" s="278">
        <f>ROUND(F37*Прил.10!$D$12,2)</f>
        <v/>
      </c>
      <c r="J37" s="32">
        <f>ROUND(I37*E37,2)</f>
        <v/>
      </c>
    </row>
    <row r="38" outlineLevel="1" ht="25.5" customFormat="1" customHeight="1" s="12">
      <c r="A38" s="264" t="n">
        <v>22</v>
      </c>
      <c r="B38" s="147" t="inlineStr">
        <is>
          <t>91.06.01-003</t>
        </is>
      </c>
      <c r="C38" s="263" t="inlineStr">
        <is>
          <t>Домкраты гидравлические, грузоподъемность 63-100 т</t>
        </is>
      </c>
      <c r="D38" s="264" t="inlineStr">
        <is>
          <t>маш.час</t>
        </is>
      </c>
      <c r="E38" s="148" t="n">
        <v>16.5</v>
      </c>
      <c r="F38" s="266" t="n">
        <v>0.9</v>
      </c>
      <c r="G38" s="32">
        <f>ROUND(E38*F38,2)</f>
        <v/>
      </c>
      <c r="H38" s="188">
        <f>G38/$G$50</f>
        <v/>
      </c>
      <c r="I38" s="278">
        <f>ROUND(F38*Прил.10!$D$12,2)</f>
        <v/>
      </c>
      <c r="J38" s="32">
        <f>ROUND(I38*E38,2)</f>
        <v/>
      </c>
    </row>
    <row r="39" outlineLevel="1" ht="14.25" customFormat="1" customHeight="1" s="12">
      <c r="A39" s="264" t="n">
        <v>23</v>
      </c>
      <c r="B39" s="147" t="inlineStr">
        <is>
          <t>91.01.01-035</t>
        </is>
      </c>
      <c r="C39" s="263" t="inlineStr">
        <is>
          <t>Бульдозеры, мощность 79 кВт (108 л.с.)</t>
        </is>
      </c>
      <c r="D39" s="264" t="inlineStr">
        <is>
          <t>маш.час</t>
        </is>
      </c>
      <c r="E39" s="148" t="n">
        <v>0.16</v>
      </c>
      <c r="F39" s="266" t="n">
        <v>79.06999999999999</v>
      </c>
      <c r="G39" s="32">
        <f>ROUND(E39*F39,2)</f>
        <v/>
      </c>
      <c r="H39" s="188">
        <f>G39/$G$50</f>
        <v/>
      </c>
      <c r="I39" s="278">
        <f>ROUND(F39*Прил.10!$D$12,2)</f>
        <v/>
      </c>
      <c r="J39" s="32">
        <f>ROUND(I39*E39,2)</f>
        <v/>
      </c>
    </row>
    <row r="40" outlineLevel="1" ht="14.25" customFormat="1" customHeight="1" s="12">
      <c r="A40" s="264" t="n">
        <v>24</v>
      </c>
      <c r="B40" s="147" t="inlineStr">
        <is>
          <t>91.07.04-001</t>
        </is>
      </c>
      <c r="C40" s="263" t="inlineStr">
        <is>
          <t>Вибратор глубинный</t>
        </is>
      </c>
      <c r="D40" s="264" t="inlineStr">
        <is>
          <t>маш.час</t>
        </is>
      </c>
      <c r="E40" s="148" t="n">
        <v>2.93</v>
      </c>
      <c r="F40" s="266" t="n">
        <v>1.9</v>
      </c>
      <c r="G40" s="32">
        <f>ROUND(E40*F40,2)</f>
        <v/>
      </c>
      <c r="H40" s="188">
        <f>G40/$G$50</f>
        <v/>
      </c>
      <c r="I40" s="278">
        <f>ROUND(F40*Прил.10!$D$12,2)</f>
        <v/>
      </c>
      <c r="J40" s="32">
        <f>ROUND(I40*E40,2)</f>
        <v/>
      </c>
    </row>
    <row r="41" outlineLevel="1" ht="25.5" customFormat="1" customHeight="1" s="12">
      <c r="A41" s="264" t="n">
        <v>25</v>
      </c>
      <c r="B41" s="147" t="inlineStr">
        <is>
          <t>91.05.06-007</t>
        </is>
      </c>
      <c r="C41" s="263" t="inlineStr">
        <is>
          <t>Краны на гусеничном ходу, грузоподъемность 25 т</t>
        </is>
      </c>
      <c r="D41" s="264" t="inlineStr">
        <is>
          <t>маш.час</t>
        </is>
      </c>
      <c r="E41" s="148" t="n">
        <v>0.03</v>
      </c>
      <c r="F41" s="266" t="n">
        <v>120.04</v>
      </c>
      <c r="G41" s="32">
        <f>ROUND(E41*F41,2)</f>
        <v/>
      </c>
      <c r="H41" s="188">
        <f>G41/$G$50</f>
        <v/>
      </c>
      <c r="I41" s="278">
        <f>ROUND(F41*Прил.10!$D$12,2)</f>
        <v/>
      </c>
      <c r="J41" s="32">
        <f>ROUND(I41*E41,2)</f>
        <v/>
      </c>
    </row>
    <row r="42" outlineLevel="1" ht="14.25" customFormat="1" customHeight="1" s="12">
      <c r="A42" s="264" t="n">
        <v>26</v>
      </c>
      <c r="B42" s="147" t="inlineStr">
        <is>
          <t>91.06.05-011</t>
        </is>
      </c>
      <c r="C42" s="263" t="inlineStr">
        <is>
          <t>Погрузчик, грузоподъемность 5 т</t>
        </is>
      </c>
      <c r="D42" s="264" t="inlineStr">
        <is>
          <t>маш.час</t>
        </is>
      </c>
      <c r="E42" s="148" t="n">
        <v>0.04</v>
      </c>
      <c r="F42" s="266" t="n">
        <v>89.98999999999999</v>
      </c>
      <c r="G42" s="32">
        <f>ROUND(E42*F42,2)</f>
        <v/>
      </c>
      <c r="H42" s="188">
        <f>G42/$G$50</f>
        <v/>
      </c>
      <c r="I42" s="278">
        <f>ROUND(F42*Прил.10!$D$12,2)</f>
        <v/>
      </c>
      <c r="J42" s="32">
        <f>ROUND(I42*E42,2)</f>
        <v/>
      </c>
    </row>
    <row r="43" outlineLevel="1" ht="25.5" customFormat="1" customHeight="1" s="12">
      <c r="A43" s="264" t="n">
        <v>27</v>
      </c>
      <c r="B43" s="147" t="inlineStr">
        <is>
          <t>91.21.12-002</t>
        </is>
      </c>
      <c r="C43" s="263" t="inlineStr">
        <is>
          <t>Ножницы листовые кривошипные гильотинные</t>
        </is>
      </c>
      <c r="D43" s="264" t="inlineStr">
        <is>
          <t>маш.час</t>
        </is>
      </c>
      <c r="E43" s="148" t="n">
        <v>0.05</v>
      </c>
      <c r="F43" s="266" t="n">
        <v>70</v>
      </c>
      <c r="G43" s="32">
        <f>ROUND(E43*F43,2)</f>
        <v/>
      </c>
      <c r="H43" s="188">
        <f>G43/$G$50</f>
        <v/>
      </c>
      <c r="I43" s="278">
        <f>ROUND(F43*Прил.10!$D$12,2)</f>
        <v/>
      </c>
      <c r="J43" s="32">
        <f>ROUND(I43*E43,2)</f>
        <v/>
      </c>
    </row>
    <row r="44" outlineLevel="1" ht="25.5" customFormat="1" customHeight="1" s="12">
      <c r="A44" s="264" t="n">
        <v>28</v>
      </c>
      <c r="B44" s="147" t="inlineStr">
        <is>
          <t>91.21.16-014</t>
        </is>
      </c>
      <c r="C44" s="263" t="inlineStr">
        <is>
          <t>Пресс: листогибочный кривошипный 1000 кН (100 тс)</t>
        </is>
      </c>
      <c r="D44" s="264" t="inlineStr">
        <is>
          <t>маш.час</t>
        </is>
      </c>
      <c r="E44" s="148" t="n">
        <v>0.05</v>
      </c>
      <c r="F44" s="266" t="n">
        <v>56.24</v>
      </c>
      <c r="G44" s="32">
        <f>ROUND(E44*F44,2)</f>
        <v/>
      </c>
      <c r="H44" s="188">
        <f>G44/$G$50</f>
        <v/>
      </c>
      <c r="I44" s="278">
        <f>ROUND(F44*Прил.10!$D$12,2)</f>
        <v/>
      </c>
      <c r="J44" s="32">
        <f>ROUND(I44*E44,2)</f>
        <v/>
      </c>
    </row>
    <row r="45" outlineLevel="1" ht="25.5" customFormat="1" customHeight="1" s="12">
      <c r="A45" s="264" t="n">
        <v>29</v>
      </c>
      <c r="B45" s="147" t="inlineStr">
        <is>
          <t>91.21.16-013</t>
        </is>
      </c>
      <c r="C45" s="263" t="inlineStr">
        <is>
          <t>Пресс: кривошипный простого действия 25 кН (2,5 тс)</t>
        </is>
      </c>
      <c r="D45" s="264" t="inlineStr">
        <is>
          <t>маш.час</t>
        </is>
      </c>
      <c r="E45" s="148" t="n">
        <v>0.05</v>
      </c>
      <c r="F45" s="266" t="n">
        <v>16.92</v>
      </c>
      <c r="G45" s="32">
        <f>ROUND(E45*F45,2)</f>
        <v/>
      </c>
      <c r="H45" s="188">
        <f>G45/$G$50</f>
        <v/>
      </c>
      <c r="I45" s="278">
        <f>ROUND(F45*Прил.10!$D$12,2)</f>
        <v/>
      </c>
      <c r="J45" s="32">
        <f>ROUND(I45*E45,2)</f>
        <v/>
      </c>
    </row>
    <row r="46" outlineLevel="1" ht="14.25" customFormat="1" customHeight="1" s="12">
      <c r="A46" s="264" t="n">
        <v>30</v>
      </c>
      <c r="B46" s="147" t="inlineStr">
        <is>
          <t>91.07.04-002</t>
        </is>
      </c>
      <c r="C46" s="263" t="inlineStr">
        <is>
          <t>Вибратор поверхностный</t>
        </is>
      </c>
      <c r="D46" s="264" t="inlineStr">
        <is>
          <t>маш.час</t>
        </is>
      </c>
      <c r="E46" s="148" t="n">
        <v>1.13</v>
      </c>
      <c r="F46" s="266" t="n">
        <v>0.5</v>
      </c>
      <c r="G46" s="32">
        <f>ROUND(E46*F46,2)</f>
        <v/>
      </c>
      <c r="H46" s="188">
        <f>G46/$G$50</f>
        <v/>
      </c>
      <c r="I46" s="278">
        <f>ROUND(F46*Прил.10!$D$12,2)</f>
        <v/>
      </c>
      <c r="J46" s="32">
        <f>ROUND(I46*E46,2)</f>
        <v/>
      </c>
    </row>
    <row r="47" outlineLevel="1" ht="38.25" customFormat="1" customHeight="1" s="12">
      <c r="A47" s="264" t="n">
        <v>31</v>
      </c>
      <c r="B47" s="147" t="inlineStr">
        <is>
          <t>91.21.01-012</t>
        </is>
      </c>
      <c r="C47" s="263" t="inlineStr">
        <is>
          <t>Агрегаты окрасочные высокого давления для окраски поверхностей конструкций, мощность 1 кВт</t>
        </is>
      </c>
      <c r="D47" s="264" t="inlineStr">
        <is>
          <t>маш.час</t>
        </is>
      </c>
      <c r="E47" s="148" t="n">
        <v>0.06</v>
      </c>
      <c r="F47" s="266" t="n">
        <v>6.82</v>
      </c>
      <c r="G47" s="32">
        <f>ROUND(E47*F47,2)</f>
        <v/>
      </c>
      <c r="H47" s="188">
        <f>G47/$G$50</f>
        <v/>
      </c>
      <c r="I47" s="278">
        <f>ROUND(F47*Прил.10!$D$12,2)</f>
        <v/>
      </c>
      <c r="J47" s="32">
        <f>ROUND(I47*E47,2)</f>
        <v/>
      </c>
    </row>
    <row r="48" outlineLevel="1" ht="14.25" customFormat="1" customHeight="1" s="12">
      <c r="A48" s="264" t="n">
        <v>32</v>
      </c>
      <c r="B48" s="147" t="inlineStr">
        <is>
          <t>91.21.19-031</t>
        </is>
      </c>
      <c r="C48" s="263" t="inlineStr">
        <is>
          <t>Станок: сверлильный</t>
        </is>
      </c>
      <c r="D48" s="264" t="inlineStr">
        <is>
          <t>маш.час</t>
        </is>
      </c>
      <c r="E48" s="148" t="n">
        <v>0.05</v>
      </c>
      <c r="F48" s="266" t="n">
        <v>2.36</v>
      </c>
      <c r="G48" s="32">
        <f>ROUND(E48*F48,2)</f>
        <v/>
      </c>
      <c r="H48" s="188">
        <f>G48/$G$50</f>
        <v/>
      </c>
      <c r="I48" s="278">
        <f>ROUND(F48*Прил.10!$D$12,2)</f>
        <v/>
      </c>
      <c r="J48" s="32">
        <f>ROUND(I48*E48,2)</f>
        <v/>
      </c>
    </row>
    <row r="49" ht="14.25" customFormat="1" customHeight="1" s="12">
      <c r="A49" s="264" t="n"/>
      <c r="B49" s="264" t="n"/>
      <c r="C49" s="263" t="inlineStr">
        <is>
          <t>Итого прочие машины и механизмы</t>
        </is>
      </c>
      <c r="D49" s="264" t="n"/>
      <c r="E49" s="265" t="n"/>
      <c r="F49" s="32" t="n"/>
      <c r="G49" s="189">
        <f>SUM(G28:G48)</f>
        <v/>
      </c>
      <c r="H49" s="188">
        <f>G49/G50</f>
        <v/>
      </c>
      <c r="I49" s="32" t="n"/>
      <c r="J49" s="32">
        <f>SUM(J28:J48)</f>
        <v/>
      </c>
    </row>
    <row r="50" ht="25.5" customFormat="1" customHeight="1" s="12">
      <c r="A50" s="264" t="n"/>
      <c r="B50" s="264" t="n"/>
      <c r="C50" s="268" t="inlineStr">
        <is>
          <t>Итого по разделу «Машины и механизмы»</t>
        </is>
      </c>
      <c r="D50" s="264" t="n"/>
      <c r="E50" s="265" t="n"/>
      <c r="F50" s="32" t="n"/>
      <c r="G50" s="32">
        <f>G49+G27</f>
        <v/>
      </c>
      <c r="H50" s="190" t="n">
        <v>1</v>
      </c>
      <c r="I50" s="191" t="n"/>
      <c r="J50" s="192">
        <f>J49+J27</f>
        <v/>
      </c>
    </row>
    <row r="51" ht="30" customHeight="1">
      <c r="A51" s="264" t="n"/>
      <c r="B51" s="268" t="inlineStr">
        <is>
          <t xml:space="preserve">Оборудование </t>
        </is>
      </c>
      <c r="C51" s="327" t="n"/>
      <c r="D51" s="327" t="n"/>
      <c r="E51" s="327" t="n"/>
      <c r="F51" s="327" t="n"/>
      <c r="G51" s="327" t="n"/>
      <c r="H51" s="327" t="n"/>
      <c r="I51" s="327" t="n"/>
      <c r="J51" s="328" t="n"/>
    </row>
    <row r="52">
      <c r="A52" s="264" t="n"/>
      <c r="B52" s="263" t="inlineStr">
        <is>
          <t>Основное оборудование</t>
        </is>
      </c>
      <c r="C52" s="327" t="n"/>
      <c r="D52" s="327" t="n"/>
      <c r="E52" s="327" t="n"/>
      <c r="F52" s="327" t="n"/>
      <c r="G52" s="327" t="n"/>
      <c r="H52" s="328" t="n"/>
      <c r="I52" s="187" t="n"/>
      <c r="J52" s="187" t="n"/>
    </row>
    <row r="53" ht="23.25" customHeight="1">
      <c r="A53" s="264" t="n">
        <v>33</v>
      </c>
      <c r="B53" s="147" t="inlineStr">
        <is>
          <t>БЦ.16.272</t>
        </is>
      </c>
      <c r="C53" s="180" t="inlineStr">
        <is>
          <t>Трансформатор напряжения 330 кВ</t>
        </is>
      </c>
      <c r="D53" s="264" t="inlineStr">
        <is>
          <t>шт.</t>
        </is>
      </c>
      <c r="E53" s="148" t="n">
        <v>3</v>
      </c>
      <c r="F53" s="266">
        <f>ROUND(I53/Прил.10!$D$14,2)</f>
        <v/>
      </c>
      <c r="G53" s="32">
        <f>Прил.3!H56</f>
        <v/>
      </c>
      <c r="H53" s="267">
        <f>G53/$G$58</f>
        <v/>
      </c>
      <c r="I53" s="32" t="n">
        <v>1434000</v>
      </c>
      <c r="J53" s="193">
        <f>ROUND(I53*E53,2)</f>
        <v/>
      </c>
    </row>
    <row r="54">
      <c r="A54" s="264" t="n"/>
      <c r="B54" s="264" t="n"/>
      <c r="C54" s="263" t="inlineStr">
        <is>
          <t>Итого основное оборудование</t>
        </is>
      </c>
      <c r="D54" s="264" t="n"/>
      <c r="E54" s="148" t="n"/>
      <c r="F54" s="266" t="n"/>
      <c r="G54" s="32">
        <f>G53</f>
        <v/>
      </c>
      <c r="H54" s="267">
        <f>G54/$G$58</f>
        <v/>
      </c>
      <c r="I54" s="189" t="n"/>
      <c r="J54" s="32">
        <f>J53</f>
        <v/>
      </c>
    </row>
    <row r="55" outlineLevel="1">
      <c r="A55" s="264" t="n">
        <v>34</v>
      </c>
      <c r="B55" s="147" t="inlineStr">
        <is>
          <t>Прайс из СД ОП</t>
        </is>
      </c>
      <c r="C55" s="263" t="inlineStr">
        <is>
          <t>Шкаф ЯЗН-11-АСКУЭ</t>
        </is>
      </c>
      <c r="D55" s="264" t="inlineStr">
        <is>
          <t>шт.</t>
        </is>
      </c>
      <c r="E55" s="148" t="n">
        <v>1</v>
      </c>
      <c r="F55" s="266">
        <f>ROUND(I55/Прил.10!$D$14,2)</f>
        <v/>
      </c>
      <c r="G55" s="32">
        <f>Прил.3!H57</f>
        <v/>
      </c>
      <c r="H55" s="267">
        <f>G55/$G$58</f>
        <v/>
      </c>
      <c r="I55" s="32" t="n">
        <v>36760.6</v>
      </c>
      <c r="J55" s="193">
        <f>ROUND(I55*E55,2)</f>
        <v/>
      </c>
    </row>
    <row r="56" outlineLevel="1">
      <c r="A56" s="264" t="n">
        <v>35</v>
      </c>
      <c r="B56" s="147" t="inlineStr">
        <is>
          <t>Прайс из СД ОП</t>
        </is>
      </c>
      <c r="C56" s="263" t="inlineStr">
        <is>
          <t>Шкаф догрузочных резисторов</t>
        </is>
      </c>
      <c r="D56" s="264" t="inlineStr">
        <is>
          <t>шт.</t>
        </is>
      </c>
      <c r="E56" s="148" t="n">
        <v>1</v>
      </c>
      <c r="F56" s="266">
        <f>ROUND(I56/Прил.10!$D$14,2)</f>
        <v/>
      </c>
      <c r="G56" s="32">
        <f>Прил.3!H58</f>
        <v/>
      </c>
      <c r="H56" s="267">
        <f>G56/$G$58</f>
        <v/>
      </c>
      <c r="I56" s="32" t="n">
        <v>22936.95</v>
      </c>
      <c r="J56" s="193">
        <f>ROUND(I56*E56,2)</f>
        <v/>
      </c>
    </row>
    <row r="57">
      <c r="A57" s="264" t="n"/>
      <c r="B57" s="264" t="n"/>
      <c r="C57" s="263" t="inlineStr">
        <is>
          <t>Итого прочее оборудование</t>
        </is>
      </c>
      <c r="D57" s="264" t="n"/>
      <c r="E57" s="148" t="n"/>
      <c r="F57" s="266" t="n"/>
      <c r="G57" s="32">
        <f>SUM(G55:G56)</f>
        <v/>
      </c>
      <c r="H57" s="267">
        <f>G57/$G$58</f>
        <v/>
      </c>
      <c r="I57" s="189" t="n"/>
      <c r="J57" s="32">
        <f>SUM(J55:J56)</f>
        <v/>
      </c>
    </row>
    <row r="58">
      <c r="A58" s="264" t="n"/>
      <c r="B58" s="264" t="n"/>
      <c r="C58" s="268" t="inlineStr">
        <is>
          <t>Итого по разделу «Оборудование»</t>
        </is>
      </c>
      <c r="D58" s="264" t="n"/>
      <c r="E58" s="265" t="n"/>
      <c r="F58" s="266" t="n"/>
      <c r="G58" s="32">
        <f>G57+G54</f>
        <v/>
      </c>
      <c r="H58" s="267">
        <f>G58/$G$58</f>
        <v/>
      </c>
      <c r="I58" s="189" t="n"/>
      <c r="J58" s="32">
        <f>J57+J54</f>
        <v/>
      </c>
    </row>
    <row r="59" ht="25.5" customHeight="1">
      <c r="A59" s="264" t="n"/>
      <c r="B59" s="264" t="n"/>
      <c r="C59" s="263" t="inlineStr">
        <is>
          <t>в том числе технологическое оборудование</t>
        </is>
      </c>
      <c r="D59" s="264" t="n"/>
      <c r="E59" s="182" t="n"/>
      <c r="F59" s="266" t="n"/>
      <c r="G59" s="32">
        <f>G58</f>
        <v/>
      </c>
      <c r="H59" s="267" t="n"/>
      <c r="I59" s="189" t="n"/>
      <c r="J59" s="32">
        <f>J58</f>
        <v/>
      </c>
    </row>
    <row r="60" ht="41.25" customFormat="1" customHeight="1" s="12">
      <c r="A60" s="264" t="n"/>
      <c r="B60" s="268" t="inlineStr">
        <is>
          <t xml:space="preserve">Материалы  </t>
        </is>
      </c>
      <c r="C60" s="327" t="n"/>
      <c r="D60" s="327" t="n"/>
      <c r="E60" s="327" t="n"/>
      <c r="F60" s="327" t="n"/>
      <c r="G60" s="327" t="n"/>
      <c r="H60" s="327" t="n"/>
      <c r="I60" s="327" t="n"/>
      <c r="J60" s="328" t="n"/>
    </row>
    <row r="61" ht="14.25" customFormat="1" customHeight="1" s="12">
      <c r="A61" s="264" t="n"/>
      <c r="B61" s="263" t="inlineStr">
        <is>
          <t>Основные материалы</t>
        </is>
      </c>
      <c r="C61" s="327" t="n"/>
      <c r="D61" s="327" t="n"/>
      <c r="E61" s="327" t="n"/>
      <c r="F61" s="327" t="n"/>
      <c r="G61" s="327" t="n"/>
      <c r="H61" s="328" t="n"/>
      <c r="I61" s="187" t="n"/>
      <c r="J61" s="187" t="n"/>
    </row>
    <row r="62" ht="25.5" customFormat="1" customHeight="1" s="12">
      <c r="A62" s="264" t="n">
        <v>36</v>
      </c>
      <c r="B62" s="147" t="inlineStr">
        <is>
          <t>07.2.07.04-0004</t>
        </is>
      </c>
      <c r="C62" s="263" t="inlineStr">
        <is>
          <t>Конструкции стальные индивидуальные решетчатые сварные, масса 0,5-1 т</t>
        </is>
      </c>
      <c r="D62" s="264" t="inlineStr">
        <is>
          <t>т</t>
        </is>
      </c>
      <c r="E62" s="182" t="n">
        <v>0.8631</v>
      </c>
      <c r="F62" s="266" t="n">
        <v>10367.82</v>
      </c>
      <c r="G62" s="32">
        <f>ROUND(E62*F62,2)</f>
        <v/>
      </c>
      <c r="H62" s="188">
        <f>G62/$G$122</f>
        <v/>
      </c>
      <c r="I62" s="32">
        <f>ROUND(F62*Прил.10!$D$13,2)</f>
        <v/>
      </c>
      <c r="J62" s="32">
        <f>ROUND(I62*E62,2)</f>
        <v/>
      </c>
    </row>
    <row r="63" ht="38.25" customFormat="1" customHeight="1" s="12">
      <c r="A63" s="264" t="n">
        <v>37</v>
      </c>
      <c r="B63" s="147" t="inlineStr">
        <is>
          <t>04.1.02.05-0061</t>
        </is>
      </c>
      <c r="C63" s="263" t="inlineStr">
        <is>
          <t>Смеси бетонные тяжелого бетона (БСТ), крупность заполнителя 40 мм, класс В20 (М250)</t>
        </is>
      </c>
      <c r="D63" s="264" t="inlineStr">
        <is>
          <t>м3</t>
        </is>
      </c>
      <c r="E63" s="148" t="n">
        <v>15.906</v>
      </c>
      <c r="F63" s="266" t="n">
        <v>667.83</v>
      </c>
      <c r="G63" s="32">
        <f>ROUND(E63*F63,2)</f>
        <v/>
      </c>
      <c r="H63" s="188">
        <f>G63/$G$122</f>
        <v/>
      </c>
      <c r="I63" s="32">
        <f>ROUND(F63*Прил.10!$D$13,2)</f>
        <v/>
      </c>
      <c r="J63" s="32">
        <f>ROUND(I63*E63,2)</f>
        <v/>
      </c>
    </row>
    <row r="64" ht="25.5" customFormat="1" customHeight="1" s="12">
      <c r="A64" s="264" t="n">
        <v>38</v>
      </c>
      <c r="B64" s="264" t="inlineStr">
        <is>
          <t>21.1.06.10-0411</t>
        </is>
      </c>
      <c r="C64" s="263" t="inlineStr">
        <is>
          <t>Кабель силовой с медными жилами ВВГнг(A)-LS 5х16мк(N, РЕ)-1000</t>
        </is>
      </c>
      <c r="D64" s="264" t="inlineStr">
        <is>
          <t>1000 м</t>
        </is>
      </c>
      <c r="E64" s="148" t="n">
        <v>0.051</v>
      </c>
      <c r="F64" s="266" t="n">
        <v>98440.41</v>
      </c>
      <c r="G64" s="32">
        <f>ROUND(E64*F64,2)</f>
        <v/>
      </c>
      <c r="H64" s="188">
        <f>G64/$G$122</f>
        <v/>
      </c>
      <c r="I64" s="32">
        <f>ROUND(F64*Прил.10!$D$13,2)</f>
        <v/>
      </c>
      <c r="J64" s="32">
        <f>ROUND(I64*E64,2)</f>
        <v/>
      </c>
    </row>
    <row r="65" ht="51" customFormat="1" customHeight="1" s="12">
      <c r="A65" s="264" t="n">
        <v>39</v>
      </c>
      <c r="B65" s="147" t="inlineStr">
        <is>
          <t>07.2.07.12-0019</t>
        </is>
      </c>
      <c r="C65" s="263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65" s="264" t="inlineStr">
        <is>
          <t>т</t>
        </is>
      </c>
      <c r="E65" s="148" t="n">
        <v>0.5013</v>
      </c>
      <c r="F65" s="266" t="n">
        <v>8060</v>
      </c>
      <c r="G65" s="32">
        <f>ROUND(E65*F65,2)</f>
        <v/>
      </c>
      <c r="H65" s="188">
        <f>G65/$G$122</f>
        <v/>
      </c>
      <c r="I65" s="32">
        <f>ROUND(F65*Прил.10!$D$13,2)</f>
        <v/>
      </c>
      <c r="J65" s="32">
        <f>ROUND(I65*E65,2)</f>
        <v/>
      </c>
    </row>
    <row r="66" ht="127.5" customFormat="1" customHeight="1" s="12">
      <c r="A66" s="264" t="n">
        <v>40</v>
      </c>
      <c r="B66" s="147" t="inlineStr">
        <is>
          <t>01.2.03.03-0122</t>
        </is>
      </c>
      <c r="C66" s="26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6" s="264" t="inlineStr">
        <is>
          <t>кг</t>
        </is>
      </c>
      <c r="E66" s="148" t="n">
        <v>275.975</v>
      </c>
      <c r="F66" s="266" t="n">
        <v>13.91</v>
      </c>
      <c r="G66" s="32">
        <f>ROUND(E66*F66,2)</f>
        <v/>
      </c>
      <c r="H66" s="188">
        <f>G66/$G$122</f>
        <v/>
      </c>
      <c r="I66" s="32">
        <f>ROUND(F66*Прил.10!$D$13,2)</f>
        <v/>
      </c>
      <c r="J66" s="32">
        <f>ROUND(I66*E66,2)</f>
        <v/>
      </c>
    </row>
    <row r="67" ht="51" customFormat="1" customHeight="1" s="12">
      <c r="A67" s="264" t="n">
        <v>41</v>
      </c>
      <c r="B67" s="147" t="inlineStr">
        <is>
          <t>08.4.01.01-0022</t>
        </is>
      </c>
      <c r="C67" s="26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67" s="264" t="inlineStr">
        <is>
          <t>т</t>
        </is>
      </c>
      <c r="E67" s="148" t="n">
        <v>0.314</v>
      </c>
      <c r="F67" s="266" t="n">
        <v>10100</v>
      </c>
      <c r="G67" s="32">
        <f>ROUND(E67*F67,2)</f>
        <v/>
      </c>
      <c r="H67" s="188">
        <f>G67/$G$122</f>
        <v/>
      </c>
      <c r="I67" s="32">
        <f>ROUND(F67*Прил.10!$D$13,2)</f>
        <v/>
      </c>
      <c r="J67" s="32">
        <f>ROUND(I67*E67,2)</f>
        <v/>
      </c>
    </row>
    <row r="68" ht="24.75" customFormat="1" customHeight="1" s="12">
      <c r="A68" s="264" t="n">
        <v>42</v>
      </c>
      <c r="B68" s="147" t="inlineStr">
        <is>
          <t>21.1.08.03-0574</t>
        </is>
      </c>
      <c r="C68" s="263" t="inlineStr">
        <is>
          <t>Кабель контрольный КВВГЭнг(А)-LS 4x2,5</t>
        </is>
      </c>
      <c r="D68" s="264" t="inlineStr">
        <is>
          <t>1000 м</t>
        </is>
      </c>
      <c r="E68" s="148" t="n">
        <v>0.07199999999999999</v>
      </c>
      <c r="F68" s="266" t="n">
        <v>38348.22</v>
      </c>
      <c r="G68" s="32">
        <f>ROUND(E68*F68,2)</f>
        <v/>
      </c>
      <c r="H68" s="188">
        <f>G68/$G$122</f>
        <v/>
      </c>
      <c r="I68" s="32">
        <f>ROUND(F68*Прил.10!$D$13,2)</f>
        <v/>
      </c>
      <c r="J68" s="32">
        <f>ROUND(I68*E68,2)</f>
        <v/>
      </c>
    </row>
    <row r="69" ht="63.75" customFormat="1" customHeight="1" s="12">
      <c r="A69" s="264" t="n">
        <v>43</v>
      </c>
      <c r="B69" s="147" t="inlineStr">
        <is>
          <t>21.2.01.02-0094</t>
        </is>
      </c>
      <c r="C69" s="26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69" s="264" t="inlineStr">
        <is>
          <t>т</t>
        </is>
      </c>
      <c r="E69" s="148" t="n">
        <v>0.0554</v>
      </c>
      <c r="F69" s="266" t="n">
        <v>32758.86</v>
      </c>
      <c r="G69" s="32">
        <f>ROUND(E69*F69,2)</f>
        <v/>
      </c>
      <c r="H69" s="188">
        <f>G69/$G$122</f>
        <v/>
      </c>
      <c r="I69" s="32">
        <f>ROUND(F69*Прил.10!$D$13,2)</f>
        <v/>
      </c>
      <c r="J69" s="32">
        <f>ROUND(I69*E69,2)</f>
        <v/>
      </c>
    </row>
    <row r="70" ht="25.5" customFormat="1" customHeight="1" s="12">
      <c r="A70" s="264" t="n">
        <v>44</v>
      </c>
      <c r="B70" s="147" t="inlineStr">
        <is>
          <t>20.1.01.02-0009</t>
        </is>
      </c>
      <c r="C70" s="263" t="inlineStr">
        <is>
          <t>Зажим аппаратный прессуемый: 2А6А-300-3</t>
        </is>
      </c>
      <c r="D70" s="264" t="inlineStr">
        <is>
          <t>100 шт</t>
        </is>
      </c>
      <c r="E70" s="148" t="n">
        <v>0.03</v>
      </c>
      <c r="F70" s="266" t="n">
        <v>35576</v>
      </c>
      <c r="G70" s="32">
        <f>ROUND(E70*F70,2)</f>
        <v/>
      </c>
      <c r="H70" s="188">
        <f>G70/$G$122</f>
        <v/>
      </c>
      <c r="I70" s="32">
        <f>ROUND(F70*Прил.10!$D$13,2)</f>
        <v/>
      </c>
      <c r="J70" s="32">
        <f>ROUND(I70*E70,2)</f>
        <v/>
      </c>
    </row>
    <row r="71" ht="14.25" customFormat="1" customHeight="1" s="12">
      <c r="A71" s="264" t="n"/>
      <c r="B71" s="147" t="n"/>
      <c r="C71" s="263" t="inlineStr">
        <is>
          <t>Итого основные материалы</t>
        </is>
      </c>
      <c r="D71" s="264" t="n"/>
      <c r="E71" s="148" t="n"/>
      <c r="F71" s="266" t="n"/>
      <c r="G71" s="32">
        <f>SUM(G62:G70)</f>
        <v/>
      </c>
      <c r="H71" s="188">
        <f>G71/G122</f>
        <v/>
      </c>
      <c r="I71" s="32" t="n"/>
      <c r="J71" s="32">
        <f>SUM(J62:J70)</f>
        <v/>
      </c>
    </row>
    <row r="72" outlineLevel="1" ht="25.5" customFormat="1" customHeight="1" s="12">
      <c r="A72" s="264" t="n">
        <v>45</v>
      </c>
      <c r="B72" s="147" t="inlineStr">
        <is>
          <t>20.1.01.02-0010</t>
        </is>
      </c>
      <c r="C72" s="263" t="inlineStr">
        <is>
          <t>Зажим аппаратный прессуемый: 2А6А-300-4</t>
        </is>
      </c>
      <c r="D72" s="264" t="inlineStr">
        <is>
          <t>100 шт</t>
        </is>
      </c>
      <c r="E72" s="148" t="n">
        <v>0.03</v>
      </c>
      <c r="F72" s="266" t="n">
        <v>35576</v>
      </c>
      <c r="G72" s="32">
        <f>ROUND(E72*F72,2)</f>
        <v/>
      </c>
      <c r="H72" s="188">
        <f>G72/$G$122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64" t="n">
        <v>46</v>
      </c>
      <c r="B73" s="147" t="inlineStr">
        <is>
          <t>05.1.01.10-0131</t>
        </is>
      </c>
      <c r="C73" s="263" t="inlineStr">
        <is>
          <t>Лотки каналов и тоннелей железобетонные для прокладки коммуникаций</t>
        </is>
      </c>
      <c r="D73" s="264" t="inlineStr">
        <is>
          <t>м3</t>
        </is>
      </c>
      <c r="E73" s="148" t="n">
        <v>0.28</v>
      </c>
      <c r="F73" s="266" t="n">
        <v>1837.28</v>
      </c>
      <c r="G73" s="32">
        <f>ROUND(E73*F73,2)</f>
        <v/>
      </c>
      <c r="H73" s="188">
        <f>G73/$G$122</f>
        <v/>
      </c>
      <c r="I73" s="32">
        <f>ROUND(F73*Прил.10!$D$13,2)</f>
        <v/>
      </c>
      <c r="J73" s="32">
        <f>ROUND(I73*E73,2)</f>
        <v/>
      </c>
    </row>
    <row r="74" outlineLevel="1" ht="25.5" customFormat="1" customHeight="1" s="12">
      <c r="A74" s="264" t="n">
        <v>47</v>
      </c>
      <c r="B74" s="147" t="inlineStr">
        <is>
          <t>02.2.05.04-1777</t>
        </is>
      </c>
      <c r="C74" s="263" t="inlineStr">
        <is>
          <t>Щебень М 800, фракция 20-40 мм, группа 2</t>
        </is>
      </c>
      <c r="D74" s="264" t="inlineStr">
        <is>
          <t>м3</t>
        </is>
      </c>
      <c r="E74" s="148" t="n">
        <v>1.8</v>
      </c>
      <c r="F74" s="266" t="n">
        <v>108.4</v>
      </c>
      <c r="G74" s="32">
        <f>ROUND(E74*F74,2)</f>
        <v/>
      </c>
      <c r="H74" s="188">
        <f>G74/$G$122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64" t="n">
        <v>48</v>
      </c>
      <c r="B75" s="147" t="inlineStr">
        <is>
          <t>04.1.02.05-0004</t>
        </is>
      </c>
      <c r="C75" s="263" t="inlineStr">
        <is>
          <t>Бетон тяжелый, класс: В10 (М150)</t>
        </is>
      </c>
      <c r="D75" s="264" t="inlineStr">
        <is>
          <t>м3</t>
        </is>
      </c>
      <c r="E75" s="148" t="n">
        <v>1.8</v>
      </c>
      <c r="F75" s="266" t="n">
        <v>490</v>
      </c>
      <c r="G75" s="32">
        <f>ROUND(E75*F75,2)</f>
        <v/>
      </c>
      <c r="H75" s="188">
        <f>G75/$G$122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64" t="n">
        <v>49</v>
      </c>
      <c r="B76" s="147" t="inlineStr">
        <is>
          <t>08.4.03.04-0001</t>
        </is>
      </c>
      <c r="C76" s="263" t="inlineStr">
        <is>
          <t>Горячекатаная арматурная сталь класса: А-I, А-II, А-III</t>
        </is>
      </c>
      <c r="D76" s="264" t="inlineStr">
        <is>
          <t>т</t>
        </is>
      </c>
      <c r="E76" s="148" t="n">
        <v>0.1537</v>
      </c>
      <c r="F76" s="266" t="n">
        <v>5650</v>
      </c>
      <c r="G76" s="32">
        <f>ROUND(E76*F76,2)</f>
        <v/>
      </c>
      <c r="H76" s="188">
        <f>G76/$G$122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64" t="n">
        <v>50</v>
      </c>
      <c r="B77" s="147" t="inlineStr">
        <is>
          <t>01.7.15.03-0042</t>
        </is>
      </c>
      <c r="C77" s="263" t="inlineStr">
        <is>
          <t>Болты с гайками и шайбами строительные</t>
        </is>
      </c>
      <c r="D77" s="264" t="inlineStr">
        <is>
          <t>кг</t>
        </is>
      </c>
      <c r="E77" s="148" t="n">
        <v>72</v>
      </c>
      <c r="F77" s="266" t="n">
        <v>9.039999999999999</v>
      </c>
      <c r="G77" s="32">
        <f>ROUND(E77*F77,2)</f>
        <v/>
      </c>
      <c r="H77" s="188">
        <f>G77/$G$122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64" t="n">
        <v>51</v>
      </c>
      <c r="B78" s="147" t="inlineStr">
        <is>
          <t>11.2.13.04-0011</t>
        </is>
      </c>
      <c r="C78" s="263" t="inlineStr">
        <is>
          <t>Щиты: из досок толщиной 25 мм</t>
        </is>
      </c>
      <c r="D78" s="264" t="inlineStr">
        <is>
          <t>м2</t>
        </is>
      </c>
      <c r="E78" s="148" t="n">
        <v>7.608</v>
      </c>
      <c r="F78" s="266" t="n">
        <v>35.53</v>
      </c>
      <c r="G78" s="32">
        <f>ROUND(E78*F78,2)</f>
        <v/>
      </c>
      <c r="H78" s="188">
        <f>G78/$G$122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64" t="n">
        <v>52</v>
      </c>
      <c r="B79" s="147" t="inlineStr">
        <is>
          <t>01.3.02.08-0001</t>
        </is>
      </c>
      <c r="C79" s="263" t="inlineStr">
        <is>
          <t>Кислород технический: газообразный</t>
        </is>
      </c>
      <c r="D79" s="264" t="inlineStr">
        <is>
          <t>м3</t>
        </is>
      </c>
      <c r="E79" s="148" t="n">
        <v>34.8854</v>
      </c>
      <c r="F79" s="266" t="n">
        <v>6.22</v>
      </c>
      <c r="G79" s="32">
        <f>ROUND(E79*F79,2)</f>
        <v/>
      </c>
      <c r="H79" s="188">
        <f>G79/$G$122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64" t="n">
        <v>53</v>
      </c>
      <c r="B80" s="147" t="inlineStr">
        <is>
          <t>01.7.17.11-0001</t>
        </is>
      </c>
      <c r="C80" s="263" t="inlineStr">
        <is>
          <t>Бумага шлифовальная</t>
        </is>
      </c>
      <c r="D80" s="264" t="inlineStr">
        <is>
          <t>кг</t>
        </is>
      </c>
      <c r="E80" s="148" t="n">
        <v>4</v>
      </c>
      <c r="F80" s="266" t="n">
        <v>50</v>
      </c>
      <c r="G80" s="32">
        <f>ROUND(E80*F80,2)</f>
        <v/>
      </c>
      <c r="H80" s="188">
        <f>G80/$G$122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64" t="n">
        <v>54</v>
      </c>
      <c r="B81" s="147" t="inlineStr">
        <is>
          <t>999-9950</t>
        </is>
      </c>
      <c r="C81" s="263" t="inlineStr">
        <is>
          <t>Вспомогательные ненормируемые ресурсы (2% от Оплаты труда рабочих)</t>
        </is>
      </c>
      <c r="D81" s="264" t="inlineStr">
        <is>
          <t>руб</t>
        </is>
      </c>
      <c r="E81" s="148" t="n">
        <v>190.4059</v>
      </c>
      <c r="F81" s="266" t="n">
        <v>1</v>
      </c>
      <c r="G81" s="32">
        <f>ROUND(E81*F81,2)</f>
        <v/>
      </c>
      <c r="H81" s="188">
        <f>G81/$G$122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64" t="n">
        <v>55</v>
      </c>
      <c r="B82" s="147" t="inlineStr">
        <is>
          <t>01.7.15.07-0031</t>
        </is>
      </c>
      <c r="C82" s="263" t="inlineStr">
        <is>
          <t>Дюбели распорные с гайкой</t>
        </is>
      </c>
      <c r="D82" s="264" t="inlineStr">
        <is>
          <t>100 шт</t>
        </is>
      </c>
      <c r="E82" s="148" t="n">
        <v>1.68</v>
      </c>
      <c r="F82" s="266" t="n">
        <v>110</v>
      </c>
      <c r="G82" s="32">
        <f>ROUND(E82*F82,2)</f>
        <v/>
      </c>
      <c r="H82" s="188">
        <f>G82/$G$122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64" t="n">
        <v>56</v>
      </c>
      <c r="B83" s="147" t="inlineStr">
        <is>
          <t>03.2.01.01-0003</t>
        </is>
      </c>
      <c r="C83" s="263" t="inlineStr">
        <is>
          <t>Портландцемент общестроительного назначения бездобавочный, марки: 500</t>
        </is>
      </c>
      <c r="D83" s="264" t="inlineStr">
        <is>
          <t>т</t>
        </is>
      </c>
      <c r="E83" s="148" t="n">
        <v>0.378</v>
      </c>
      <c r="F83" s="266" t="n">
        <v>480</v>
      </c>
      <c r="G83" s="32">
        <f>ROUND(E83*F83,2)</f>
        <v/>
      </c>
      <c r="H83" s="188">
        <f>G83/$G$122</f>
        <v/>
      </c>
      <c r="I83" s="32">
        <f>ROUND(F83*Прил.10!$D$13,2)</f>
        <v/>
      </c>
      <c r="J83" s="32">
        <f>ROUND(I83*E83,2)</f>
        <v/>
      </c>
    </row>
    <row r="84" outlineLevel="1" ht="25.5" customFormat="1" customHeight="1" s="12">
      <c r="A84" s="264" t="n">
        <v>57</v>
      </c>
      <c r="B84" s="147" t="inlineStr">
        <is>
          <t>08.4.03.02-0005</t>
        </is>
      </c>
      <c r="C84" s="263" t="inlineStr">
        <is>
          <t>Горячекатаная арматурная сталь гладкая класса А-I, диаметром: 14 мм</t>
        </is>
      </c>
      <c r="D84" s="264" t="inlineStr">
        <is>
          <t>т</t>
        </is>
      </c>
      <c r="E84" s="148" t="n">
        <v>0.0283</v>
      </c>
      <c r="F84" s="266" t="n">
        <v>6210</v>
      </c>
      <c r="G84" s="32">
        <f>ROUND(E84*F84,2)</f>
        <v/>
      </c>
      <c r="H84" s="188">
        <f>G84/$G$122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64" t="n">
        <v>58</v>
      </c>
      <c r="B85" s="147" t="inlineStr">
        <is>
          <t>01.3.02.03-0001</t>
        </is>
      </c>
      <c r="C85" s="263" t="inlineStr">
        <is>
          <t>Ацетилен газообразный технический</t>
        </is>
      </c>
      <c r="D85" s="264" t="inlineStr">
        <is>
          <t>м3</t>
        </is>
      </c>
      <c r="E85" s="148" t="n">
        <v>4.535</v>
      </c>
      <c r="F85" s="266" t="n">
        <v>38.51</v>
      </c>
      <c r="G85" s="32">
        <f>ROUND(E85*F85,2)</f>
        <v/>
      </c>
      <c r="H85" s="188">
        <f>G85/$G$122</f>
        <v/>
      </c>
      <c r="I85" s="32">
        <f>ROUND(F85*Прил.10!$D$13,2)</f>
        <v/>
      </c>
      <c r="J85" s="32">
        <f>ROUND(I85*E85,2)</f>
        <v/>
      </c>
    </row>
    <row r="86" outlineLevel="1" ht="38.25" customFormat="1" customHeight="1" s="12">
      <c r="A86" s="264" t="n">
        <v>59</v>
      </c>
      <c r="B86" s="147" t="inlineStr">
        <is>
          <t>11.1.03.06-0095</t>
        </is>
      </c>
      <c r="C86" s="263" t="inlineStr">
        <is>
          <t>Доски обрезные хвойных пород длиной: 4-6,5 м, шириной 75-150 мм, толщиной 44 мм и более, III сорта</t>
        </is>
      </c>
      <c r="D86" s="264" t="inlineStr">
        <is>
          <t>м3</t>
        </is>
      </c>
      <c r="E86" s="148" t="n">
        <v>0.1103</v>
      </c>
      <c r="F86" s="266" t="n">
        <v>1056</v>
      </c>
      <c r="G86" s="32">
        <f>ROUND(E86*F86,2)</f>
        <v/>
      </c>
      <c r="H86" s="188">
        <f>G86/$G$122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64" t="n">
        <v>60</v>
      </c>
      <c r="B87" s="147" t="inlineStr">
        <is>
          <t>01.7.11.07-0034</t>
        </is>
      </c>
      <c r="C87" s="263" t="inlineStr">
        <is>
          <t>Электроды диаметром: 4 мм Э42А</t>
        </is>
      </c>
      <c r="D87" s="264" t="inlineStr">
        <is>
          <t>кг</t>
        </is>
      </c>
      <c r="E87" s="148" t="n">
        <v>10.578</v>
      </c>
      <c r="F87" s="266" t="n">
        <v>10.57</v>
      </c>
      <c r="G87" s="32">
        <f>ROUND(E87*F87,2)</f>
        <v/>
      </c>
      <c r="H87" s="188">
        <f>G87/$G$122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64" t="n">
        <v>61</v>
      </c>
      <c r="B88" s="147" t="inlineStr">
        <is>
          <t>14.4.02.09-0001</t>
        </is>
      </c>
      <c r="C88" s="263" t="inlineStr">
        <is>
          <t>Краска</t>
        </is>
      </c>
      <c r="D88" s="264" t="inlineStr">
        <is>
          <t>кг</t>
        </is>
      </c>
      <c r="E88" s="148" t="n">
        <v>2.592</v>
      </c>
      <c r="F88" s="266" t="n">
        <v>28.6</v>
      </c>
      <c r="G88" s="32">
        <f>ROUND(E88*F88,2)</f>
        <v/>
      </c>
      <c r="H88" s="188">
        <f>G88/$G$122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64" t="n">
        <v>62</v>
      </c>
      <c r="B89" s="147" t="inlineStr">
        <is>
          <t>01.7.15.06-0111</t>
        </is>
      </c>
      <c r="C89" s="263" t="inlineStr">
        <is>
          <t>Гвозди строительные</t>
        </is>
      </c>
      <c r="D89" s="264" t="inlineStr">
        <is>
          <t>т</t>
        </is>
      </c>
      <c r="E89" s="148" t="n">
        <v>0.006</v>
      </c>
      <c r="F89" s="266" t="n">
        <v>11978</v>
      </c>
      <c r="G89" s="32">
        <f>ROUND(E89*F89,2)</f>
        <v/>
      </c>
      <c r="H89" s="188">
        <f>G89/$G$122</f>
        <v/>
      </c>
      <c r="I89" s="32">
        <f>ROUND(F89*Прил.10!$D$13,2)</f>
        <v/>
      </c>
      <c r="J89" s="32">
        <f>ROUND(I89*E89,2)</f>
        <v/>
      </c>
    </row>
    <row r="90" outlineLevel="1" ht="38.25" customFormat="1" customHeight="1" s="12">
      <c r="A90" s="264" t="n">
        <v>63</v>
      </c>
      <c r="B90" s="147" t="inlineStr">
        <is>
          <t>11.1.02.04-0031</t>
        </is>
      </c>
      <c r="C90" s="263" t="inlineStr">
        <is>
          <t>Лесоматериалы круглые хвойных пород для строительства диаметром 14-24 см, длиной 3-6,5 м</t>
        </is>
      </c>
      <c r="D90" s="264" t="inlineStr">
        <is>
          <t>м3</t>
        </is>
      </c>
      <c r="E90" s="148" t="n">
        <v>0.1061</v>
      </c>
      <c r="F90" s="266" t="n">
        <v>558.33</v>
      </c>
      <c r="G90" s="32">
        <f>ROUND(E90*F90,2)</f>
        <v/>
      </c>
      <c r="H90" s="188">
        <f>G90/$G$122</f>
        <v/>
      </c>
      <c r="I90" s="32">
        <f>ROUND(F90*Прил.10!$D$13,2)</f>
        <v/>
      </c>
      <c r="J90" s="32">
        <f>ROUND(I90*E90,2)</f>
        <v/>
      </c>
    </row>
    <row r="91" outlineLevel="1" ht="14.25" customFormat="1" customHeight="1" s="12">
      <c r="A91" s="264" t="n">
        <v>64</v>
      </c>
      <c r="B91" s="147" t="inlineStr">
        <is>
          <t>08.3.07.01-0043</t>
        </is>
      </c>
      <c r="C91" s="263" t="inlineStr">
        <is>
          <t>Сталь полосовая: 40х5 мм, марка Ст3сп</t>
        </is>
      </c>
      <c r="D91" s="264" t="inlineStr">
        <is>
          <t>т</t>
        </is>
      </c>
      <c r="E91" s="148" t="n">
        <v>0.00942</v>
      </c>
      <c r="F91" s="266" t="n">
        <v>6159.22</v>
      </c>
      <c r="G91" s="32">
        <f>ROUND(E91*F91,2)</f>
        <v/>
      </c>
      <c r="H91" s="188">
        <f>G91/$G$122</f>
        <v/>
      </c>
      <c r="I91" s="32">
        <f>ROUND(F91*Прил.10!$D$13,2)</f>
        <v/>
      </c>
      <c r="J91" s="32">
        <f>ROUND(I91*E91,2)</f>
        <v/>
      </c>
    </row>
    <row r="92" outlineLevel="1" ht="25.5" customFormat="1" customHeight="1" s="12">
      <c r="A92" s="264" t="n">
        <v>65</v>
      </c>
      <c r="B92" s="147" t="inlineStr">
        <is>
          <t>08.3.07.01-0076</t>
        </is>
      </c>
      <c r="C92" s="263" t="inlineStr">
        <is>
          <t>Сталь полосовая, марка стали: Ст3сп шириной 50-200 мм толщиной 4-5 мм</t>
        </is>
      </c>
      <c r="D92" s="264" t="inlineStr">
        <is>
          <t>т</t>
        </is>
      </c>
      <c r="E92" s="148" t="n">
        <v>0.0107</v>
      </c>
      <c r="F92" s="266" t="n">
        <v>5000</v>
      </c>
      <c r="G92" s="32">
        <f>ROUND(E92*F92,2)</f>
        <v/>
      </c>
      <c r="H92" s="188">
        <f>G92/$G$122</f>
        <v/>
      </c>
      <c r="I92" s="32">
        <f>ROUND(F92*Прил.10!$D$13,2)</f>
        <v/>
      </c>
      <c r="J92" s="32">
        <f>ROUND(I92*E92,2)</f>
        <v/>
      </c>
    </row>
    <row r="93" outlineLevel="1" ht="25.5" customFormat="1" customHeight="1" s="12">
      <c r="A93" s="264" t="n">
        <v>66</v>
      </c>
      <c r="B93" s="147" t="inlineStr">
        <is>
          <t>01.3.01.03-0002</t>
        </is>
      </c>
      <c r="C93" s="263" t="inlineStr">
        <is>
          <t>Керосин для технических целей марок КТ-1, КТ-2</t>
        </is>
      </c>
      <c r="D93" s="264" t="inlineStr">
        <is>
          <t>т</t>
        </is>
      </c>
      <c r="E93" s="148" t="n">
        <v>0.0189</v>
      </c>
      <c r="F93" s="266" t="n">
        <v>2606.9</v>
      </c>
      <c r="G93" s="32">
        <f>ROUND(E93*F93,2)</f>
        <v/>
      </c>
      <c r="H93" s="188">
        <f>G93/$G$122</f>
        <v/>
      </c>
      <c r="I93" s="32">
        <f>ROUND(F93*Прил.10!$D$13,2)</f>
        <v/>
      </c>
      <c r="J93" s="32">
        <f>ROUND(I93*E93,2)</f>
        <v/>
      </c>
    </row>
    <row r="94" outlineLevel="1" ht="38.25" customFormat="1" customHeight="1" s="12">
      <c r="A94" s="264" t="n">
        <v>67</v>
      </c>
      <c r="B94" s="147" t="inlineStr">
        <is>
          <t>11.1.03.06-0087</t>
        </is>
      </c>
      <c r="C94" s="263" t="inlineStr">
        <is>
          <t>Доски обрезные хвойных пород длиной: 4-6,5 м, шириной 75-150 мм, толщиной 25 мм, III сорта</t>
        </is>
      </c>
      <c r="D94" s="264" t="inlineStr">
        <is>
          <t>м3</t>
        </is>
      </c>
      <c r="E94" s="148" t="n">
        <v>0.0403</v>
      </c>
      <c r="F94" s="266" t="n">
        <v>1100</v>
      </c>
      <c r="G94" s="32">
        <f>ROUND(E94*F94,2)</f>
        <v/>
      </c>
      <c r="H94" s="188">
        <f>G94/$G$122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64" t="n">
        <v>68</v>
      </c>
      <c r="B95" s="147" t="inlineStr">
        <is>
          <t>01.7.11.07-0032</t>
        </is>
      </c>
      <c r="C95" s="263" t="inlineStr">
        <is>
          <t>Электроды диаметром: 4 мм Э42</t>
        </is>
      </c>
      <c r="D95" s="264" t="inlineStr">
        <is>
          <t>т</t>
        </is>
      </c>
      <c r="E95" s="148" t="n">
        <v>0.0041</v>
      </c>
      <c r="F95" s="266" t="n">
        <v>10315.01</v>
      </c>
      <c r="G95" s="32">
        <f>ROUND(E95*F95,2)</f>
        <v/>
      </c>
      <c r="H95" s="188">
        <f>G95/$G$122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64" t="n">
        <v>69</v>
      </c>
      <c r="B96" s="147" t="inlineStr">
        <is>
          <t>14.4.02.09-0301</t>
        </is>
      </c>
      <c r="C96" s="263" t="inlineStr">
        <is>
          <t>Краска "Цинол"</t>
        </is>
      </c>
      <c r="D96" s="264" t="inlineStr">
        <is>
          <t>кг</t>
        </is>
      </c>
      <c r="E96" s="148" t="n">
        <v>0.138</v>
      </c>
      <c r="F96" s="266" t="n">
        <v>238.48</v>
      </c>
      <c r="G96" s="32">
        <f>ROUND(E96*F96,2)</f>
        <v/>
      </c>
      <c r="H96" s="188">
        <f>G96/$G$122</f>
        <v/>
      </c>
      <c r="I96" s="32">
        <f>ROUND(F96*Прил.10!$D$13,2)</f>
        <v/>
      </c>
      <c r="J96" s="32">
        <f>ROUND(I96*E96,2)</f>
        <v/>
      </c>
    </row>
    <row r="97" outlineLevel="1" ht="14.25" customFormat="1" customHeight="1" s="12">
      <c r="A97" s="264" t="n">
        <v>70</v>
      </c>
      <c r="B97" s="147" t="inlineStr">
        <is>
          <t>01.7.20.08-0031</t>
        </is>
      </c>
      <c r="C97" s="263" t="inlineStr">
        <is>
          <t>Бязь суровая арт. 6804</t>
        </is>
      </c>
      <c r="D97" s="264" t="inlineStr">
        <is>
          <t>10 м2</t>
        </is>
      </c>
      <c r="E97" s="148" t="n">
        <v>0.378</v>
      </c>
      <c r="F97" s="266" t="n">
        <v>79.09999999999999</v>
      </c>
      <c r="G97" s="32">
        <f>ROUND(E97*F97,2)</f>
        <v/>
      </c>
      <c r="H97" s="188">
        <f>G97/$G$122</f>
        <v/>
      </c>
      <c r="I97" s="32">
        <f>ROUND(F97*Прил.10!$D$13,2)</f>
        <v/>
      </c>
      <c r="J97" s="32">
        <f>ROUND(I97*E97,2)</f>
        <v/>
      </c>
    </row>
    <row r="98" outlineLevel="1" ht="25.5" customFormat="1" customHeight="1" s="12">
      <c r="A98" s="264" t="n">
        <v>71</v>
      </c>
      <c r="B98" s="147" t="inlineStr">
        <is>
          <t>08.3.03.06-0002</t>
        </is>
      </c>
      <c r="C98" s="263" t="inlineStr">
        <is>
          <t>Проволока горячекатаная в мотках, диаметром 6,3-6,5 мм</t>
        </is>
      </c>
      <c r="D98" s="264" t="inlineStr">
        <is>
          <t>т</t>
        </is>
      </c>
      <c r="E98" s="148" t="n">
        <v>0.0061</v>
      </c>
      <c r="F98" s="266" t="n">
        <v>4455.2</v>
      </c>
      <c r="G98" s="32">
        <f>ROUND(E98*F98,2)</f>
        <v/>
      </c>
      <c r="H98" s="188">
        <f>G98/$G$122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64" t="n">
        <v>72</v>
      </c>
      <c r="B99" s="147" t="inlineStr">
        <is>
          <t>08.3.08.02-0022</t>
        </is>
      </c>
      <c r="C99" s="263" t="inlineStr">
        <is>
          <t>Сталь угловая: 50х50 мм</t>
        </is>
      </c>
      <c r="D99" s="264" t="inlineStr">
        <is>
          <t>т</t>
        </is>
      </c>
      <c r="E99" s="148" t="n">
        <v>0.0045</v>
      </c>
      <c r="F99" s="266" t="n">
        <v>5763</v>
      </c>
      <c r="G99" s="32">
        <f>ROUND(E99*F99,2)</f>
        <v/>
      </c>
      <c r="H99" s="188">
        <f>G99/$G$122</f>
        <v/>
      </c>
      <c r="I99" s="32">
        <f>ROUND(F99*Прил.10!$D$13,2)</f>
        <v/>
      </c>
      <c r="J99" s="32">
        <f>ROUND(I99*E99,2)</f>
        <v/>
      </c>
    </row>
    <row r="100" outlineLevel="1" ht="14.25" customFormat="1" customHeight="1" s="12">
      <c r="A100" s="264" t="n">
        <v>73</v>
      </c>
      <c r="B100" s="147" t="inlineStr">
        <is>
          <t>01.7.15.07-0014</t>
        </is>
      </c>
      <c r="C100" s="263" t="inlineStr">
        <is>
          <t>Дюбели распорные полипропиленовые</t>
        </is>
      </c>
      <c r="D100" s="264" t="inlineStr">
        <is>
          <t>100 шт</t>
        </is>
      </c>
      <c r="E100" s="148" t="n">
        <v>0.2652</v>
      </c>
      <c r="F100" s="266" t="n">
        <v>86</v>
      </c>
      <c r="G100" s="32">
        <f>ROUND(E100*F100,2)</f>
        <v/>
      </c>
      <c r="H100" s="188">
        <f>G100/$G$122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64" t="n">
        <v>74</v>
      </c>
      <c r="B101" s="147" t="inlineStr">
        <is>
          <t>01.3.01.06-0050</t>
        </is>
      </c>
      <c r="C101" s="263" t="inlineStr">
        <is>
          <t>Смазка универсальная тугоплавкая УТ (консталин жировой)</t>
        </is>
      </c>
      <c r="D101" s="264" t="inlineStr">
        <is>
          <t>т</t>
        </is>
      </c>
      <c r="E101" s="148" t="n">
        <v>0.0011</v>
      </c>
      <c r="F101" s="266" t="n">
        <v>17500</v>
      </c>
      <c r="G101" s="32">
        <f>ROUND(E101*F101,2)</f>
        <v/>
      </c>
      <c r="H101" s="188">
        <f>G101/$G$122</f>
        <v/>
      </c>
      <c r="I101" s="32">
        <f>ROUND(F101*Прил.10!$D$13,2)</f>
        <v/>
      </c>
      <c r="J101" s="32">
        <f>ROUND(I101*E101,2)</f>
        <v/>
      </c>
    </row>
    <row r="102" outlineLevel="1" ht="25.5" customFormat="1" customHeight="1" s="12">
      <c r="A102" s="264" t="n">
        <v>75</v>
      </c>
      <c r="B102" s="147" t="inlineStr">
        <is>
          <t>02.3.01.02-0020</t>
        </is>
      </c>
      <c r="C102" s="263" t="inlineStr">
        <is>
          <t>Песок природный для строительных: растворов средний</t>
        </is>
      </c>
      <c r="D102" s="264" t="inlineStr">
        <is>
          <t>м3</t>
        </is>
      </c>
      <c r="E102" s="148" t="n">
        <v>0.315</v>
      </c>
      <c r="F102" s="266" t="n">
        <v>59.99</v>
      </c>
      <c r="G102" s="32">
        <f>ROUND(E102*F102,2)</f>
        <v/>
      </c>
      <c r="H102" s="188">
        <f>G102/$G$122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64" t="n">
        <v>76</v>
      </c>
      <c r="B103" s="147" t="inlineStr">
        <is>
          <t>01.2.01.02-0054</t>
        </is>
      </c>
      <c r="C103" s="263" t="inlineStr">
        <is>
          <t>Битумы нефтяные строительные марки: БН-90/10</t>
        </is>
      </c>
      <c r="D103" s="264" t="inlineStr">
        <is>
          <t>т</t>
        </is>
      </c>
      <c r="E103" s="148" t="n">
        <v>0.0126</v>
      </c>
      <c r="F103" s="266" t="n">
        <v>1383.1</v>
      </c>
      <c r="G103" s="32">
        <f>ROUND(E103*F103,2)</f>
        <v/>
      </c>
      <c r="H103" s="188">
        <f>G103/$G$122</f>
        <v/>
      </c>
      <c r="I103" s="32">
        <f>ROUND(F103*Прил.10!$D$13,2)</f>
        <v/>
      </c>
      <c r="J103" s="32">
        <f>ROUND(I103*E103,2)</f>
        <v/>
      </c>
    </row>
    <row r="104" outlineLevel="1" ht="38.25" customFormat="1" customHeight="1" s="12">
      <c r="A104" s="264" t="n">
        <v>77</v>
      </c>
      <c r="B104" s="147" t="inlineStr">
        <is>
          <t>11.1.03.01-0079</t>
        </is>
      </c>
      <c r="C104" s="263" t="inlineStr">
        <is>
          <t>Бруски обрезные хвойных пород длиной: 4-6,5 м, шириной 75-150 мм, толщиной 40-75 мм, III сорта</t>
        </is>
      </c>
      <c r="D104" s="264" t="inlineStr">
        <is>
          <t>м3</t>
        </is>
      </c>
      <c r="E104" s="148" t="n">
        <v>0.0123</v>
      </c>
      <c r="F104" s="266" t="n">
        <v>1287</v>
      </c>
      <c r="G104" s="32">
        <f>ROUND(E104*F104,2)</f>
        <v/>
      </c>
      <c r="H104" s="188">
        <f>G104/$G$122</f>
        <v/>
      </c>
      <c r="I104" s="32">
        <f>ROUND(F104*Прил.10!$D$13,2)</f>
        <v/>
      </c>
      <c r="J104" s="32">
        <f>ROUND(I104*E104,2)</f>
        <v/>
      </c>
    </row>
    <row r="105" outlineLevel="1" ht="25.5" customFormat="1" customHeight="1" s="12">
      <c r="A105" s="264" t="n">
        <v>78</v>
      </c>
      <c r="B105" s="147" t="inlineStr">
        <is>
          <t>08.3.08.02-0091</t>
        </is>
      </c>
      <c r="C105" s="263" t="inlineStr">
        <is>
          <t>Сталь угловая, марки Ст3, перфорированная УП 35х35 мм</t>
        </is>
      </c>
      <c r="D105" s="264" t="inlineStr">
        <is>
          <t>м</t>
        </is>
      </c>
      <c r="E105" s="148" t="n">
        <v>0.95</v>
      </c>
      <c r="F105" s="266" t="n">
        <v>15.13</v>
      </c>
      <c r="G105" s="32">
        <f>ROUND(E105*F105,2)</f>
        <v/>
      </c>
      <c r="H105" s="188">
        <f>G105/$G$122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64" t="n">
        <v>79</v>
      </c>
      <c r="B106" s="147" t="inlineStr">
        <is>
          <t>01.2.03.03-0044</t>
        </is>
      </c>
      <c r="C106" s="263" t="inlineStr">
        <is>
          <t>Мастика битумно-латексная кровельная</t>
        </is>
      </c>
      <c r="D106" s="264" t="inlineStr">
        <is>
          <t>т</t>
        </is>
      </c>
      <c r="E106" s="148" t="n">
        <v>0.0035</v>
      </c>
      <c r="F106" s="266" t="n">
        <v>3039.7</v>
      </c>
      <c r="G106" s="32">
        <f>ROUND(E106*F106,2)</f>
        <v/>
      </c>
      <c r="H106" s="188">
        <f>G106/$G$122</f>
        <v/>
      </c>
      <c r="I106" s="32">
        <f>ROUND(F106*Прил.10!$D$13,2)</f>
        <v/>
      </c>
      <c r="J106" s="32">
        <f>ROUND(I106*E106,2)</f>
        <v/>
      </c>
    </row>
    <row r="107" outlineLevel="1" ht="25.5" customFormat="1" customHeight="1" s="12">
      <c r="A107" s="264" t="n">
        <v>80</v>
      </c>
      <c r="B107" s="147" t="inlineStr">
        <is>
          <t>08.3.05.02-0052</t>
        </is>
      </c>
      <c r="C107" s="263" t="inlineStr">
        <is>
          <t>Сталь листовая горячекатаная марки Ст3 толщиной: 2-6 мм</t>
        </is>
      </c>
      <c r="D107" s="264" t="inlineStr">
        <is>
          <t>т</t>
        </is>
      </c>
      <c r="E107" s="148" t="n">
        <v>0.001</v>
      </c>
      <c r="F107" s="266" t="n">
        <v>5941.89</v>
      </c>
      <c r="G107" s="32">
        <f>ROUND(E107*F107,2)</f>
        <v/>
      </c>
      <c r="H107" s="188">
        <f>G107/$G$122</f>
        <v/>
      </c>
      <c r="I107" s="32">
        <f>ROUND(F107*Прил.10!$D$13,2)</f>
        <v/>
      </c>
      <c r="J107" s="32">
        <f>ROUND(I107*E107,2)</f>
        <v/>
      </c>
    </row>
    <row r="108" outlineLevel="1" ht="14.25" customFormat="1" customHeight="1" s="12">
      <c r="A108" s="264" t="n">
        <v>81</v>
      </c>
      <c r="B108" s="147" t="inlineStr">
        <is>
          <t>01.7.11.07-0054</t>
        </is>
      </c>
      <c r="C108" s="263" t="inlineStr">
        <is>
          <t>Электроды диаметром: 6 мм Э42</t>
        </is>
      </c>
      <c r="D108" s="264" t="inlineStr">
        <is>
          <t>т</t>
        </is>
      </c>
      <c r="E108" s="148" t="n">
        <v>0.0005999999999999999</v>
      </c>
      <c r="F108" s="266" t="n">
        <v>9424</v>
      </c>
      <c r="G108" s="32">
        <f>ROUND(E108*F108,2)</f>
        <v/>
      </c>
      <c r="H108" s="188">
        <f>G108/$G$122</f>
        <v/>
      </c>
      <c r="I108" s="32">
        <f>ROUND(F108*Прил.10!$D$13,2)</f>
        <v/>
      </c>
      <c r="J108" s="32">
        <f>ROUND(I108*E108,2)</f>
        <v/>
      </c>
    </row>
    <row r="109" outlineLevel="1" ht="25.5" customFormat="1" customHeight="1" s="12">
      <c r="A109" s="264" t="n">
        <v>82</v>
      </c>
      <c r="B109" s="147" t="inlineStr">
        <is>
          <t>01.7.07.12-0024</t>
        </is>
      </c>
      <c r="C109" s="263" t="inlineStr">
        <is>
          <t>Пленка полиэтиленовая толщиной: 0,15 мм</t>
        </is>
      </c>
      <c r="D109" s="264" t="inlineStr">
        <is>
          <t>м2</t>
        </is>
      </c>
      <c r="E109" s="148" t="n">
        <v>1.552</v>
      </c>
      <c r="F109" s="266" t="n">
        <v>3.62</v>
      </c>
      <c r="G109" s="32">
        <f>ROUND(E109*F109,2)</f>
        <v/>
      </c>
      <c r="H109" s="188">
        <f>G109/$G$122</f>
        <v/>
      </c>
      <c r="I109" s="32">
        <f>ROUND(F109*Прил.10!$D$13,2)</f>
        <v/>
      </c>
      <c r="J109" s="32">
        <f>ROUND(I109*E109,2)</f>
        <v/>
      </c>
    </row>
    <row r="110" outlineLevel="1" ht="25.5" customFormat="1" customHeight="1" s="12">
      <c r="A110" s="264" t="n">
        <v>83</v>
      </c>
      <c r="B110" s="147" t="inlineStr">
        <is>
          <t>03.1.02.03-0011</t>
        </is>
      </c>
      <c r="C110" s="263" t="inlineStr">
        <is>
          <t>Известь строительная: негашеная комовая, сорт I</t>
        </is>
      </c>
      <c r="D110" s="264" t="inlineStr">
        <is>
          <t>т</t>
        </is>
      </c>
      <c r="E110" s="148" t="n">
        <v>0.0071</v>
      </c>
      <c r="F110" s="266" t="n">
        <v>734.5</v>
      </c>
      <c r="G110" s="32">
        <f>ROUND(E110*F110,2)</f>
        <v/>
      </c>
      <c r="H110" s="188">
        <f>G110/$G$122</f>
        <v/>
      </c>
      <c r="I110" s="32">
        <f>ROUND(F110*Прил.10!$D$13,2)</f>
        <v/>
      </c>
      <c r="J110" s="32">
        <f>ROUND(I110*E110,2)</f>
        <v/>
      </c>
    </row>
    <row r="111" outlineLevel="1" ht="14.25" customFormat="1" customHeight="1" s="12">
      <c r="A111" s="264" t="n">
        <v>84</v>
      </c>
      <c r="B111" s="147" t="inlineStr">
        <is>
          <t>01.7.03.01-0001</t>
        </is>
      </c>
      <c r="C111" s="263" t="inlineStr">
        <is>
          <t>Вода</t>
        </is>
      </c>
      <c r="D111" s="264" t="inlineStr">
        <is>
          <t>м3</t>
        </is>
      </c>
      <c r="E111" s="148" t="n">
        <v>1.069</v>
      </c>
      <c r="F111" s="266" t="n">
        <v>2.44</v>
      </c>
      <c r="G111" s="32">
        <f>ROUND(E111*F111,2)</f>
        <v/>
      </c>
      <c r="H111" s="188">
        <f>G111/$G$122</f>
        <v/>
      </c>
      <c r="I111" s="32">
        <f>ROUND(F111*Прил.10!$D$13,2)</f>
        <v/>
      </c>
      <c r="J111" s="32">
        <f>ROUND(I111*E111,2)</f>
        <v/>
      </c>
    </row>
    <row r="112" outlineLevel="1" ht="38.25" customFormat="1" customHeight="1" s="12">
      <c r="A112" s="264" t="n">
        <v>85</v>
      </c>
      <c r="B112" s="147" t="inlineStr">
        <is>
          <t>11.1.03.05-0066</t>
        </is>
      </c>
      <c r="C112" s="263" t="inlineStr">
        <is>
          <t>Доски необрезные хвойных пород длиной: 2-3,75 м, все ширины, толщиной 32-40 мм, IV сорта</t>
        </is>
      </c>
      <c r="D112" s="264" t="inlineStr">
        <is>
          <t>м3</t>
        </is>
      </c>
      <c r="E112" s="148" t="n">
        <v>0.0018</v>
      </c>
      <c r="F112" s="266" t="n">
        <v>602</v>
      </c>
      <c r="G112" s="32">
        <f>ROUND(E112*F112,2)</f>
        <v/>
      </c>
      <c r="H112" s="188">
        <f>G112/$G$122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64" t="n">
        <v>86</v>
      </c>
      <c r="B113" s="147" t="inlineStr">
        <is>
          <t>01.7.15.03-0041</t>
        </is>
      </c>
      <c r="C113" s="263" t="inlineStr">
        <is>
          <t>Болты с гайками и шайбами строительные</t>
        </is>
      </c>
      <c r="D113" s="264" t="inlineStr">
        <is>
          <t>т</t>
        </is>
      </c>
      <c r="E113" s="148" t="n">
        <v>0.0001</v>
      </c>
      <c r="F113" s="266" t="n">
        <v>9040.01</v>
      </c>
      <c r="G113" s="32">
        <f>ROUND(E113*F113,2)</f>
        <v/>
      </c>
      <c r="H113" s="188">
        <f>G113/$G$122</f>
        <v/>
      </c>
      <c r="I113" s="32">
        <f>ROUND(F113*Прил.10!$D$13,2)</f>
        <v/>
      </c>
      <c r="J113" s="32">
        <f>ROUND(I113*E113,2)</f>
        <v/>
      </c>
    </row>
    <row r="114" outlineLevel="1" ht="14.25" customFormat="1" customHeight="1" s="12">
      <c r="A114" s="264" t="n">
        <v>87</v>
      </c>
      <c r="B114" s="147" t="inlineStr">
        <is>
          <t>01.7.15.07-0007</t>
        </is>
      </c>
      <c r="C114" s="263" t="inlineStr">
        <is>
          <t>Дюбели пластмассовые диаметр 14 мм</t>
        </is>
      </c>
      <c r="D114" s="264" t="inlineStr">
        <is>
          <t>100 шт</t>
        </is>
      </c>
      <c r="E114" s="148" t="n">
        <v>0.02</v>
      </c>
      <c r="F114" s="266" t="n">
        <v>26.6</v>
      </c>
      <c r="G114" s="32">
        <f>ROUND(E114*F114,2)</f>
        <v/>
      </c>
      <c r="H114" s="188">
        <f>G114/$G$122</f>
        <v/>
      </c>
      <c r="I114" s="32">
        <f>ROUND(F114*Прил.10!$D$13,2)</f>
        <v/>
      </c>
      <c r="J114" s="32">
        <f>ROUND(I114*E114,2)</f>
        <v/>
      </c>
    </row>
    <row r="115" outlineLevel="1" ht="14.25" customFormat="1" customHeight="1" s="12">
      <c r="A115" s="264" t="n">
        <v>88</v>
      </c>
      <c r="B115" s="147" t="inlineStr">
        <is>
          <t>01.7.15.14-0043</t>
        </is>
      </c>
      <c r="C115" s="263" t="inlineStr">
        <is>
          <t>Шуруп самонарезающий: (LN) 3,5/11 мм</t>
        </is>
      </c>
      <c r="D115" s="264" t="inlineStr">
        <is>
          <t>100 шт</t>
        </is>
      </c>
      <c r="E115" s="148" t="n">
        <v>0.2652</v>
      </c>
      <c r="F115" s="266" t="n">
        <v>2</v>
      </c>
      <c r="G115" s="32">
        <f>ROUND(E115*F115,2)</f>
        <v/>
      </c>
      <c r="H115" s="188">
        <f>G115/$G$122</f>
        <v/>
      </c>
      <c r="I115" s="32">
        <f>ROUND(F115*Прил.10!$D$13,2)</f>
        <v/>
      </c>
      <c r="J115" s="32">
        <f>ROUND(I115*E115,2)</f>
        <v/>
      </c>
    </row>
    <row r="116" outlineLevel="1" ht="38.25" customFormat="1" customHeight="1" s="12">
      <c r="A116" s="264" t="n">
        <v>89</v>
      </c>
      <c r="B116" s="147" t="inlineStr">
        <is>
          <t>02.2.05.04-0093</t>
        </is>
      </c>
      <c r="C116" s="263" t="inlineStr">
        <is>
          <t>Щебень из природного камня для строительных работ марка: 800, фракция 20-40 мм</t>
        </is>
      </c>
      <c r="D116" s="264" t="inlineStr">
        <is>
          <t>м3</t>
        </is>
      </c>
      <c r="E116" s="148" t="n">
        <v>0.0032</v>
      </c>
      <c r="F116" s="266" t="n">
        <v>108.4</v>
      </c>
      <c r="G116" s="32">
        <f>ROUND(E116*F116,2)</f>
        <v/>
      </c>
      <c r="H116" s="188">
        <f>G116/$G$122</f>
        <v/>
      </c>
      <c r="I116" s="32">
        <f>ROUND(F116*Прил.10!$D$13,2)</f>
        <v/>
      </c>
      <c r="J116" s="32">
        <f>ROUND(I116*E116,2)</f>
        <v/>
      </c>
    </row>
    <row r="117" outlineLevel="1" ht="25.5" customFormat="1" customHeight="1" s="12">
      <c r="A117" s="264" t="n">
        <v>90</v>
      </c>
      <c r="B117" s="147" t="inlineStr">
        <is>
          <t>01.7.15.03-0031</t>
        </is>
      </c>
      <c r="C117" s="263" t="inlineStr">
        <is>
          <t>Болты с гайками и шайбами оцинкованные, диаметр: 6 мм</t>
        </is>
      </c>
      <c r="D117" s="264" t="inlineStr">
        <is>
          <t>кг</t>
        </is>
      </c>
      <c r="E117" s="148" t="n">
        <v>0.01</v>
      </c>
      <c r="F117" s="266" t="n">
        <v>28.22</v>
      </c>
      <c r="G117" s="32">
        <f>ROUND(E117*F117,2)</f>
        <v/>
      </c>
      <c r="H117" s="188">
        <f>G117/$G$122</f>
        <v/>
      </c>
      <c r="I117" s="32">
        <f>ROUND(F117*Прил.10!$D$13,2)</f>
        <v/>
      </c>
      <c r="J117" s="32">
        <f>ROUND(I117*E117,2)</f>
        <v/>
      </c>
    </row>
    <row r="118" outlineLevel="1" ht="14.25" customFormat="1" customHeight="1" s="12">
      <c r="A118" s="264" t="n">
        <v>91</v>
      </c>
      <c r="B118" s="147" t="inlineStr">
        <is>
          <t>01.7.20.08-0051</t>
        </is>
      </c>
      <c r="C118" s="263" t="inlineStr">
        <is>
          <t>Ветошь</t>
        </is>
      </c>
      <c r="D118" s="264" t="inlineStr">
        <is>
          <t>кг</t>
        </is>
      </c>
      <c r="E118" s="148" t="n">
        <v>0.0789</v>
      </c>
      <c r="F118" s="266" t="n">
        <v>1.82</v>
      </c>
      <c r="G118" s="32">
        <f>ROUND(E118*F118,2)</f>
        <v/>
      </c>
      <c r="H118" s="188">
        <f>G118/$G$122</f>
        <v/>
      </c>
      <c r="I118" s="32">
        <f>ROUND(F118*Прил.10!$D$13,2)</f>
        <v/>
      </c>
      <c r="J118" s="32">
        <f>ROUND(I118*E118,2)</f>
        <v/>
      </c>
    </row>
    <row r="119" outlineLevel="1" ht="63.75" customFormat="1" customHeight="1" s="12">
      <c r="A119" s="264" t="n">
        <v>92</v>
      </c>
      <c r="B119" s="147" t="inlineStr">
        <is>
          <t>08.2.02.11-0007</t>
        </is>
      </c>
      <c r="C119" s="26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19" s="264" t="inlineStr">
        <is>
          <t>10 м</t>
        </is>
      </c>
      <c r="E119" s="148" t="n">
        <v>0.0001</v>
      </c>
      <c r="F119" s="266" t="n">
        <v>50.24</v>
      </c>
      <c r="G119" s="32">
        <f>ROUND(E119*F119,2)</f>
        <v/>
      </c>
      <c r="H119" s="188">
        <f>G119/$G$122</f>
        <v/>
      </c>
      <c r="I119" s="32">
        <f>ROUND(F119*Прил.10!$D$13,2)</f>
        <v/>
      </c>
      <c r="J119" s="32">
        <f>ROUND(I119*E119,2)</f>
        <v/>
      </c>
    </row>
    <row r="120" outlineLevel="1" ht="14.25" customFormat="1" customHeight="1" s="12">
      <c r="A120" s="264" t="n">
        <v>93</v>
      </c>
      <c r="B120" s="147" t="inlineStr">
        <is>
          <t>01.3.02.09-0022</t>
        </is>
      </c>
      <c r="C120" s="263" t="inlineStr">
        <is>
          <t>Пропан-бутан, смесь техническая</t>
        </is>
      </c>
      <c r="D120" s="264" t="inlineStr">
        <is>
          <t>кг</t>
        </is>
      </c>
      <c r="E120" s="148" t="n">
        <v>0.0016</v>
      </c>
      <c r="F120" s="266" t="n">
        <v>6.09</v>
      </c>
      <c r="G120" s="32">
        <f>ROUND(E120*F120,2)</f>
        <v/>
      </c>
      <c r="H120" s="188">
        <f>G120/$G$122</f>
        <v/>
      </c>
      <c r="I120" s="32">
        <f>ROUND(F120*Прил.10!$D$13,2)</f>
        <v/>
      </c>
      <c r="J120" s="32">
        <f>ROUND(I120*E120,2)</f>
        <v/>
      </c>
    </row>
    <row r="121" ht="14.25" customFormat="1" customHeight="1" s="12">
      <c r="A121" s="264" t="n"/>
      <c r="B121" s="264" t="n"/>
      <c r="C121" s="263" t="inlineStr">
        <is>
          <t>Итого прочие материалы</t>
        </is>
      </c>
      <c r="D121" s="264" t="n"/>
      <c r="E121" s="265" t="n"/>
      <c r="F121" s="266" t="n"/>
      <c r="G121" s="32">
        <f>SUM(G72:G120)</f>
        <v/>
      </c>
      <c r="H121" s="267">
        <f>G121/G122</f>
        <v/>
      </c>
      <c r="I121" s="32" t="n"/>
      <c r="J121" s="32">
        <f>SUM(J72:J120)</f>
        <v/>
      </c>
    </row>
    <row r="122" ht="14.25" customFormat="1" customHeight="1" s="12">
      <c r="A122" s="264" t="n"/>
      <c r="B122" s="264" t="n"/>
      <c r="C122" s="268" t="inlineStr">
        <is>
          <t>Итого по разделу «Материалы»</t>
        </is>
      </c>
      <c r="D122" s="264" t="n"/>
      <c r="E122" s="265" t="n"/>
      <c r="F122" s="266" t="n"/>
      <c r="G122" s="32">
        <f>G71+G121</f>
        <v/>
      </c>
      <c r="H122" s="267" t="n">
        <v>1</v>
      </c>
      <c r="I122" s="32" t="n"/>
      <c r="J122" s="32">
        <f>J71+J121</f>
        <v/>
      </c>
      <c r="L122" s="12">
        <f>G122*8.04</f>
        <v/>
      </c>
    </row>
    <row r="123" ht="14.25" customFormat="1" customHeight="1" s="12">
      <c r="A123" s="264" t="n"/>
      <c r="B123" s="264" t="n"/>
      <c r="C123" s="263" t="inlineStr">
        <is>
          <t>ИТОГО ПО РМ</t>
        </is>
      </c>
      <c r="D123" s="264" t="n"/>
      <c r="E123" s="265" t="n"/>
      <c r="F123" s="266" t="n"/>
      <c r="G123" s="32">
        <f>G16+G50+G122</f>
        <v/>
      </c>
      <c r="H123" s="267" t="n"/>
      <c r="I123" s="32" t="n"/>
      <c r="J123" s="32">
        <f>J16+J50+J122</f>
        <v/>
      </c>
    </row>
    <row r="124" ht="14.25" customFormat="1" customHeight="1" s="12">
      <c r="A124" s="264" t="n"/>
      <c r="B124" s="264" t="n"/>
      <c r="C124" s="263" t="inlineStr">
        <is>
          <t>Накладные расходы</t>
        </is>
      </c>
      <c r="D124" s="194">
        <f>ROUND(G124/(G$18+$G$16),2)</f>
        <v/>
      </c>
      <c r="E124" s="265" t="n"/>
      <c r="F124" s="266" t="n"/>
      <c r="G124" s="32" t="n">
        <v>16391.89</v>
      </c>
      <c r="H124" s="267" t="n"/>
      <c r="I124" s="32" t="n"/>
      <c r="J124" s="32">
        <f>ROUND(D124*(J16+J18),2)</f>
        <v/>
      </c>
    </row>
    <row r="125" ht="14.25" customFormat="1" customHeight="1" s="12">
      <c r="A125" s="264" t="n"/>
      <c r="B125" s="264" t="n"/>
      <c r="C125" s="263" t="inlineStr">
        <is>
          <t>Сметная прибыль</t>
        </is>
      </c>
      <c r="D125" s="194">
        <f>ROUND(G125/(G$16+G$18),2)</f>
        <v/>
      </c>
      <c r="E125" s="265" t="n"/>
      <c r="F125" s="266" t="n"/>
      <c r="G125" s="32" t="n">
        <v>11269.24</v>
      </c>
      <c r="H125" s="267" t="n"/>
      <c r="I125" s="32" t="n"/>
      <c r="J125" s="32">
        <f>ROUND(D125*(J16+J18),2)</f>
        <v/>
      </c>
    </row>
    <row r="126" ht="14.25" customFormat="1" customHeight="1" s="12">
      <c r="A126" s="264" t="n"/>
      <c r="B126" s="264" t="n"/>
      <c r="C126" s="263" t="inlineStr">
        <is>
          <t>Итого СМР (с НР и СП)</t>
        </is>
      </c>
      <c r="D126" s="264" t="n"/>
      <c r="E126" s="265" t="n"/>
      <c r="F126" s="266" t="n"/>
      <c r="G126" s="32">
        <f>G16+G50+G122+G124+G125</f>
        <v/>
      </c>
      <c r="H126" s="267" t="n"/>
      <c r="I126" s="32" t="n"/>
      <c r="J126" s="32">
        <f>J16+J50+J122+J124+J125</f>
        <v/>
      </c>
    </row>
    <row r="127" ht="14.25" customFormat="1" customHeight="1" s="12">
      <c r="A127" s="264" t="n"/>
      <c r="B127" s="264" t="n"/>
      <c r="C127" s="263" t="inlineStr">
        <is>
          <t>ВСЕГО СМР + ОБОРУДОВАНИЕ</t>
        </is>
      </c>
      <c r="D127" s="264" t="n"/>
      <c r="E127" s="265" t="n"/>
      <c r="F127" s="266" t="n"/>
      <c r="G127" s="32">
        <f>G126+G58</f>
        <v/>
      </c>
      <c r="H127" s="267" t="n"/>
      <c r="I127" s="32" t="n"/>
      <c r="J127" s="32">
        <f>J126+J58</f>
        <v/>
      </c>
    </row>
    <row r="128" ht="34.5" customFormat="1" customHeight="1" s="12">
      <c r="A128" s="264" t="n"/>
      <c r="B128" s="264" t="n"/>
      <c r="C128" s="263" t="inlineStr">
        <is>
          <t>ИТОГО ПОКАЗАТЕЛЬ НА ЕД. ИЗМ.</t>
        </is>
      </c>
      <c r="D128" s="264" t="inlineStr">
        <is>
          <t>ед.</t>
        </is>
      </c>
      <c r="E128" s="265" t="n">
        <v>1</v>
      </c>
      <c r="F128" s="266" t="n"/>
      <c r="G128" s="32">
        <f>G127/E128</f>
        <v/>
      </c>
      <c r="H128" s="267" t="n"/>
      <c r="I128" s="32" t="n"/>
      <c r="J128" s="32">
        <f>J127/E128</f>
        <v/>
      </c>
    </row>
    <row r="129" ht="34.5" customFormat="1" customHeight="1" s="12">
      <c r="A129" s="220" t="n"/>
      <c r="B129" s="220" t="n"/>
      <c r="C129" s="261" t="n"/>
      <c r="D129" s="220" t="n"/>
      <c r="E129" s="222" t="n"/>
      <c r="F129" s="223" t="n"/>
      <c r="G129" s="224" t="n"/>
      <c r="H129" s="225" t="n"/>
      <c r="I129" s="224" t="n"/>
      <c r="J129" s="224" t="n"/>
    </row>
    <row r="130" ht="23.25" customFormat="1" customHeight="1" s="12">
      <c r="A130" s="220" t="n"/>
      <c r="B130" s="220" t="n"/>
      <c r="C130" s="261" t="n"/>
      <c r="D130" s="220" t="n"/>
      <c r="E130" s="222" t="n"/>
      <c r="F130" s="223" t="n"/>
      <c r="G130" s="224" t="n"/>
      <c r="H130" s="225" t="n"/>
      <c r="I130" s="224" t="n"/>
      <c r="J130" s="224" t="n"/>
    </row>
    <row r="132" ht="14.25" customFormat="1" customHeight="1" s="12">
      <c r="A132" s="4" t="inlineStr">
        <is>
          <t>Составил ______________________    Е. М. Добровольская</t>
        </is>
      </c>
    </row>
    <row r="133" ht="14.25" customFormat="1" customHeight="1" s="12">
      <c r="A133" s="33" t="inlineStr">
        <is>
          <t xml:space="preserve">                         (подпись, инициалы, фамилия)</t>
        </is>
      </c>
    </row>
    <row r="134" ht="14.25" customFormat="1" customHeight="1" s="12">
      <c r="A134" s="4" t="n"/>
    </row>
    <row r="135" ht="14.25" customFormat="1" customHeight="1" s="12">
      <c r="A135" s="4" t="inlineStr">
        <is>
          <t>Проверил ______________________        А.В. Костянецкая</t>
        </is>
      </c>
    </row>
    <row r="136" ht="14.25" customFormat="1" customHeight="1" s="12">
      <c r="A136" s="33" t="inlineStr">
        <is>
          <t xml:space="preserve">                        (подпись, инициалы, фамилия)</t>
        </is>
      </c>
    </row>
  </sheetData>
  <mergeCells count="22">
    <mergeCell ref="H9:H10"/>
    <mergeCell ref="B60:J60"/>
    <mergeCell ref="A4:J4"/>
    <mergeCell ref="H2:J2"/>
    <mergeCell ref="B20:H20"/>
    <mergeCell ref="C9:C10"/>
    <mergeCell ref="E9:E10"/>
    <mergeCell ref="A7:H7"/>
    <mergeCell ref="B9:B10"/>
    <mergeCell ref="D9:D10"/>
    <mergeCell ref="B51:J51"/>
    <mergeCell ref="B52:H52"/>
    <mergeCell ref="B12:H12"/>
    <mergeCell ref="D6:J6"/>
    <mergeCell ref="A8:H8"/>
    <mergeCell ref="F9:G9"/>
    <mergeCell ref="B61:H61"/>
    <mergeCell ref="B17:H17"/>
    <mergeCell ref="A9:A10"/>
    <mergeCell ref="A6:C6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2" fitToHeight="0" cellComments="atEnd"/>
  <rowBreaks count="1" manualBreakCount="1">
    <brk id="10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21" sqref="B21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4" t="inlineStr">
        <is>
          <t>Приложение №6</t>
        </is>
      </c>
    </row>
    <row r="2" ht="21.75" customHeight="1">
      <c r="A2" s="274" t="n"/>
      <c r="B2" s="274" t="n"/>
      <c r="C2" s="274" t="n"/>
      <c r="D2" s="274" t="n"/>
      <c r="E2" s="274" t="n"/>
      <c r="F2" s="274" t="n"/>
      <c r="G2" s="274" t="n"/>
    </row>
    <row r="3">
      <c r="A3" s="226" t="inlineStr">
        <is>
          <t>Расчет стоимости оборудования</t>
        </is>
      </c>
    </row>
    <row r="4" ht="25.5" customHeight="1">
      <c r="A4" s="229" t="inlineStr">
        <is>
          <t>Наименование разрабатываемого показателя УНЦ - ТН (до трех вторичных обмоток) на три фазы с устройством фундамента напряжение 330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64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>
      <c r="A9" s="25" t="n"/>
      <c r="B9" s="263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>
      <c r="A10" s="264" t="n"/>
      <c r="B10" s="268" t="n"/>
      <c r="C10" s="263" t="inlineStr">
        <is>
          <t>ИТОГО ИНЖЕНЕРНОЕ ОБОРУДОВАНИЕ</t>
        </is>
      </c>
      <c r="D10" s="268" t="n"/>
      <c r="E10" s="105" t="n"/>
      <c r="F10" s="266" t="n"/>
      <c r="G10" s="266" t="n">
        <v>0</v>
      </c>
    </row>
    <row r="11">
      <c r="A11" s="264" t="n"/>
      <c r="B11" s="263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41.25" customHeight="1">
      <c r="A12" s="264" t="n">
        <v>1</v>
      </c>
      <c r="B12" s="147">
        <f>'Прил.5 Расчет СМР и ОБ'!B53</f>
        <v/>
      </c>
      <c r="C12" s="263">
        <f>'Прил.5 Расчет СМР и ОБ'!C53</f>
        <v/>
      </c>
      <c r="D12" s="263" t="inlineStr">
        <is>
          <t>шт.</t>
        </is>
      </c>
      <c r="E12" s="264" t="n">
        <v>3</v>
      </c>
      <c r="F12" s="266">
        <f>'Прил.5 Расчет СМР и ОБ'!F53</f>
        <v/>
      </c>
      <c r="G12" s="32">
        <f>E12*F12</f>
        <v/>
      </c>
    </row>
    <row r="13">
      <c r="A13" s="264" t="n">
        <v>2</v>
      </c>
      <c r="B13" s="147" t="inlineStr">
        <is>
          <t>Прайс из СД ОП</t>
        </is>
      </c>
      <c r="C13" s="263" t="inlineStr">
        <is>
          <t>Шкаф ЯЗН-11-АСКУЭ</t>
        </is>
      </c>
      <c r="D13" s="263" t="inlineStr">
        <is>
          <t>шт.</t>
        </is>
      </c>
      <c r="E13" s="264" t="n">
        <v>1</v>
      </c>
      <c r="F13" s="266">
        <f>'Прил.5 Расчет СМР и ОБ'!F55</f>
        <v/>
      </c>
      <c r="G13" s="32">
        <f>E13*F13</f>
        <v/>
      </c>
    </row>
    <row r="14">
      <c r="A14" s="264" t="n">
        <v>3</v>
      </c>
      <c r="B14" s="147" t="inlineStr">
        <is>
          <t>Прайс из СД ОП</t>
        </is>
      </c>
      <c r="C14" s="263" t="inlineStr">
        <is>
          <t>Шкаф догрузочных резисторов</t>
        </is>
      </c>
      <c r="D14" s="263" t="inlineStr">
        <is>
          <t>шт.</t>
        </is>
      </c>
      <c r="E14" s="264" t="n">
        <v>1</v>
      </c>
      <c r="F14" s="266">
        <f>'Прил.5 Расчет СМР и ОБ'!F56</f>
        <v/>
      </c>
      <c r="G14" s="32">
        <f>E14*F14</f>
        <v/>
      </c>
    </row>
    <row r="15" ht="25.5" customHeight="1">
      <c r="A15" s="264" t="n"/>
      <c r="B15" s="263" t="n"/>
      <c r="C15" s="263" t="inlineStr">
        <is>
          <t>ИТОГО ТЕХНОЛОГИЧЕСКОЕ ОБОРУДОВАНИЕ</t>
        </is>
      </c>
      <c r="D15" s="263" t="n"/>
      <c r="E15" s="278" t="n"/>
      <c r="F15" s="266" t="n"/>
      <c r="G15" s="32">
        <f>SUM(G12:G14)</f>
        <v/>
      </c>
    </row>
    <row r="16" ht="19.5" customHeight="1">
      <c r="A16" s="264" t="n"/>
      <c r="B16" s="263" t="n"/>
      <c r="C16" s="263" t="inlineStr">
        <is>
          <t>Всего по разделу «Оборудование»</t>
        </is>
      </c>
      <c r="D16" s="263" t="n"/>
      <c r="E16" s="278" t="n"/>
      <c r="F16" s="266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>
      <c r="A3" s="280" t="inlineStr">
        <is>
          <t>Расчет показателя УНЦ</t>
        </is>
      </c>
    </row>
    <row r="4" ht="24.75" customHeight="1">
      <c r="A4" s="280" t="n"/>
      <c r="B4" s="280" t="n"/>
      <c r="C4" s="280" t="n"/>
      <c r="D4" s="280" t="n"/>
    </row>
    <row r="5" ht="58.5" customHeight="1">
      <c r="A5" s="281" t="inlineStr">
        <is>
          <t xml:space="preserve">Наименование разрабатываемого показателя УНЦ - </t>
        </is>
      </c>
      <c r="D5" s="281">
        <f>'Прил.5 Расчет СМР и ОБ'!D6:J6</f>
        <v/>
      </c>
    </row>
    <row r="6" ht="19.9" customHeight="1">
      <c r="A6" s="281" t="inlineStr">
        <is>
          <t>Единица измерения  — 1 ед</t>
        </is>
      </c>
      <c r="D6" s="281" t="n"/>
    </row>
    <row r="7">
      <c r="A7" s="212" t="n"/>
      <c r="B7" s="212" t="n"/>
      <c r="C7" s="212" t="n"/>
      <c r="D7" s="212" t="n"/>
    </row>
    <row r="8" ht="14.45" customHeight="1">
      <c r="A8" s="282" t="inlineStr">
        <is>
          <t>Код показателя</t>
        </is>
      </c>
      <c r="B8" s="282" t="inlineStr">
        <is>
          <t>Наименование показателя</t>
        </is>
      </c>
      <c r="C8" s="282" t="inlineStr">
        <is>
          <t>Наименование РМ, входящих в состав показателя</t>
        </is>
      </c>
      <c r="D8" s="282" t="inlineStr">
        <is>
          <t>Норматив цены на 01.01.2023, тыс.руб.</t>
        </is>
      </c>
    </row>
    <row r="9" ht="15" customHeight="1">
      <c r="A9" s="330" t="n"/>
      <c r="B9" s="330" t="n"/>
      <c r="C9" s="330" t="n"/>
      <c r="D9" s="330" t="n"/>
    </row>
    <row r="10">
      <c r="A10" s="213" t="n">
        <v>1</v>
      </c>
      <c r="B10" s="213" t="n">
        <v>2</v>
      </c>
      <c r="C10" s="213" t="n">
        <v>3</v>
      </c>
      <c r="D10" s="213" t="n">
        <v>4</v>
      </c>
    </row>
    <row r="11" ht="41.45" customHeight="1">
      <c r="A11" s="213" t="inlineStr">
        <is>
          <t>И5-02-5</t>
        </is>
      </c>
      <c r="B11" s="213" t="inlineStr">
        <is>
          <t xml:space="preserve">УНЦ элементов ПС с устройством фундаментов </t>
        </is>
      </c>
      <c r="C11" s="214">
        <f>D5</f>
        <v/>
      </c>
      <c r="D11" s="215">
        <f>'Прил.4 РМ'!C41/1000</f>
        <v/>
      </c>
      <c r="E11" s="144" t="n"/>
    </row>
    <row r="12">
      <c r="A12" s="216" t="n"/>
      <c r="B12" s="217" t="n"/>
      <c r="C12" s="216" t="n"/>
      <c r="D12" s="216" t="n"/>
    </row>
    <row r="13">
      <c r="A13" s="212" t="inlineStr">
        <is>
          <t>Составил ______________________      Е. М. Добровольская</t>
        </is>
      </c>
      <c r="B13" s="218" t="n"/>
      <c r="C13" s="218" t="n"/>
      <c r="D13" s="216" t="n"/>
    </row>
    <row r="14">
      <c r="A14" s="219" t="inlineStr">
        <is>
          <t xml:space="preserve">                         (подпись, инициалы, фамилия)</t>
        </is>
      </c>
      <c r="B14" s="218" t="n"/>
      <c r="C14" s="218" t="n"/>
      <c r="D14" s="216" t="n"/>
    </row>
    <row r="15">
      <c r="A15" s="212" t="n"/>
      <c r="B15" s="218" t="n"/>
      <c r="C15" s="218" t="n"/>
      <c r="D15" s="216" t="n"/>
    </row>
    <row r="16">
      <c r="A16" s="212" t="inlineStr">
        <is>
          <t>Проверил ______________________        А.В. Костянецкая</t>
        </is>
      </c>
      <c r="B16" s="218" t="n"/>
      <c r="C16" s="218" t="n"/>
      <c r="D16" s="216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4" t="inlineStr">
        <is>
          <t>Приложение № 10</t>
        </is>
      </c>
    </row>
    <row r="5" ht="18.75" customHeight="1">
      <c r="B5" s="139" t="n"/>
    </row>
    <row r="6" ht="15.75" customHeight="1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83" t="inlineStr">
        <is>
          <t>*Стоимость ПНР принята на основании СД ОП</t>
        </is>
      </c>
    </row>
    <row r="8">
      <c r="B8" s="283" t="n"/>
      <c r="C8" s="283" t="n"/>
      <c r="D8" s="283" t="n"/>
      <c r="E8" s="283" t="n"/>
    </row>
    <row r="9" ht="47.25" customHeight="1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>
      <c r="B10" s="248" t="n">
        <v>1</v>
      </c>
      <c r="C10" s="248" t="n">
        <v>2</v>
      </c>
      <c r="D10" s="248" t="n">
        <v>3</v>
      </c>
    </row>
    <row r="11" ht="45" customHeight="1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29.25" customHeight="1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13.47</v>
      </c>
    </row>
    <row r="13" ht="29.25" customHeight="1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8.039999999999999</v>
      </c>
    </row>
    <row r="14" ht="30.75" customHeight="1">
      <c r="B14" s="24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8" t="n">
        <v>6.26</v>
      </c>
    </row>
    <row r="15" ht="89.25" customHeight="1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40" t="n">
        <v>0.039</v>
      </c>
    </row>
    <row r="16" ht="78.75" customHeight="1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40" t="n">
        <v>0.021</v>
      </c>
    </row>
    <row r="17" ht="34.5" customHeight="1">
      <c r="B17" s="248" t="inlineStr">
        <is>
          <t>Пусконаладочные работы*</t>
        </is>
      </c>
      <c r="C17" s="248" t="n"/>
      <c r="D17" s="248" t="inlineStr">
        <is>
          <t>Расчет</t>
        </is>
      </c>
    </row>
    <row r="18" ht="31.5" customHeight="1">
      <c r="B18" s="248" t="inlineStr">
        <is>
          <t>Строительный контроль</t>
        </is>
      </c>
      <c r="C18" s="248" t="inlineStr">
        <is>
          <t>Постановление Правительства РФ от 21.06.10 г. № 468</t>
        </is>
      </c>
      <c r="D18" s="140" t="n">
        <v>0.0214</v>
      </c>
    </row>
    <row r="19" ht="31.5" customHeight="1">
      <c r="B19" s="248" t="inlineStr">
        <is>
          <t>Авторский надзор - 0,2%</t>
        </is>
      </c>
      <c r="C19" s="248" t="inlineStr">
        <is>
          <t>Приказ от 4.08.2020 № 421/пр п.173</t>
        </is>
      </c>
      <c r="D19" s="140" t="n">
        <v>0.002</v>
      </c>
    </row>
    <row r="20" ht="24" customHeight="1">
      <c r="B20" s="248" t="inlineStr">
        <is>
          <t>Непредвиденные расходы</t>
        </is>
      </c>
      <c r="C20" s="248" t="inlineStr">
        <is>
          <t>Приказ от 4.08.2020 № 421/пр п.179</t>
        </is>
      </c>
      <c r="D20" s="140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C20" sqref="C20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6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128" t="inlineStr">
        <is>
          <t>№ пп.</t>
        </is>
      </c>
      <c r="B5" s="128" t="inlineStr">
        <is>
          <t>Наименование элемента</t>
        </is>
      </c>
      <c r="C5" s="128" t="inlineStr">
        <is>
          <t>Обозначение</t>
        </is>
      </c>
      <c r="D5" s="128" t="inlineStr">
        <is>
          <t>Формула</t>
        </is>
      </c>
      <c r="E5" s="128" t="inlineStr">
        <is>
          <t>Величина элемента</t>
        </is>
      </c>
      <c r="F5" s="128" t="inlineStr">
        <is>
          <t>Наименования обосновывающих документов</t>
        </is>
      </c>
      <c r="G5" s="127" t="n"/>
    </row>
    <row r="6" ht="15.75" customHeight="1">
      <c r="A6" s="128" t="n">
        <v>1</v>
      </c>
      <c r="B6" s="128" t="n">
        <v>2</v>
      </c>
      <c r="C6" s="128" t="n">
        <v>3</v>
      </c>
      <c r="D6" s="128" t="n">
        <v>4</v>
      </c>
      <c r="E6" s="128" t="n">
        <v>5</v>
      </c>
      <c r="F6" s="128" t="n">
        <v>6</v>
      </c>
      <c r="G6" s="127" t="n"/>
    </row>
    <row r="7" ht="110.25" customHeight="1">
      <c r="A7" s="129" t="inlineStr">
        <is>
          <t>1.1</t>
        </is>
      </c>
      <c r="B7" s="1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61" t="n">
        <v>47872.94</v>
      </c>
      <c r="F7" s="1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129" t="inlineStr">
        <is>
          <t>1.2</t>
        </is>
      </c>
      <c r="B8" s="130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131">
        <f>1973/12</f>
        <v/>
      </c>
      <c r="F8" s="130" t="inlineStr">
        <is>
          <t>Производственный календарь 2023 год
(40-часов.неделя)</t>
        </is>
      </c>
      <c r="G8" s="132" t="n"/>
    </row>
    <row r="9" ht="15.75" customHeight="1">
      <c r="A9" s="129" t="inlineStr">
        <is>
          <t>1.3</t>
        </is>
      </c>
      <c r="B9" s="130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131" t="n">
        <v>1</v>
      </c>
      <c r="F9" s="130" t="n"/>
      <c r="G9" s="132" t="n"/>
    </row>
    <row r="10" ht="15.75" customHeight="1">
      <c r="A10" s="129" t="inlineStr">
        <is>
          <t>1.4</t>
        </is>
      </c>
      <c r="B10" s="130" t="inlineStr">
        <is>
          <t>Средний разряд работ</t>
        </is>
      </c>
      <c r="C10" s="248" t="n"/>
      <c r="D10" s="248" t="n"/>
      <c r="E10" s="133" t="n">
        <v>3.6</v>
      </c>
      <c r="F10" s="130" t="inlineStr">
        <is>
          <t>РТМ</t>
        </is>
      </c>
      <c r="G10" s="132" t="n"/>
    </row>
    <row r="11" ht="78.75" customHeight="1">
      <c r="A11" s="129" t="inlineStr">
        <is>
          <t>1.5</t>
        </is>
      </c>
      <c r="B11" s="130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134" t="n">
        <v>1.278</v>
      </c>
      <c r="F11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12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8" t="inlineStr">
        <is>
          <t>Кинф</t>
        </is>
      </c>
      <c r="D12" s="248" t="inlineStr">
        <is>
          <t>-</t>
        </is>
      </c>
      <c r="E12" s="13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9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138">
        <f>((E7*E9/E8)*E11)*E12</f>
        <v/>
      </c>
      <c r="F13" s="1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  <row r="14">
      <c r="A14" s="195" t="n"/>
      <c r="B14" s="196" t="inlineStr">
        <is>
          <t>Инженер I категории</t>
        </is>
      </c>
      <c r="C14" s="195" t="n"/>
      <c r="D14" s="195" t="n"/>
      <c r="E14" s="195" t="n"/>
      <c r="F14" s="195" t="n"/>
    </row>
    <row r="15" ht="63.75" customHeight="1">
      <c r="A15" s="197" t="inlineStr">
        <is>
          <t>1.1</t>
        </is>
      </c>
      <c r="B15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9" t="inlineStr">
        <is>
          <t>С1ср</t>
        </is>
      </c>
      <c r="D15" s="199" t="inlineStr">
        <is>
          <t>-</t>
        </is>
      </c>
      <c r="E15" s="200" t="n">
        <v>43361</v>
      </c>
      <c r="F15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7" t="inlineStr">
        <is>
          <t>1.2</t>
        </is>
      </c>
      <c r="B16" s="198" t="inlineStr">
        <is>
          <t>Среднегодовое нормативное число часов работы одного рабочего в месяц, часы (ч.)</t>
        </is>
      </c>
      <c r="C16" s="199" t="inlineStr">
        <is>
          <t>tср</t>
        </is>
      </c>
      <c r="D16" s="199" t="inlineStr">
        <is>
          <t>1973ч/12мес.</t>
        </is>
      </c>
      <c r="E16" s="200">
        <f>1973/12</f>
        <v/>
      </c>
      <c r="F16" s="198" t="inlineStr">
        <is>
          <t>Производственный календарь 2023 год
(40-часов.неделя)</t>
        </is>
      </c>
    </row>
    <row r="17">
      <c r="A17" s="197" t="inlineStr">
        <is>
          <t>1.3</t>
        </is>
      </c>
      <c r="B17" s="198" t="inlineStr">
        <is>
          <t>Коэффициент увеличения</t>
        </is>
      </c>
      <c r="C17" s="199" t="inlineStr">
        <is>
          <t>Кув</t>
        </is>
      </c>
      <c r="D17" s="199" t="inlineStr">
        <is>
          <t>-</t>
        </is>
      </c>
      <c r="E17" s="200" t="n">
        <v>1</v>
      </c>
      <c r="F17" s="198" t="n"/>
    </row>
    <row r="18">
      <c r="A18" s="197" t="inlineStr">
        <is>
          <t>1.4</t>
        </is>
      </c>
      <c r="B18" s="198" t="inlineStr">
        <is>
          <t>Средний разряд работ</t>
        </is>
      </c>
      <c r="C18" s="199" t="n"/>
      <c r="D18" s="199" t="n"/>
      <c r="E18" s="201" t="n">
        <v>1</v>
      </c>
      <c r="F18" s="198" t="inlineStr">
        <is>
          <t>РТМ</t>
        </is>
      </c>
    </row>
    <row r="19" ht="51" customHeight="1">
      <c r="A19" s="197" t="inlineStr">
        <is>
          <t>1.5</t>
        </is>
      </c>
      <c r="B19" s="198" t="inlineStr">
        <is>
          <t>Тарифный коэффициент среднего разряда работ</t>
        </is>
      </c>
      <c r="C19" s="199" t="inlineStr">
        <is>
          <t>КТ</t>
        </is>
      </c>
      <c r="D19" s="199" t="inlineStr">
        <is>
          <t>-</t>
        </is>
      </c>
      <c r="E19" s="202" t="n">
        <v>2.15</v>
      </c>
      <c r="F19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7" t="inlineStr">
        <is>
          <t>1.6</t>
        </is>
      </c>
      <c r="B20" s="203" t="inlineStr">
        <is>
          <t>Коэффициент инфляции, определяемый поквартально</t>
        </is>
      </c>
      <c r="C20" s="199" t="inlineStr">
        <is>
          <t>Кинф</t>
        </is>
      </c>
      <c r="D20" s="199" t="inlineStr">
        <is>
          <t>-</t>
        </is>
      </c>
      <c r="E20" s="204" t="n">
        <v>1.139</v>
      </c>
      <c r="F20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7" t="inlineStr">
        <is>
          <t>1.7</t>
        </is>
      </c>
      <c r="B21" s="206" t="inlineStr">
        <is>
          <t>Размер средств на оплату труда рабочих-строителей в текущем уровне цен (ФОТи.тек.), руб/чел.-ч</t>
        </is>
      </c>
      <c r="C21" s="199" t="inlineStr">
        <is>
          <t>ФОТр.тек.</t>
        </is>
      </c>
      <c r="D21" s="199" t="inlineStr">
        <is>
          <t>(С1ср/tср*КТ*Т*Кув)*Кинф</t>
        </is>
      </c>
      <c r="E21" s="207">
        <f>((E15*E17/E16)*E19)*E20</f>
        <v/>
      </c>
      <c r="F21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5" t="n"/>
      <c r="B22" s="196" t="inlineStr">
        <is>
          <t>Инженер II категории</t>
        </is>
      </c>
      <c r="C22" s="195" t="n"/>
      <c r="D22" s="195" t="n"/>
      <c r="E22" s="195" t="n"/>
      <c r="F22" s="195" t="n"/>
    </row>
    <row r="23" ht="63.75" customHeight="1">
      <c r="A23" s="197" t="inlineStr">
        <is>
          <t>1.1</t>
        </is>
      </c>
      <c r="B23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9" t="inlineStr">
        <is>
          <t>С1ср</t>
        </is>
      </c>
      <c r="D23" s="199" t="inlineStr">
        <is>
          <t>-</t>
        </is>
      </c>
      <c r="E23" s="200" t="n">
        <v>43361</v>
      </c>
      <c r="F23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7" t="inlineStr">
        <is>
          <t>1.2</t>
        </is>
      </c>
      <c r="B24" s="198" t="inlineStr">
        <is>
          <t>Среднегодовое нормативное число часов работы одного рабочего в месяц, часы (ч.)</t>
        </is>
      </c>
      <c r="C24" s="199" t="inlineStr">
        <is>
          <t>tср</t>
        </is>
      </c>
      <c r="D24" s="199" t="inlineStr">
        <is>
          <t>1973ч/12мес.</t>
        </is>
      </c>
      <c r="E24" s="200">
        <f>1973/12</f>
        <v/>
      </c>
      <c r="F24" s="198" t="inlineStr">
        <is>
          <t>Производственный календарь 2023 год
(40-часов.неделя)</t>
        </is>
      </c>
    </row>
    <row r="25">
      <c r="A25" s="197" t="inlineStr">
        <is>
          <t>1.3</t>
        </is>
      </c>
      <c r="B25" s="198" t="inlineStr">
        <is>
          <t>Коэффициент увеличения</t>
        </is>
      </c>
      <c r="C25" s="199" t="inlineStr">
        <is>
          <t>Кув</t>
        </is>
      </c>
      <c r="D25" s="199" t="inlineStr">
        <is>
          <t>-</t>
        </is>
      </c>
      <c r="E25" s="200" t="n">
        <v>1</v>
      </c>
      <c r="F25" s="198" t="n"/>
    </row>
    <row r="26">
      <c r="A26" s="197" t="inlineStr">
        <is>
          <t>1.4</t>
        </is>
      </c>
      <c r="B26" s="198" t="inlineStr">
        <is>
          <t>Средний разряд работ</t>
        </is>
      </c>
      <c r="C26" s="199" t="n"/>
      <c r="D26" s="199" t="n"/>
      <c r="E26" s="201" t="n">
        <v>1</v>
      </c>
      <c r="F26" s="198" t="inlineStr">
        <is>
          <t>РТМ</t>
        </is>
      </c>
    </row>
    <row r="27" ht="51" customHeight="1">
      <c r="A27" s="197" t="inlineStr">
        <is>
          <t>1.5</t>
        </is>
      </c>
      <c r="B27" s="198" t="inlineStr">
        <is>
          <t>Тарифный коэффициент среднего разряда работ</t>
        </is>
      </c>
      <c r="C27" s="199" t="inlineStr">
        <is>
          <t>КТ</t>
        </is>
      </c>
      <c r="D27" s="199" t="inlineStr">
        <is>
          <t>-</t>
        </is>
      </c>
      <c r="E27" s="202" t="n">
        <v>1.96</v>
      </c>
      <c r="F27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7" t="inlineStr">
        <is>
          <t>1.6</t>
        </is>
      </c>
      <c r="B28" s="203" t="inlineStr">
        <is>
          <t>Коэффициент инфляции, определяемый поквартально</t>
        </is>
      </c>
      <c r="C28" s="199" t="inlineStr">
        <is>
          <t>Кинф</t>
        </is>
      </c>
      <c r="D28" s="199" t="inlineStr">
        <is>
          <t>-</t>
        </is>
      </c>
      <c r="E28" s="204" t="n">
        <v>1.139</v>
      </c>
      <c r="F28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7" t="inlineStr">
        <is>
          <t>1.7</t>
        </is>
      </c>
      <c r="B29" s="206" t="inlineStr">
        <is>
          <t>Размер средств на оплату труда рабочих-строителей в текущем уровне цен (ФОТи.тек.), руб/чел.-ч</t>
        </is>
      </c>
      <c r="C29" s="199" t="inlineStr">
        <is>
          <t>ФОТр.тек.</t>
        </is>
      </c>
      <c r="D29" s="199" t="inlineStr">
        <is>
          <t>(С1ср/tср*КТ*Т*Кув)*Кинф</t>
        </is>
      </c>
      <c r="E29" s="207">
        <f>((E23*E25/E24)*E27)*E28</f>
        <v/>
      </c>
      <c r="F29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2025-01-24T12:02:10Z</dcterms:modified>
  <cp:lastModifiedBy>Danil</cp:lastModifiedBy>
  <cp:lastPrinted>2023-11-27T14:08:57Z</cp:lastPrinted>
</cp:coreProperties>
</file>