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'Прил.3'!$A$1:$H$121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0.00000"/>
    <numFmt numFmtId="172" formatCode="0.000"/>
    <numFmt numFmtId="173" formatCode="#,##0.0000"/>
    <numFmt numFmtId="174" formatCode="#,##0.0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169" fontId="13" fillId="0" borderId="0" pivotButton="0" quotePrefix="0" xfId="0"/>
    <xf numFmtId="171" fontId="1" fillId="0" borderId="1" applyAlignment="1" pivotButton="0" quotePrefix="0" xfId="0">
      <alignment horizontal="center" vertical="top"/>
    </xf>
    <xf numFmtId="4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3" fontId="1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center" wrapText="1"/>
    </xf>
    <xf numFmtId="174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2" fontId="25" fillId="0" borderId="1" applyAlignment="1" pivotButton="0" quotePrefix="0" xfId="0">
      <alignment vertical="center" wrapText="1"/>
    </xf>
    <xf numFmtId="2" fontId="25" fillId="0" borderId="5" applyAlignment="1" pivotButton="0" quotePrefix="0" xfId="0">
      <alignment vertical="center" wrapText="1"/>
    </xf>
    <xf numFmtId="2" fontId="25" fillId="0" borderId="2" applyAlignment="1" pivotButton="0" quotePrefix="0" xfId="0">
      <alignment vertical="center" wrapText="1"/>
    </xf>
    <xf numFmtId="2" fontId="25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5" borderId="0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D26" sqref="D26"/>
    </sheetView>
  </sheetViews>
  <sheetFormatPr baseColWidth="8" defaultRowHeight="15"/>
  <cols>
    <col width="36.85546875" customWidth="1" min="3" max="3"/>
    <col width="49.5703125" customWidth="1" style="284" min="4" max="4"/>
  </cols>
  <sheetData>
    <row r="3" ht="15.75" customHeight="1">
      <c r="B3" s="244" t="inlineStr">
        <is>
          <t>Приложение № 1</t>
        </is>
      </c>
    </row>
    <row r="4" ht="18.75" customHeight="1">
      <c r="B4" s="245" t="inlineStr">
        <is>
          <t>Сравнительная таблица отбора объекта-представителя</t>
        </is>
      </c>
    </row>
    <row r="5" ht="84" customHeight="1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43" t="inlineStr">
        <is>
          <t>Наименование разрабатываемого показателя УНЦ — ТН (четыре вторичные обмотки) на три фазы с устройством фундамента напряжение 110 кВ</t>
        </is>
      </c>
    </row>
    <row r="8" ht="31.5" customHeight="1">
      <c r="B8" s="243" t="inlineStr">
        <is>
          <t>Сопоставимый уровень цен: 2 квартал 2016 г</t>
        </is>
      </c>
    </row>
    <row r="9" ht="15.75" customHeight="1">
      <c r="B9" s="243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>Объект-представитель</t>
        </is>
      </c>
    </row>
    <row r="12" ht="41.25" customHeight="1">
      <c r="B12" s="249" t="n">
        <v>1</v>
      </c>
      <c r="C12" s="119" t="inlineStr">
        <is>
          <t>Наименование объекта-представителя</t>
        </is>
      </c>
      <c r="D12" s="249" t="inlineStr">
        <is>
          <t>ПС Киембай (МЭС Урала)</t>
        </is>
      </c>
    </row>
    <row r="13" ht="31.5" customHeight="1">
      <c r="B13" s="249" t="n">
        <v>2</v>
      </c>
      <c r="C13" s="119" t="inlineStr">
        <is>
          <t>Наименование субъекта Российской Федерации</t>
        </is>
      </c>
      <c r="D13" s="249" t="inlineStr">
        <is>
          <t>Оренбургская область</t>
        </is>
      </c>
    </row>
    <row r="14" ht="15.75" customHeight="1">
      <c r="B14" s="249" t="n">
        <v>3</v>
      </c>
      <c r="C14" s="119" t="inlineStr">
        <is>
          <t>Климатический район и подрайон</t>
        </is>
      </c>
      <c r="D14" s="249" t="inlineStr">
        <is>
          <t>IIIA</t>
        </is>
      </c>
    </row>
    <row r="15" ht="15.75" customHeight="1">
      <c r="B15" s="249" t="n">
        <v>4</v>
      </c>
      <c r="C15" s="119" t="inlineStr">
        <is>
          <t>Мощность объекта</t>
        </is>
      </c>
      <c r="D15" s="249" t="inlineStr">
        <is>
          <t>Трансформатор - 2 компл</t>
        </is>
      </c>
    </row>
    <row r="16" ht="185.25" customHeight="1">
      <c r="B16" s="24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 xml:space="preserve">Трансформатор напряжения 110 кВ
</t>
        </is>
      </c>
    </row>
    <row r="17" ht="95.25" customHeight="1">
      <c r="B17" s="24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'Прил.2 Расч стоим'!J12</f>
        <v/>
      </c>
    </row>
    <row r="18" ht="15.75" customHeight="1">
      <c r="B18" s="215" t="inlineStr">
        <is>
          <t>6.1</t>
        </is>
      </c>
      <c r="C18" s="119" t="inlineStr">
        <is>
          <t>строительно-монтажные работы</t>
        </is>
      </c>
      <c r="D18" s="225">
        <f>'Прил.2 Расч стоим'!G12</f>
        <v/>
      </c>
    </row>
    <row r="19" ht="15.75" customHeight="1">
      <c r="B19" s="215" t="inlineStr">
        <is>
          <t>6.2</t>
        </is>
      </c>
      <c r="C19" s="119" t="inlineStr">
        <is>
          <t>оборудование и инвентарь</t>
        </is>
      </c>
      <c r="D19" s="225">
        <f>'Прил.2 Расч стоим'!H12</f>
        <v/>
      </c>
    </row>
    <row r="20" ht="15.75" customHeight="1">
      <c r="B20" s="215" t="inlineStr">
        <is>
          <t>6.3</t>
        </is>
      </c>
      <c r="C20" s="119" t="inlineStr">
        <is>
          <t>пусконаладочные работы</t>
        </is>
      </c>
      <c r="D20" s="225">
        <f>ROUND(D19*7%*0.8,2)</f>
        <v/>
      </c>
    </row>
    <row r="21" ht="31.5" customHeight="1">
      <c r="B21" s="215" t="inlineStr">
        <is>
          <t>6.4</t>
        </is>
      </c>
      <c r="C21" s="119" t="inlineStr">
        <is>
          <t>прочие и лимитированные затраты</t>
        </is>
      </c>
      <c r="D21" s="225">
        <f>D17-D18-D19-D20</f>
        <v/>
      </c>
    </row>
    <row r="22" ht="15.75" customHeight="1">
      <c r="B22" s="249" t="n">
        <v>7</v>
      </c>
      <c r="C22" s="119" t="inlineStr">
        <is>
          <t>Сопоставимый уровень цен</t>
        </is>
      </c>
      <c r="D22" s="215" t="inlineStr">
        <is>
          <t>2 квартал 2016 г</t>
        </is>
      </c>
    </row>
    <row r="23" ht="110.25" customHeight="1">
      <c r="B23" s="24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</f>
        <v/>
      </c>
    </row>
    <row r="24" ht="61.5" customHeight="1">
      <c r="B24" s="24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5">
        <f>D23/2</f>
        <v/>
      </c>
    </row>
    <row r="25" ht="37.5" customHeight="1">
      <c r="B25" s="122" t="n"/>
      <c r="C25" s="123" t="n"/>
      <c r="D25" s="199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44" t="inlineStr">
        <is>
          <t>Приложение № 2</t>
        </is>
      </c>
    </row>
    <row r="4" ht="15.75" customHeight="1">
      <c r="B4" s="2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43" t="inlineStr">
        <is>
          <t>Наименование разрабатываемого показателя УНЦ - ТН (четыре вторичные обмотки) на три фазы с устройством фундамента напряжение 110 кВ</t>
        </is>
      </c>
    </row>
    <row r="7" ht="15.75" customHeight="1">
      <c r="B7" s="243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>
      <c r="B10" s="330" t="n"/>
      <c r="C10" s="330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2 кв. 2016 г., тыс. руб.</t>
        </is>
      </c>
      <c r="G10" s="328" t="n"/>
      <c r="H10" s="328" t="n"/>
      <c r="I10" s="328" t="n"/>
      <c r="J10" s="329" t="n"/>
    </row>
    <row r="11" ht="31.5" customHeight="1">
      <c r="B11" s="331" t="n"/>
      <c r="C11" s="331" t="n"/>
      <c r="D11" s="331" t="n"/>
      <c r="E11" s="331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</row>
    <row r="12" ht="81" customFormat="1" customHeight="1" s="220">
      <c r="B12" s="213" t="n">
        <v>1</v>
      </c>
      <c r="C12" s="249" t="inlineStr">
        <is>
          <t>Трансформатор напряжения 110 кВ</t>
        </is>
      </c>
      <c r="D12" s="215" t="inlineStr">
        <is>
          <t>ЛС 02-01-02, ЛС 02-01-03</t>
        </is>
      </c>
      <c r="E12" s="216" t="n"/>
      <c r="F12" s="217" t="n"/>
      <c r="G12" s="217">
        <f>65101*5.09/1000</f>
        <v/>
      </c>
      <c r="H12" s="217">
        <f>957149*4.28/1000</f>
        <v/>
      </c>
      <c r="I12" s="218">
        <f>210749*5.09/1000</f>
        <v/>
      </c>
      <c r="J12" s="219">
        <f>SUM(F12:I12)</f>
        <v/>
      </c>
    </row>
    <row r="13" ht="15.75" customHeight="1">
      <c r="B13" s="247" t="inlineStr">
        <is>
          <t>Всего по объекту:</t>
        </is>
      </c>
      <c r="C13" s="328" t="n"/>
      <c r="D13" s="328" t="n"/>
      <c r="E13" s="329" t="n"/>
      <c r="F13" s="224">
        <f>F12</f>
        <v/>
      </c>
      <c r="G13" s="224">
        <f>G12</f>
        <v/>
      </c>
      <c r="H13" s="224">
        <f>H12</f>
        <v/>
      </c>
      <c r="I13" s="224">
        <f>I12</f>
        <v/>
      </c>
      <c r="J13" s="222">
        <f>J12</f>
        <v/>
      </c>
    </row>
    <row r="14" ht="28.5" customHeight="1">
      <c r="B14" s="247" t="inlineStr">
        <is>
          <t>Всего по объекту в сопоставимом уровне цен 2 кв. 2016 г:</t>
        </is>
      </c>
      <c r="C14" s="328" t="n"/>
      <c r="D14" s="328" t="n"/>
      <c r="E14" s="329" t="n"/>
      <c r="F14" s="223">
        <f>F13</f>
        <v/>
      </c>
      <c r="G14" s="223">
        <f>G13</f>
        <v/>
      </c>
      <c r="H14" s="223">
        <f>H13</f>
        <v/>
      </c>
      <c r="I14" s="223">
        <f>I13</f>
        <v/>
      </c>
      <c r="J14" s="224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1"/>
  <sheetViews>
    <sheetView view="pageBreakPreview" topLeftCell="A99" zoomScale="85" workbookViewId="0">
      <selection activeCell="D130" sqref="D13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hidden="1" width="10.140625" customWidth="1" min="9" max="9"/>
  </cols>
  <sheetData>
    <row r="2" ht="15.75" customHeight="1">
      <c r="A2" s="244" t="inlineStr">
        <is>
          <t xml:space="preserve">Приложение № 3 </t>
        </is>
      </c>
      <c r="I2" s="122" t="n"/>
    </row>
    <row r="3" ht="18.75" customHeight="1">
      <c r="A3" s="245" t="inlineStr">
        <is>
          <t>Объектная ресурсная ведомость</t>
        </is>
      </c>
    </row>
    <row r="4" ht="25.5" customHeight="1">
      <c r="B4" s="166" t="n"/>
      <c r="C4" s="25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8" t="n"/>
      <c r="D5" s="148" t="n"/>
      <c r="E5" s="148" t="n"/>
      <c r="F5" s="148" t="n"/>
      <c r="G5" s="148" t="n"/>
      <c r="H5" s="149" t="n"/>
    </row>
    <row r="6" ht="15" customHeight="1">
      <c r="A6" s="258" t="inlineStr">
        <is>
          <t>Наименование разрабатываемого показателя УНЦ - ТН (четыре вторичные обмотки) на три фазы с устройством фундамента напряжение 110 кВ</t>
        </is>
      </c>
    </row>
    <row r="7" ht="14.25" customHeight="1"/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9" t="inlineStr">
        <is>
          <t>п/п</t>
        </is>
      </c>
      <c r="B9" s="249" t="inlineStr">
        <is>
          <t>№ЛСР</t>
        </is>
      </c>
      <c r="C9" s="249" t="inlineStr">
        <is>
          <t>Код ресурса</t>
        </is>
      </c>
      <c r="D9" s="249" t="inlineStr">
        <is>
          <t>Наименование ресурса</t>
        </is>
      </c>
      <c r="E9" s="249" t="inlineStr">
        <is>
          <t>Ед. изм.</t>
        </is>
      </c>
      <c r="F9" s="249" t="inlineStr">
        <is>
          <t>Кол-во единиц по данным объекта-представителя</t>
        </is>
      </c>
      <c r="G9" s="249" t="inlineStr">
        <is>
          <t>Сметная стоимость в ценах на 01.01.2000 (руб.)</t>
        </is>
      </c>
      <c r="H9" s="329" t="n"/>
    </row>
    <row r="10" ht="40.5" customHeight="1">
      <c r="A10" s="331" t="n"/>
      <c r="B10" s="331" t="n"/>
      <c r="C10" s="331" t="n"/>
      <c r="D10" s="331" t="n"/>
      <c r="E10" s="331" t="n"/>
      <c r="F10" s="331" t="n"/>
      <c r="G10" s="249" t="inlineStr">
        <is>
          <t>на ед.изм.</t>
        </is>
      </c>
      <c r="H10" s="249" t="inlineStr">
        <is>
          <t>общая</t>
        </is>
      </c>
    </row>
    <row r="11" ht="15.75" customHeight="1">
      <c r="A11" s="249" t="n">
        <v>1</v>
      </c>
      <c r="B11" s="156" t="n"/>
      <c r="C11" s="249" t="n">
        <v>2</v>
      </c>
      <c r="D11" s="249" t="inlineStr">
        <is>
          <t>З</t>
        </is>
      </c>
      <c r="E11" s="249" t="n">
        <v>4</v>
      </c>
      <c r="F11" s="249" t="n">
        <v>5</v>
      </c>
      <c r="G11" s="156" t="n">
        <v>6</v>
      </c>
      <c r="H11" s="156" t="n">
        <v>7</v>
      </c>
    </row>
    <row r="12" ht="15" customHeight="1">
      <c r="A12" s="254" t="inlineStr">
        <is>
          <t>Затраты труда рабочих</t>
        </is>
      </c>
      <c r="B12" s="328" t="n"/>
      <c r="C12" s="328" t="n"/>
      <c r="D12" s="329" t="n"/>
      <c r="E12" s="157" t="n"/>
      <c r="F12" s="172">
        <f>SUM(F13:F25)</f>
        <v/>
      </c>
      <c r="G12" s="157" t="n"/>
      <c r="H12" s="173">
        <f>SUM(H13:H25)</f>
        <v/>
      </c>
    </row>
    <row r="13">
      <c r="A13" s="146" t="inlineStr">
        <is>
          <t>1</t>
        </is>
      </c>
      <c r="B13" s="146" t="n"/>
      <c r="C13" s="146" t="inlineStr">
        <is>
          <t>10-30-1</t>
        </is>
      </c>
      <c r="D13" s="264" t="inlineStr">
        <is>
          <t>Инженер I категории</t>
        </is>
      </c>
      <c r="E13" s="265" t="inlineStr">
        <is>
          <t>чел.час</t>
        </is>
      </c>
      <c r="F13" s="266" t="n">
        <v>320.5</v>
      </c>
      <c r="G13" s="279" t="n">
        <v>15.49</v>
      </c>
      <c r="H13" s="32">
        <f>ROUND(F13*G13,2)</f>
        <v/>
      </c>
      <c r="J13" s="161" t="n"/>
      <c r="K13" s="160" t="n"/>
      <c r="L13" s="160" t="n"/>
    </row>
    <row r="14">
      <c r="A14" s="146" t="inlineStr">
        <is>
          <t>2</t>
        </is>
      </c>
      <c r="B14" s="146" t="n"/>
      <c r="C14" s="146" t="inlineStr">
        <is>
          <t>10-30-2</t>
        </is>
      </c>
      <c r="D14" s="264" t="inlineStr">
        <is>
          <t>Инженер II категории</t>
        </is>
      </c>
      <c r="E14" s="265" t="inlineStr">
        <is>
          <t>чел.час</t>
        </is>
      </c>
      <c r="F14" s="266" t="n">
        <v>320.5</v>
      </c>
      <c r="G14" s="279" t="n">
        <v>14.09</v>
      </c>
      <c r="H14" s="32">
        <f>ROUND(F14*G14,2)</f>
        <v/>
      </c>
      <c r="J14" s="161" t="n"/>
      <c r="K14" s="160" t="n"/>
      <c r="L14" s="160" t="n"/>
    </row>
    <row r="15">
      <c r="A15" s="146" t="inlineStr">
        <is>
          <t>3</t>
        </is>
      </c>
      <c r="B15" s="146" t="n"/>
      <c r="C15" s="158" t="inlineStr">
        <is>
          <t>1-4-0</t>
        </is>
      </c>
      <c r="D15" s="177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80" t="n">
        <v>375.2529</v>
      </c>
      <c r="G15" s="178" t="n">
        <v>9.619999999999999</v>
      </c>
      <c r="H15" s="32">
        <f>ROUND(F15*G15,2)</f>
        <v/>
      </c>
      <c r="J15" s="161" t="n"/>
      <c r="K15" s="160" t="n"/>
      <c r="L15" s="160" t="n"/>
    </row>
    <row r="16">
      <c r="A16" s="146" t="inlineStr">
        <is>
          <t>4</t>
        </is>
      </c>
      <c r="B16" s="146" t="n"/>
      <c r="C16" s="158" t="inlineStr">
        <is>
          <t>1-3-5</t>
        </is>
      </c>
      <c r="D16" s="177" t="inlineStr">
        <is>
          <t>Затраты труда рабочих (средний разряд работы 3,5)</t>
        </is>
      </c>
      <c r="E16" s="7" t="inlineStr">
        <is>
          <t>чел.-ч</t>
        </is>
      </c>
      <c r="F16" s="180" t="n">
        <v>280.5587</v>
      </c>
      <c r="G16" s="178" t="n">
        <v>9.07</v>
      </c>
      <c r="H16" s="32">
        <f>ROUND(F16*G16,2)</f>
        <v/>
      </c>
      <c r="J16" s="161" t="n"/>
      <c r="K16" s="160" t="n"/>
      <c r="L16" s="160" t="n"/>
    </row>
    <row r="17">
      <c r="A17" s="146" t="inlineStr">
        <is>
          <t>5</t>
        </is>
      </c>
      <c r="B17" s="146" t="n"/>
      <c r="C17" s="158" t="inlineStr">
        <is>
          <t>1-2-0</t>
        </is>
      </c>
      <c r="D17" s="177" t="inlineStr">
        <is>
          <t>Затраты труда рабочих (средний разряд работы 2,0)</t>
        </is>
      </c>
      <c r="E17" s="7" t="inlineStr">
        <is>
          <t>чел.час</t>
        </is>
      </c>
      <c r="F17" s="180" t="n">
        <v>223.7483</v>
      </c>
      <c r="G17" s="178" t="n">
        <v>7.8</v>
      </c>
      <c r="H17" s="32">
        <f>ROUND(F17*G17,2)</f>
        <v/>
      </c>
      <c r="J17" s="161" t="n"/>
      <c r="K17" s="160" t="n"/>
      <c r="L17" s="160" t="n"/>
    </row>
    <row r="18">
      <c r="A18" s="146" t="inlineStr">
        <is>
          <t>6</t>
        </is>
      </c>
      <c r="B18" s="146" t="n"/>
      <c r="C18" s="158" t="inlineStr">
        <is>
          <t>1-4-2</t>
        </is>
      </c>
      <c r="D18" s="177" t="inlineStr">
        <is>
          <t>Затраты труда рабочих (средний разряд работы 4,2)</t>
        </is>
      </c>
      <c r="E18" s="7" t="inlineStr">
        <is>
          <t>чел.час</t>
        </is>
      </c>
      <c r="F18" s="180" t="n">
        <v>70.4299</v>
      </c>
      <c r="G18" s="178" t="n">
        <v>9.92</v>
      </c>
      <c r="H18" s="32">
        <f>ROUND(F18*G18,2)</f>
        <v/>
      </c>
      <c r="J18" s="161" t="n"/>
      <c r="K18" s="160" t="n"/>
      <c r="L18" s="160" t="n"/>
    </row>
    <row r="19">
      <c r="A19" s="146" t="inlineStr">
        <is>
          <t>7</t>
        </is>
      </c>
      <c r="B19" s="146" t="n"/>
      <c r="C19" s="158" t="inlineStr">
        <is>
          <t>1-1-5</t>
        </is>
      </c>
      <c r="D19" s="177" t="inlineStr">
        <is>
          <t>Затраты труда рабочих (средний разряд работы 1,5)</t>
        </is>
      </c>
      <c r="E19" s="7" t="inlineStr">
        <is>
          <t>чел.час</t>
        </is>
      </c>
      <c r="F19" s="180" t="n">
        <v>79.551</v>
      </c>
      <c r="G19" s="178" t="n">
        <v>7.5</v>
      </c>
      <c r="H19" s="32">
        <f>ROUND(F19*G19,2)</f>
        <v/>
      </c>
      <c r="J19" s="161" t="n"/>
      <c r="K19" s="160" t="n"/>
      <c r="L19" s="160" t="n"/>
    </row>
    <row r="20">
      <c r="A20" s="146" t="inlineStr">
        <is>
          <t>8</t>
        </is>
      </c>
      <c r="B20" s="146" t="n"/>
      <c r="C20" s="158" t="inlineStr">
        <is>
          <t>1-3-0</t>
        </is>
      </c>
      <c r="D20" s="177" t="inlineStr">
        <is>
          <t>Затраты труда рабочих (средний разряд работы 3,0)</t>
        </is>
      </c>
      <c r="E20" s="7" t="inlineStr">
        <is>
          <t>чел.час</t>
        </is>
      </c>
      <c r="F20" s="180" t="n">
        <v>32.9813</v>
      </c>
      <c r="G20" s="178" t="n">
        <v>8.529999999999999</v>
      </c>
      <c r="H20" s="32">
        <f>ROUND(F20*G20,2)</f>
        <v/>
      </c>
      <c r="J20" s="161" t="n"/>
      <c r="K20" s="160" t="n"/>
      <c r="L20" s="160" t="n"/>
    </row>
    <row r="21">
      <c r="A21" s="146" t="inlineStr">
        <is>
          <t>9</t>
        </is>
      </c>
      <c r="B21" s="146" t="n"/>
      <c r="C21" s="158" t="inlineStr">
        <is>
          <t>1-1-0</t>
        </is>
      </c>
      <c r="D21" s="177" t="inlineStr">
        <is>
          <t>Затраты труда рабочих (средний разряд работы 1,0)</t>
        </is>
      </c>
      <c r="E21" s="7" t="inlineStr">
        <is>
          <t>чел.час</t>
        </is>
      </c>
      <c r="F21" s="180" t="n">
        <v>34.5775</v>
      </c>
      <c r="G21" s="178" t="n">
        <v>7.19</v>
      </c>
      <c r="H21" s="32">
        <f>ROUND(F21*G21,2)</f>
        <v/>
      </c>
      <c r="J21" s="161" t="n"/>
      <c r="K21" s="160" t="n"/>
      <c r="L21" s="160" t="n"/>
    </row>
    <row r="22">
      <c r="A22" s="146" t="inlineStr">
        <is>
          <t>10</t>
        </is>
      </c>
      <c r="B22" s="146" t="n"/>
      <c r="C22" s="158" t="inlineStr">
        <is>
          <t>1-3-9</t>
        </is>
      </c>
      <c r="D22" s="177" t="inlineStr">
        <is>
          <t>Затраты труда рабочих (средний разряд работы 3,9)</t>
        </is>
      </c>
      <c r="E22" s="7" t="inlineStr">
        <is>
          <t>чел.час</t>
        </is>
      </c>
      <c r="F22" s="180" t="n">
        <v>16.076</v>
      </c>
      <c r="G22" s="178" t="n">
        <v>9.51</v>
      </c>
      <c r="H22" s="32">
        <f>ROUND(F22*G22,2)</f>
        <v/>
      </c>
      <c r="J22" s="161" t="n"/>
      <c r="K22" s="160" t="n"/>
      <c r="L22" s="160" t="n"/>
    </row>
    <row r="23">
      <c r="A23" s="146" t="inlineStr">
        <is>
          <t>11</t>
        </is>
      </c>
      <c r="B23" s="146" t="n"/>
      <c r="C23" s="158" t="inlineStr">
        <is>
          <t>1-3-8</t>
        </is>
      </c>
      <c r="D23" s="177" t="inlineStr">
        <is>
          <t>Затраты труда рабочих (средний разряд работы 3,8)</t>
        </is>
      </c>
      <c r="E23" s="7" t="inlineStr">
        <is>
          <t>чел.час</t>
        </is>
      </c>
      <c r="F23" s="180" t="n">
        <v>6.9756</v>
      </c>
      <c r="G23" s="178" t="n">
        <v>9.4</v>
      </c>
      <c r="H23" s="32">
        <f>ROUND(F23*G23,2)</f>
        <v/>
      </c>
      <c r="J23" s="161" t="n"/>
      <c r="K23" s="160" t="n"/>
      <c r="L23" s="160" t="n"/>
    </row>
    <row r="24">
      <c r="A24" s="146" t="inlineStr">
        <is>
          <t>12</t>
        </is>
      </c>
      <c r="B24" s="146" t="n"/>
      <c r="C24" s="158" t="inlineStr">
        <is>
          <t>1-4-6</t>
        </is>
      </c>
      <c r="D24" s="177" t="inlineStr">
        <is>
          <t>Затраты труда рабочих (средний разряд работы 4,6)</t>
        </is>
      </c>
      <c r="E24" s="7" t="inlineStr">
        <is>
          <t>чел.час</t>
        </is>
      </c>
      <c r="F24" s="180" t="n">
        <v>3.1095</v>
      </c>
      <c r="G24" s="178" t="n">
        <v>10.5</v>
      </c>
      <c r="H24" s="32">
        <f>ROUND(F24*G24,2)</f>
        <v/>
      </c>
      <c r="J24" s="161" t="n"/>
      <c r="K24" s="160" t="n"/>
      <c r="L24" s="160" t="n"/>
    </row>
    <row r="25">
      <c r="A25" s="146" t="inlineStr">
        <is>
          <t>13</t>
        </is>
      </c>
      <c r="B25" s="146" t="n"/>
      <c r="C25" s="158" t="inlineStr">
        <is>
          <t>1-3-2</t>
        </is>
      </c>
      <c r="D25" s="177" t="inlineStr">
        <is>
          <t>Затраты труда рабочих (средний разряд работы 3,2)</t>
        </is>
      </c>
      <c r="E25" s="7" t="inlineStr">
        <is>
          <t>чел.час</t>
        </is>
      </c>
      <c r="F25" s="180" t="n">
        <v>0.8085</v>
      </c>
      <c r="G25" s="178" t="n">
        <v>8.74</v>
      </c>
      <c r="H25" s="32">
        <f>ROUND(F25*G25,2)</f>
        <v/>
      </c>
      <c r="J25" s="179">
        <f>(4*F15+3.5*F16+2*F17+4.2*F18+1.5*F19+3*F20+1*F21+3.9*F22+3.8*F23+4.6*F24+3.2*F25)/SUM(F15:F25)</f>
        <v/>
      </c>
      <c r="K25" s="160" t="n"/>
      <c r="L25" s="160" t="n"/>
    </row>
    <row r="26">
      <c r="A26" s="332" t="inlineStr">
        <is>
          <t>Затраты труда машинистов</t>
        </is>
      </c>
      <c r="B26" s="333" t="n"/>
      <c r="C26" s="333" t="n"/>
      <c r="D26" s="334" t="n"/>
      <c r="E26" s="280" t="n"/>
      <c r="F26" s="158" t="n"/>
      <c r="G26" s="159" t="n"/>
      <c r="H26" s="174">
        <f>H27</f>
        <v/>
      </c>
      <c r="L26" s="160" t="n"/>
    </row>
    <row r="27">
      <c r="A27" s="171" t="inlineStr">
        <is>
          <t>14</t>
        </is>
      </c>
      <c r="B27" s="171" t="n"/>
      <c r="C27" s="146" t="n">
        <v>2</v>
      </c>
      <c r="D27" s="264" t="inlineStr">
        <is>
          <t>Затраты труда машинистов</t>
        </is>
      </c>
      <c r="E27" s="265" t="inlineStr">
        <is>
          <t>чел.час</t>
        </is>
      </c>
      <c r="F27" s="265" t="n">
        <v>183.804</v>
      </c>
      <c r="G27" s="279" t="n"/>
      <c r="H27" s="279" t="n">
        <v>2231.42</v>
      </c>
    </row>
    <row r="28" ht="15" customHeight="1">
      <c r="A28" s="254" t="inlineStr">
        <is>
          <t>Машины и механизмы</t>
        </is>
      </c>
      <c r="B28" s="328" t="n"/>
      <c r="C28" s="328" t="n"/>
      <c r="D28" s="329" t="n"/>
      <c r="E28" s="157" t="n"/>
      <c r="F28" s="157" t="n"/>
      <c r="G28" s="157" t="n"/>
      <c r="H28" s="175">
        <f>SUM(H29:H53)</f>
        <v/>
      </c>
      <c r="K28" s="160" t="n"/>
    </row>
    <row r="29">
      <c r="A29" s="146" t="inlineStr">
        <is>
          <t>15</t>
        </is>
      </c>
      <c r="B29" s="146" t="n"/>
      <c r="C29" s="146" t="inlineStr">
        <is>
          <t>91.10.01-002</t>
        </is>
      </c>
      <c r="D29" s="264" t="inlineStr">
        <is>
          <t>Агрегаты наполнительно-опрессовочные: до 300 м3/ч</t>
        </is>
      </c>
      <c r="E29" s="265" t="inlineStr">
        <is>
          <t>маш.час</t>
        </is>
      </c>
      <c r="F29" s="181" t="n">
        <v>22.98</v>
      </c>
      <c r="G29" s="267" t="n">
        <v>287.99</v>
      </c>
      <c r="H29" s="32">
        <f>ROUND(F29*G29,2)</f>
        <v/>
      </c>
      <c r="I29" s="163" t="n"/>
    </row>
    <row r="30" ht="25.5" customHeight="1">
      <c r="A30" s="146" t="inlineStr">
        <is>
          <t>16</t>
        </is>
      </c>
      <c r="B30" s="146" t="n"/>
      <c r="C30" s="146" t="inlineStr">
        <is>
          <t>91.11.01-012</t>
        </is>
      </c>
      <c r="D30" s="264" t="inlineStr">
        <is>
          <t>Машины монтажные для выполнения работ при прокладке и монтаже кабеля на базе автомобиля</t>
        </is>
      </c>
      <c r="E30" s="265" t="inlineStr">
        <is>
          <t>маш.час</t>
        </is>
      </c>
      <c r="F30" s="181" t="n">
        <v>48</v>
      </c>
      <c r="G30" s="267" t="n">
        <v>110.86</v>
      </c>
      <c r="H30" s="32">
        <f>ROUND(F30*G30,2)</f>
        <v/>
      </c>
      <c r="I30" s="163" t="n"/>
    </row>
    <row r="31" ht="25.5" customHeight="1">
      <c r="A31" s="146" t="inlineStr">
        <is>
          <t>17</t>
        </is>
      </c>
      <c r="B31" s="146" t="n"/>
      <c r="C31" s="146" t="inlineStr">
        <is>
          <t>91.05.05-014</t>
        </is>
      </c>
      <c r="D31" s="264" t="inlineStr">
        <is>
          <t>Краны на автомобильном ходу, грузоподъемность 10 т</t>
        </is>
      </c>
      <c r="E31" s="265" t="inlineStr">
        <is>
          <t>маш.час</t>
        </is>
      </c>
      <c r="F31" s="181" t="n">
        <v>37.49</v>
      </c>
      <c r="G31" s="267" t="n">
        <v>111.99</v>
      </c>
      <c r="H31" s="32">
        <f>ROUND(F31*G31,2)</f>
        <v/>
      </c>
      <c r="I31" s="163" t="n"/>
    </row>
    <row r="32" ht="38.25" customHeight="1">
      <c r="A32" s="146" t="inlineStr">
        <is>
          <t>18</t>
        </is>
      </c>
      <c r="B32" s="146" t="n"/>
      <c r="C32" s="146" t="inlineStr">
        <is>
          <t>91.18.01-012</t>
        </is>
      </c>
      <c r="D32" s="264" t="inlineStr">
        <is>
          <t>Компрессоры передвижные с электродвигателем давлением 600 кПа (6 ат), производительность: до 3,5 м3/мин</t>
        </is>
      </c>
      <c r="E32" s="265" t="inlineStr">
        <is>
          <t>маш.час</t>
        </is>
      </c>
      <c r="F32" s="181" t="n">
        <v>98.64</v>
      </c>
      <c r="G32" s="267" t="n">
        <v>32.5</v>
      </c>
      <c r="H32" s="32">
        <f>ROUND(F32*G32,2)</f>
        <v/>
      </c>
      <c r="I32" s="163" t="n"/>
    </row>
    <row r="33" ht="25.5" customHeight="1">
      <c r="A33" s="146" t="inlineStr">
        <is>
          <t>19</t>
        </is>
      </c>
      <c r="B33" s="146" t="n"/>
      <c r="C33" s="146" t="inlineStr">
        <is>
          <t>91.06.03-058</t>
        </is>
      </c>
      <c r="D33" s="264" t="inlineStr">
        <is>
          <t>Лебедки электрические тяговым усилием: 156,96 кН (16 т)</t>
        </is>
      </c>
      <c r="E33" s="265" t="inlineStr">
        <is>
          <t>маш.час</t>
        </is>
      </c>
      <c r="F33" s="181" t="n">
        <v>22.98</v>
      </c>
      <c r="G33" s="267" t="n">
        <v>131.44</v>
      </c>
      <c r="H33" s="32">
        <f>ROUND(F33*G33,2)</f>
        <v/>
      </c>
      <c r="I33" s="163" t="n"/>
    </row>
    <row r="34" ht="25.5" customHeight="1">
      <c r="A34" s="146" t="inlineStr">
        <is>
          <t>20</t>
        </is>
      </c>
      <c r="B34" s="146" t="n"/>
      <c r="C34" s="146" t="inlineStr">
        <is>
          <t>91.05.08-007</t>
        </is>
      </c>
      <c r="D34" s="264" t="inlineStr">
        <is>
          <t>Краны на пневмоколесном ходу, грузоподъемность 25 т</t>
        </is>
      </c>
      <c r="E34" s="265" t="inlineStr">
        <is>
          <t>маш.час</t>
        </is>
      </c>
      <c r="F34" s="181" t="n">
        <v>18.72</v>
      </c>
      <c r="G34" s="267" t="n">
        <v>102.51</v>
      </c>
      <c r="H34" s="32">
        <f>ROUND(F34*G34,2)</f>
        <v/>
      </c>
      <c r="I34" s="163" t="n"/>
    </row>
    <row r="35">
      <c r="A35" s="146" t="inlineStr">
        <is>
          <t>21</t>
        </is>
      </c>
      <c r="B35" s="146" t="n"/>
      <c r="C35" s="146" t="inlineStr">
        <is>
          <t>91.08.04-021</t>
        </is>
      </c>
      <c r="D35" s="264" t="inlineStr">
        <is>
          <t>Котлы битумные: передвижные 400 л</t>
        </is>
      </c>
      <c r="E35" s="265" t="inlineStr">
        <is>
          <t>маш.час</t>
        </is>
      </c>
      <c r="F35" s="266" t="n">
        <v>20.37</v>
      </c>
      <c r="G35" s="267" t="n">
        <v>30</v>
      </c>
      <c r="H35" s="32">
        <f>ROUND(F35*G35,2)</f>
        <v/>
      </c>
      <c r="I35" s="163" t="n"/>
    </row>
    <row r="36">
      <c r="A36" s="146" t="inlineStr">
        <is>
          <t>22</t>
        </is>
      </c>
      <c r="B36" s="146" t="n"/>
      <c r="C36" s="146" t="inlineStr">
        <is>
          <t>91.06.06-042</t>
        </is>
      </c>
      <c r="D36" s="264" t="inlineStr">
        <is>
          <t>Подъемники гидравлические высотой подъема: 10 м</t>
        </is>
      </c>
      <c r="E36" s="265" t="inlineStr">
        <is>
          <t>маш.час</t>
        </is>
      </c>
      <c r="F36" s="266" t="n">
        <v>14.19</v>
      </c>
      <c r="G36" s="267" t="n">
        <v>29.6</v>
      </c>
      <c r="H36" s="32">
        <f>ROUND(F36*G36,2)</f>
        <v/>
      </c>
      <c r="I36" s="163" t="n"/>
    </row>
    <row r="37">
      <c r="A37" s="146" t="inlineStr">
        <is>
          <t>23</t>
        </is>
      </c>
      <c r="B37" s="146" t="n"/>
      <c r="C37" s="146" t="inlineStr">
        <is>
          <t>91.14.02-002</t>
        </is>
      </c>
      <c r="D37" s="264" t="inlineStr">
        <is>
          <t>Автомобили бортовые, грузоподъемность: до 8 т</t>
        </is>
      </c>
      <c r="E37" s="265" t="inlineStr">
        <is>
          <t>маш.час</t>
        </is>
      </c>
      <c r="F37" s="266" t="n">
        <v>4.68</v>
      </c>
      <c r="G37" s="267" t="n">
        <v>85.84</v>
      </c>
      <c r="H37" s="32">
        <f>ROUND(F37*G37,2)</f>
        <v/>
      </c>
      <c r="I37" s="163" t="n"/>
    </row>
    <row r="38">
      <c r="A38" s="146" t="inlineStr">
        <is>
          <t>24</t>
        </is>
      </c>
      <c r="B38" s="146" t="n"/>
      <c r="C38" s="146" t="inlineStr">
        <is>
          <t>91.14.02-001</t>
        </is>
      </c>
      <c r="D38" s="264" t="inlineStr">
        <is>
          <t>Автомобили бортовые, грузоподъемность: до 5 т</t>
        </is>
      </c>
      <c r="E38" s="265" t="inlineStr">
        <is>
          <t>маш.час</t>
        </is>
      </c>
      <c r="F38" s="266" t="n">
        <v>6.02</v>
      </c>
      <c r="G38" s="267" t="n">
        <v>65.70999999999999</v>
      </c>
      <c r="H38" s="32">
        <f>ROUND(F38*G38,2)</f>
        <v/>
      </c>
      <c r="I38" s="163" t="n"/>
    </row>
    <row r="39" ht="38.25" customHeight="1">
      <c r="A39" s="146" t="inlineStr">
        <is>
          <t>25</t>
        </is>
      </c>
      <c r="B39" s="146" t="n"/>
      <c r="C39" s="146" t="inlineStr">
        <is>
          <t>91.18.01-007</t>
        </is>
      </c>
      <c r="D39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65" t="inlineStr">
        <is>
          <t>маш.час</t>
        </is>
      </c>
      <c r="F39" s="266" t="n">
        <v>4.19</v>
      </c>
      <c r="G39" s="267" t="n">
        <v>90</v>
      </c>
      <c r="H39" s="32">
        <f>ROUND(F39*G39,2)</f>
        <v/>
      </c>
      <c r="I39" s="163" t="n"/>
    </row>
    <row r="40" ht="25.5" customHeight="1">
      <c r="A40" s="146" t="inlineStr">
        <is>
          <t>26</t>
        </is>
      </c>
      <c r="B40" s="146" t="n"/>
      <c r="C40" s="146" t="inlineStr">
        <is>
          <t>91.21.10-003</t>
        </is>
      </c>
      <c r="D40" s="264" t="inlineStr">
        <is>
          <t>Молотки при работе от передвижных компрессорных станций: отбойные пневматические</t>
        </is>
      </c>
      <c r="E40" s="265" t="inlineStr">
        <is>
          <t>маш.час</t>
        </is>
      </c>
      <c r="F40" s="266" t="n">
        <v>197.28</v>
      </c>
      <c r="G40" s="267" t="n">
        <v>1.53</v>
      </c>
      <c r="H40" s="32">
        <f>ROUND(F40*G40,2)</f>
        <v/>
      </c>
      <c r="I40" s="163" t="n"/>
    </row>
    <row r="41" ht="25.5" customHeight="1">
      <c r="A41" s="146" t="inlineStr">
        <is>
          <t>27</t>
        </is>
      </c>
      <c r="B41" s="146" t="n"/>
      <c r="C41" s="146" t="inlineStr">
        <is>
          <t>91.17.04-233</t>
        </is>
      </c>
      <c r="D41" s="264" t="inlineStr">
        <is>
          <t>Установки для сварки: ручной дуговой (постоянного тока)</t>
        </is>
      </c>
      <c r="E41" s="265" t="inlineStr">
        <is>
          <t>маш.час</t>
        </is>
      </c>
      <c r="F41" s="266" t="n">
        <v>6.75</v>
      </c>
      <c r="G41" s="267" t="n">
        <v>8.1</v>
      </c>
      <c r="H41" s="32">
        <f>ROUND(F41*G41,2)</f>
        <v/>
      </c>
      <c r="I41" s="163" t="n"/>
    </row>
    <row r="42">
      <c r="A42" s="146" t="inlineStr">
        <is>
          <t>28</t>
        </is>
      </c>
      <c r="B42" s="146" t="n"/>
      <c r="C42" s="146" t="inlineStr">
        <is>
          <t>91.17.04-042</t>
        </is>
      </c>
      <c r="D42" s="264" t="inlineStr">
        <is>
          <t>Аппарат для газовой сварки и резки</t>
        </is>
      </c>
      <c r="E42" s="265" t="inlineStr">
        <is>
          <t>маш.час</t>
        </is>
      </c>
      <c r="F42" s="266" t="n">
        <v>42.75</v>
      </c>
      <c r="G42" s="267" t="n">
        <v>1.2</v>
      </c>
      <c r="H42" s="32">
        <f>ROUND(F42*G42,2)</f>
        <v/>
      </c>
      <c r="I42" s="163" t="n"/>
    </row>
    <row r="43" ht="25.5" customHeight="1">
      <c r="A43" s="146" t="inlineStr">
        <is>
          <t>29</t>
        </is>
      </c>
      <c r="B43" s="146" t="n"/>
      <c r="C43" s="146" t="inlineStr">
        <is>
          <t>91.17.04-036</t>
        </is>
      </c>
      <c r="D43" s="264" t="inlineStr">
        <is>
          <t>Агрегаты сварочные передвижные номинальным сварочным током 250-400 А: с дизельным двигателем</t>
        </is>
      </c>
      <c r="E43" s="265" t="inlineStr">
        <is>
          <t>маш.час</t>
        </is>
      </c>
      <c r="F43" s="266" t="n">
        <v>3.25</v>
      </c>
      <c r="G43" s="267" t="n">
        <v>14</v>
      </c>
      <c r="H43" s="32">
        <f>ROUND(F43*G43,2)</f>
        <v/>
      </c>
      <c r="I43" s="163" t="n"/>
    </row>
    <row r="44" ht="25.5" customHeight="1">
      <c r="A44" s="146" t="inlineStr">
        <is>
          <t>30</t>
        </is>
      </c>
      <c r="B44" s="146" t="n"/>
      <c r="C44" s="146" t="inlineStr">
        <is>
          <t>91.06.01-003</t>
        </is>
      </c>
      <c r="D44" s="264" t="inlineStr">
        <is>
          <t>Домкраты гидравлические, грузоподъемность 63-100 т</t>
        </is>
      </c>
      <c r="E44" s="265" t="inlineStr">
        <is>
          <t>маш.час</t>
        </is>
      </c>
      <c r="F44" s="266" t="n">
        <v>45.96</v>
      </c>
      <c r="G44" s="267" t="n">
        <v>0.9</v>
      </c>
      <c r="H44" s="32">
        <f>ROUND(F44*G44,2)</f>
        <v/>
      </c>
      <c r="I44" s="163" t="n"/>
    </row>
    <row r="45">
      <c r="A45" s="146" t="inlineStr">
        <is>
          <t>31</t>
        </is>
      </c>
      <c r="B45" s="146" t="n"/>
      <c r="C45" s="146" t="inlineStr">
        <is>
          <t>91.01.01-035</t>
        </is>
      </c>
      <c r="D45" s="264" t="inlineStr">
        <is>
          <t>Бульдозеры, мощность 79 кВт (108 л.с.)</t>
        </is>
      </c>
      <c r="E45" s="265" t="inlineStr">
        <is>
          <t>маш.час</t>
        </is>
      </c>
      <c r="F45" s="266" t="n">
        <v>0.52</v>
      </c>
      <c r="G45" s="267" t="n">
        <v>79.06999999999999</v>
      </c>
      <c r="H45" s="32">
        <f>ROUND(F45*G45,2)</f>
        <v/>
      </c>
      <c r="I45" s="163" t="n"/>
    </row>
    <row r="46">
      <c r="A46" s="146" t="inlineStr">
        <is>
          <t>32</t>
        </is>
      </c>
      <c r="B46" s="146" t="n"/>
      <c r="C46" s="146" t="inlineStr">
        <is>
          <t>91.05.01-017</t>
        </is>
      </c>
      <c r="D46" s="264" t="inlineStr">
        <is>
          <t>Краны башенные, грузоподъемность 8 т</t>
        </is>
      </c>
      <c r="E46" s="265" t="inlineStr">
        <is>
          <t>маш.час</t>
        </is>
      </c>
      <c r="F46" s="266" t="n">
        <v>0.37</v>
      </c>
      <c r="G46" s="267" t="n">
        <v>86.40000000000001</v>
      </c>
      <c r="H46" s="32">
        <f>ROUND(F46*G46,2)</f>
        <v/>
      </c>
      <c r="I46" s="163" t="n"/>
    </row>
    <row r="47" ht="25.5" customHeight="1">
      <c r="A47" s="146" t="inlineStr">
        <is>
          <t>33</t>
        </is>
      </c>
      <c r="B47" s="146" t="n"/>
      <c r="C47" s="146" t="inlineStr">
        <is>
          <t>91.08.09-023</t>
        </is>
      </c>
      <c r="D47" s="264" t="inlineStr">
        <is>
          <t>Трамбовки пневматические при работе от: передвижных компрессорных станций</t>
        </is>
      </c>
      <c r="E47" s="265" t="inlineStr">
        <is>
          <t>маш.час</t>
        </is>
      </c>
      <c r="F47" s="266" t="n">
        <v>13.18</v>
      </c>
      <c r="G47" s="267" t="n">
        <v>0.55</v>
      </c>
      <c r="H47" s="32">
        <f>ROUND(F47*G47,2)</f>
        <v/>
      </c>
      <c r="I47" s="163" t="n"/>
    </row>
    <row r="48" ht="25.5" customHeight="1">
      <c r="A48" s="146" t="inlineStr">
        <is>
          <t>34</t>
        </is>
      </c>
      <c r="B48" s="146" t="n"/>
      <c r="C48" s="146" t="inlineStr">
        <is>
          <t>91.21.01-012</t>
        </is>
      </c>
      <c r="D48" s="264" t="inlineStr">
        <is>
          <t>Агрегаты окрасочные высокого давления для окраски поверхностей конструкций, мощность 1 кВт</t>
        </is>
      </c>
      <c r="E48" s="265" t="inlineStr">
        <is>
          <t>маш.час</t>
        </is>
      </c>
      <c r="F48" s="266" t="n">
        <v>0.52</v>
      </c>
      <c r="G48" s="267" t="n">
        <v>6.82</v>
      </c>
      <c r="H48" s="32">
        <f>ROUND(F48*G48,2)</f>
        <v/>
      </c>
      <c r="I48" s="163" t="n"/>
    </row>
    <row r="49">
      <c r="A49" s="146" t="inlineStr">
        <is>
          <t>35</t>
        </is>
      </c>
      <c r="B49" s="146" t="n"/>
      <c r="C49" s="146" t="inlineStr">
        <is>
          <t>91.21.12-002</t>
        </is>
      </c>
      <c r="D49" s="264" t="inlineStr">
        <is>
          <t>Ножницы листовые кривошипные гильотинные</t>
        </is>
      </c>
      <c r="E49" s="265" t="inlineStr">
        <is>
          <t>маш.час</t>
        </is>
      </c>
      <c r="F49" s="266" t="n">
        <v>0.05</v>
      </c>
      <c r="G49" s="267" t="n">
        <v>70</v>
      </c>
      <c r="H49" s="32">
        <f>ROUND(F49*G49,2)</f>
        <v/>
      </c>
      <c r="I49" s="163" t="n"/>
    </row>
    <row r="50">
      <c r="A50" s="146" t="inlineStr">
        <is>
          <t>36</t>
        </is>
      </c>
      <c r="B50" s="146" t="n"/>
      <c r="C50" s="146" t="inlineStr">
        <is>
          <t>91.21.16-014</t>
        </is>
      </c>
      <c r="D50" s="264" t="inlineStr">
        <is>
          <t>Пресс: листогибочный кривошипный 1000 кН (100 тс)</t>
        </is>
      </c>
      <c r="E50" s="265" t="inlineStr">
        <is>
          <t>маш.час</t>
        </is>
      </c>
      <c r="F50" s="266" t="n">
        <v>0.05</v>
      </c>
      <c r="G50" s="267" t="n">
        <v>56.24</v>
      </c>
      <c r="H50" s="32">
        <f>ROUND(F50*G50,2)</f>
        <v/>
      </c>
      <c r="I50" s="163" t="n"/>
    </row>
    <row r="51">
      <c r="A51" s="146" t="inlineStr">
        <is>
          <t>37</t>
        </is>
      </c>
      <c r="B51" s="146" t="n"/>
      <c r="C51" s="146" t="inlineStr">
        <is>
          <t>91.21.16-013</t>
        </is>
      </c>
      <c r="D51" s="264" t="inlineStr">
        <is>
          <t>Пресс: кривошипный простого действия 25 кН (2,5 тс)</t>
        </is>
      </c>
      <c r="E51" s="265" t="inlineStr">
        <is>
          <t>маш.час</t>
        </is>
      </c>
      <c r="F51" s="266" t="n">
        <v>0.05</v>
      </c>
      <c r="G51" s="267" t="n">
        <v>16.92</v>
      </c>
      <c r="H51" s="32">
        <f>ROUND(F51*G51,2)</f>
        <v/>
      </c>
      <c r="I51" s="163" t="n"/>
    </row>
    <row r="52">
      <c r="A52" s="146" t="inlineStr">
        <is>
          <t>38</t>
        </is>
      </c>
      <c r="B52" s="146" t="n"/>
      <c r="C52" s="146" t="inlineStr">
        <is>
          <t>91.07.04-002</t>
        </is>
      </c>
      <c r="D52" s="264" t="inlineStr">
        <is>
          <t>Вибратор поверхностный</t>
        </is>
      </c>
      <c r="E52" s="265" t="inlineStr">
        <is>
          <t>маш.час</t>
        </is>
      </c>
      <c r="F52" s="266" t="n">
        <v>0.98</v>
      </c>
      <c r="G52" s="267" t="n">
        <v>0.5</v>
      </c>
      <c r="H52" s="32">
        <f>ROUND(F52*G52,2)</f>
        <v/>
      </c>
      <c r="I52" s="163" t="n"/>
    </row>
    <row r="53">
      <c r="A53" s="146" t="inlineStr">
        <is>
          <t>39</t>
        </is>
      </c>
      <c r="B53" s="146" t="n"/>
      <c r="C53" s="146" t="inlineStr">
        <is>
          <t>91.21.19-031</t>
        </is>
      </c>
      <c r="D53" s="264" t="inlineStr">
        <is>
          <t>Станок: сверлильный</t>
        </is>
      </c>
      <c r="E53" s="265" t="inlineStr">
        <is>
          <t>маш.час</t>
        </is>
      </c>
      <c r="F53" s="266" t="n">
        <v>0.05</v>
      </c>
      <c r="G53" s="267" t="n">
        <v>2.36</v>
      </c>
      <c r="H53" s="32">
        <f>ROUND(F53*G53,2)</f>
        <v/>
      </c>
      <c r="I53" s="163" t="n"/>
    </row>
    <row r="54" ht="15" customHeight="1">
      <c r="A54" s="255" t="inlineStr">
        <is>
          <t>Оборудование</t>
        </is>
      </c>
      <c r="B54" s="328" t="n"/>
      <c r="C54" s="328" t="n"/>
      <c r="D54" s="329" t="n"/>
      <c r="E54" s="164" t="n"/>
      <c r="F54" s="165" t="n"/>
      <c r="G54" s="159" t="n"/>
      <c r="H54" s="176">
        <f>SUM(H55:H57)</f>
        <v/>
      </c>
      <c r="I54" s="163" t="n"/>
    </row>
    <row r="55" ht="25.5" customHeight="1">
      <c r="A55" s="146" t="inlineStr">
        <is>
          <t>40</t>
        </is>
      </c>
      <c r="B55" s="146" t="n"/>
      <c r="C55" s="266" t="inlineStr">
        <is>
          <t>Прайс из СД ОП</t>
        </is>
      </c>
      <c r="D55" s="264" t="inlineStr">
        <is>
          <t>Трансформатор напряжения НАМИ
110 УХЛ1</t>
        </is>
      </c>
      <c r="E55" s="265" t="inlineStr">
        <is>
          <t>шт.</t>
        </is>
      </c>
      <c r="F55" s="182" t="n">
        <v>6</v>
      </c>
      <c r="G55" s="267" t="n">
        <v>112054.46</v>
      </c>
      <c r="H55" s="32" t="n">
        <v>672326.76</v>
      </c>
      <c r="I55" s="163" t="n"/>
    </row>
    <row r="56" ht="25.5" customHeight="1">
      <c r="A56" s="146" t="inlineStr">
        <is>
          <t>41</t>
        </is>
      </c>
      <c r="B56" s="146" t="n"/>
      <c r="C56" s="146" t="inlineStr">
        <is>
          <t>Прайс из СД ОП</t>
        </is>
      </c>
      <c r="D56" s="264" t="inlineStr">
        <is>
          <t>Шкаф зажимов трансформатора
напряжения (ШЗН)</t>
        </is>
      </c>
      <c r="E56" s="265" t="inlineStr">
        <is>
          <t>шт.</t>
        </is>
      </c>
      <c r="F56" s="265" t="n">
        <v>2</v>
      </c>
      <c r="G56" s="267" t="n">
        <v>20669.94</v>
      </c>
      <c r="H56" s="32" t="n">
        <v>41339.88</v>
      </c>
      <c r="I56" s="163" t="n"/>
    </row>
    <row r="57" ht="25.5" customHeight="1">
      <c r="A57" s="146" t="inlineStr">
        <is>
          <t>42</t>
        </is>
      </c>
      <c r="B57" s="146" t="n"/>
      <c r="C57" s="146" t="inlineStr">
        <is>
          <t>Прайс из СД ОП</t>
        </is>
      </c>
      <c r="D57" s="264" t="inlineStr">
        <is>
          <t>Шкаф зажимов трансформатора
напряжения для цепей АИИС КУЭ (ЯЗН-11)</t>
        </is>
      </c>
      <c r="E57" s="265" t="inlineStr">
        <is>
          <t>шт.</t>
        </is>
      </c>
      <c r="F57" s="265" t="n">
        <v>2</v>
      </c>
      <c r="G57" s="267" t="n">
        <v>4046.87</v>
      </c>
      <c r="H57" s="32" t="n">
        <v>8093.74</v>
      </c>
      <c r="I57" s="163" t="n"/>
    </row>
    <row r="58" ht="15" customHeight="1">
      <c r="A58" s="254" t="inlineStr">
        <is>
          <t>Материалы</t>
        </is>
      </c>
      <c r="B58" s="328" t="n"/>
      <c r="C58" s="328" t="n"/>
      <c r="D58" s="329" t="n"/>
      <c r="E58" s="170" t="n"/>
      <c r="F58" s="170" t="n"/>
      <c r="G58" s="157" t="n"/>
      <c r="H58" s="175">
        <f>SUM(H59:H111)</f>
        <v/>
      </c>
    </row>
    <row r="59">
      <c r="A59" s="146" t="inlineStr">
        <is>
          <t>43</t>
        </is>
      </c>
      <c r="B59" s="146" t="n"/>
      <c r="C59" s="266" t="inlineStr">
        <is>
          <t>05.1.05.16-0221</t>
        </is>
      </c>
      <c r="D59" s="264" t="inlineStr">
        <is>
          <t>Фундаменты сборные железобетонные ВЛ и ОРУ</t>
        </is>
      </c>
      <c r="E59" s="265" t="inlineStr">
        <is>
          <t>м3</t>
        </is>
      </c>
      <c r="F59" s="147" t="n">
        <v>15.6348</v>
      </c>
      <c r="G59" s="267" t="n">
        <v>1597.37</v>
      </c>
      <c r="H59" s="32">
        <f>ROUND(F59*G59,2)</f>
        <v/>
      </c>
      <c r="I59" s="163">
        <f>H59/$H$58</f>
        <v/>
      </c>
      <c r="J59" s="163" t="n"/>
    </row>
    <row r="60" ht="102" customHeight="1">
      <c r="A60" s="146" t="inlineStr">
        <is>
          <t>45</t>
        </is>
      </c>
      <c r="B60" s="146" t="n"/>
      <c r="C60" s="266" t="inlineStr">
        <is>
          <t>01.2.03.03-0122</t>
        </is>
      </c>
      <c r="D60" s="26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0" s="265" t="inlineStr">
        <is>
          <t>кг</t>
        </is>
      </c>
      <c r="F60" s="147" t="n">
        <v>471.24</v>
      </c>
      <c r="G60" s="267" t="n">
        <v>13.91</v>
      </c>
      <c r="H60" s="32">
        <f>ROUND(F60*G60,2)</f>
        <v/>
      </c>
      <c r="I60" s="163">
        <f>H60/$H$58</f>
        <v/>
      </c>
      <c r="J60" s="163" t="n"/>
    </row>
    <row r="61" ht="25.5" customHeight="1">
      <c r="A61" s="146" t="inlineStr">
        <is>
          <t>46</t>
        </is>
      </c>
      <c r="B61" s="146" t="n"/>
      <c r="C61" s="266" t="inlineStr">
        <is>
          <t>21.1.06.10-0411</t>
        </is>
      </c>
      <c r="D61" s="264" t="inlineStr">
        <is>
          <t>Кабель силовой с медными жилами ВВГнг(A)-LS 5х16мк(N, РЕ)-1000</t>
        </is>
      </c>
      <c r="E61" s="265" t="inlineStr">
        <is>
          <t>1000 м</t>
        </is>
      </c>
      <c r="F61" s="147">
        <f>0.009*3*2</f>
        <v/>
      </c>
      <c r="G61" s="267" t="n">
        <v>98440.41</v>
      </c>
      <c r="H61" s="32">
        <f>ROUND(F61*G61,2)</f>
        <v/>
      </c>
      <c r="I61" s="163">
        <f>H61/$H$58</f>
        <v/>
      </c>
      <c r="J61" s="163" t="n"/>
    </row>
    <row r="62">
      <c r="A62" s="146" t="inlineStr">
        <is>
          <t>47</t>
        </is>
      </c>
      <c r="B62" s="146" t="n"/>
      <c r="C62" s="266" t="inlineStr">
        <is>
          <t>21.1.08.03-0574</t>
        </is>
      </c>
      <c r="D62" s="264" t="inlineStr">
        <is>
          <t>Кабель контрольный КВВГЭнг(А)-LS 4x2,5</t>
        </is>
      </c>
      <c r="E62" s="265" t="inlineStr">
        <is>
          <t>1000 м</t>
        </is>
      </c>
      <c r="F62" s="147">
        <f>0.016*3*2</f>
        <v/>
      </c>
      <c r="G62" s="267" t="n">
        <v>38348.22</v>
      </c>
      <c r="H62" s="32">
        <f>ROUND(F62*G62,2)</f>
        <v/>
      </c>
      <c r="I62" s="163">
        <f>H62/$H$58</f>
        <v/>
      </c>
      <c r="J62" s="163" t="n"/>
    </row>
    <row r="63" ht="25.5" customHeight="1">
      <c r="A63" s="146" t="inlineStr">
        <is>
          <t>48</t>
        </is>
      </c>
      <c r="B63" s="146" t="n"/>
      <c r="C63" s="266" t="inlineStr">
        <is>
          <t>21.2.01.02-0098</t>
        </is>
      </c>
      <c r="D63" s="264" t="inlineStr">
        <is>
          <t>Провод неизолированный для воздушных линий электропередачи АС 400/51</t>
        </is>
      </c>
      <c r="E63" s="265" t="inlineStr">
        <is>
          <t>т</t>
        </is>
      </c>
      <c r="F63" s="147" t="n">
        <v>0.05215</v>
      </c>
      <c r="G63" s="267" t="n">
        <v>34500.53</v>
      </c>
      <c r="H63" s="32">
        <f>ROUND(F63*G63,2)</f>
        <v/>
      </c>
      <c r="I63" s="163">
        <f>H63/$H$58</f>
        <v/>
      </c>
      <c r="J63" s="163" t="n"/>
    </row>
    <row r="64" ht="38.25" customHeight="1">
      <c r="A64" s="146" t="inlineStr">
        <is>
          <t>49</t>
        </is>
      </c>
      <c r="B64" s="146" t="n"/>
      <c r="C64" s="266" t="inlineStr">
        <is>
          <t>04.1.02.03-0041</t>
        </is>
      </c>
      <c r="D64" s="264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E64" s="265" t="inlineStr">
        <is>
          <t>м3</t>
        </is>
      </c>
      <c r="F64" s="147" t="n">
        <v>2.0808</v>
      </c>
      <c r="G64" s="267" t="n">
        <v>581.51</v>
      </c>
      <c r="H64" s="32">
        <f>ROUND(F64*G64,2)</f>
        <v/>
      </c>
      <c r="I64" s="163">
        <f>H64/$H$58</f>
        <v/>
      </c>
      <c r="J64" s="163" t="n"/>
    </row>
    <row r="65">
      <c r="A65" s="146" t="inlineStr">
        <is>
          <t>50</t>
        </is>
      </c>
      <c r="B65" s="146" t="n"/>
      <c r="C65" s="266" t="inlineStr">
        <is>
          <t>20.1.01.02-0067</t>
        </is>
      </c>
      <c r="D65" s="264" t="inlineStr">
        <is>
          <t>Зажим аппаратный прессуемый: А4А-400-2</t>
        </is>
      </c>
      <c r="E65" s="265" t="inlineStr">
        <is>
          <t>100 шт.</t>
        </is>
      </c>
      <c r="F65" s="147" t="n">
        <v>0.18</v>
      </c>
      <c r="G65" s="267" t="n">
        <v>6505</v>
      </c>
      <c r="H65" s="32">
        <f>ROUND(F65*G65,2)</f>
        <v/>
      </c>
      <c r="I65" s="163">
        <f>H65/$H$58</f>
        <v/>
      </c>
    </row>
    <row r="66" ht="25.5" customHeight="1">
      <c r="A66" s="146" t="inlineStr">
        <is>
          <t>53</t>
        </is>
      </c>
      <c r="B66" s="146" t="n"/>
      <c r="C66" s="266" t="inlineStr">
        <is>
          <t>02.2.04.03-0012</t>
        </is>
      </c>
      <c r="D66" s="264" t="inlineStr">
        <is>
          <t>Смесь песчано-гравийная природная обогащенная с содержанием гравия: 25-35 %</t>
        </is>
      </c>
      <c r="E66" s="265" t="inlineStr">
        <is>
          <t>м3</t>
        </is>
      </c>
      <c r="F66" s="147" t="n">
        <v>16.26</v>
      </c>
      <c r="G66" s="267" t="n">
        <v>69.55</v>
      </c>
      <c r="H66" s="32">
        <f>ROUND(F66*G66,2)</f>
        <v/>
      </c>
      <c r="I66" s="163" t="n"/>
    </row>
    <row r="67" ht="25.5" customHeight="1">
      <c r="A67" s="146" t="inlineStr">
        <is>
          <t>54</t>
        </is>
      </c>
      <c r="B67" s="146" t="n"/>
      <c r="C67" s="266" t="inlineStr">
        <is>
          <t>02.2.05.04-0052</t>
        </is>
      </c>
      <c r="D67" s="264" t="inlineStr">
        <is>
          <t>Щебень из гравия для строительных работ марка 800, фракция 40-70 мм</t>
        </is>
      </c>
      <c r="E67" s="265" t="inlineStr">
        <is>
          <t>м3</t>
        </is>
      </c>
      <c r="F67" s="147" t="n">
        <v>8.58</v>
      </c>
      <c r="G67" s="267" t="n">
        <v>125.95</v>
      </c>
      <c r="H67" s="32">
        <f>ROUND(F67*G67,2)</f>
        <v/>
      </c>
      <c r="I67" s="163" t="n"/>
    </row>
    <row r="68" ht="25.5" customHeight="1">
      <c r="A68" s="146" t="inlineStr">
        <is>
          <t>51</t>
        </is>
      </c>
      <c r="B68" s="146" t="n"/>
      <c r="C68" s="266" t="inlineStr">
        <is>
          <t>05.1.01.10-0131</t>
        </is>
      </c>
      <c r="D68" s="264" t="inlineStr">
        <is>
          <t>Лотки каналов и тоннелей железобетонные для прокладки коммуникаций</t>
        </is>
      </c>
      <c r="E68" s="265" t="inlineStr">
        <is>
          <t>м3</t>
        </is>
      </c>
      <c r="F68" s="147">
        <f>0.28*2</f>
        <v/>
      </c>
      <c r="G68" s="267" t="n">
        <v>1837.28</v>
      </c>
      <c r="H68" s="32">
        <f>ROUND(F68*G68,2)</f>
        <v/>
      </c>
      <c r="I68" s="163" t="n"/>
    </row>
    <row r="69">
      <c r="A69" s="146" t="inlineStr">
        <is>
          <t>55</t>
        </is>
      </c>
      <c r="B69" s="146" t="n"/>
      <c r="C69" s="266" t="inlineStr">
        <is>
          <t>62.1.04.05-0017</t>
        </is>
      </c>
      <c r="D69" s="264" t="inlineStr">
        <is>
          <t>Реле напряжения: РН-74 УХЛ4</t>
        </is>
      </c>
      <c r="E69" s="265" t="inlineStr">
        <is>
          <t>шт</t>
        </is>
      </c>
      <c r="F69" s="147" t="n">
        <v>2</v>
      </c>
      <c r="G69" s="267" t="n">
        <v>485.39</v>
      </c>
      <c r="H69" s="32">
        <f>ROUND(F69*G69,2)</f>
        <v/>
      </c>
      <c r="I69" s="163" t="n"/>
    </row>
    <row r="70" ht="51" customHeight="1">
      <c r="A70" s="146" t="inlineStr">
        <is>
          <t>57</t>
        </is>
      </c>
      <c r="B70" s="146" t="n"/>
      <c r="C70" s="266" t="inlineStr">
        <is>
          <t>69.3.02.02-0007</t>
        </is>
      </c>
      <c r="D70" s="264" t="inlineStr">
        <is>
          <t xml:space="preserve">Терморегуляторы проходные с дистанционным датчиком, диапазон настройки 6-26 °C, никелированные (прим.Терморегулятор ТСТ-6011.R)
</t>
        </is>
      </c>
      <c r="E70" s="265" t="inlineStr">
        <is>
          <t>шт.</t>
        </is>
      </c>
      <c r="F70" s="147" t="n">
        <v>2</v>
      </c>
      <c r="G70" s="267" t="n">
        <v>240.8</v>
      </c>
      <c r="H70" s="32">
        <f>ROUND(F70*G70,2)</f>
        <v/>
      </c>
      <c r="I70" s="163" t="n"/>
    </row>
    <row r="71">
      <c r="A71" s="146" t="inlineStr">
        <is>
          <t>56</t>
        </is>
      </c>
      <c r="B71" s="146" t="n"/>
      <c r="C71" s="266" t="inlineStr">
        <is>
          <t>01.7.17.11-0001</t>
        </is>
      </c>
      <c r="D71" s="264" t="inlineStr">
        <is>
          <t>Бумага шлифовальная</t>
        </is>
      </c>
      <c r="E71" s="265" t="inlineStr">
        <is>
          <t>кг</t>
        </is>
      </c>
      <c r="F71" s="147" t="n">
        <v>8</v>
      </c>
      <c r="G71" s="267" t="n">
        <v>50</v>
      </c>
      <c r="H71" s="32">
        <f>ROUND(F71*G71,2)</f>
        <v/>
      </c>
      <c r="I71" s="163" t="n"/>
    </row>
    <row r="72" ht="51" customHeight="1">
      <c r="A72" s="146" t="inlineStr">
        <is>
          <t>44</t>
        </is>
      </c>
      <c r="B72" s="146" t="n"/>
      <c r="C72" s="146" t="inlineStr">
        <is>
          <t>62.3.04.01-0027</t>
        </is>
      </c>
      <c r="D72" s="264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E72" s="265" t="inlineStr">
        <is>
          <t>10 шт.</t>
        </is>
      </c>
      <c r="F72" s="265" t="n">
        <v>0.6</v>
      </c>
      <c r="G72" s="267" t="n">
        <v>495.3</v>
      </c>
      <c r="H72" s="32">
        <f>ROUND(F72*G72,2)</f>
        <v/>
      </c>
      <c r="I72" s="163" t="n"/>
      <c r="J72" s="163" t="n"/>
    </row>
    <row r="73" ht="25.5" customHeight="1">
      <c r="A73" s="146" t="inlineStr">
        <is>
          <t>58</t>
        </is>
      </c>
      <c r="B73" s="146" t="n"/>
      <c r="C73" s="266" t="inlineStr">
        <is>
          <t>999-9950</t>
        </is>
      </c>
      <c r="D73" s="264" t="inlineStr">
        <is>
          <t>Вспомогательные ненормируемые ресурсы (2% от Оплаты труда рабочих)</t>
        </is>
      </c>
      <c r="E73" s="265" t="inlineStr">
        <is>
          <t>руб</t>
        </is>
      </c>
      <c r="F73" s="147" t="n">
        <v>236.7029</v>
      </c>
      <c r="G73" s="267" t="n">
        <v>1</v>
      </c>
      <c r="H73" s="32">
        <f>ROUND(F73*G73,2)</f>
        <v/>
      </c>
      <c r="I73" s="163" t="n"/>
    </row>
    <row r="74">
      <c r="A74" s="146" t="inlineStr">
        <is>
          <t>59</t>
        </is>
      </c>
      <c r="B74" s="146" t="n"/>
      <c r="C74" s="266" t="inlineStr">
        <is>
          <t>01.3.02.08-0001</t>
        </is>
      </c>
      <c r="D74" s="264" t="inlineStr">
        <is>
          <t>Кислород технический: газообразный</t>
        </is>
      </c>
      <c r="E74" s="265" t="inlineStr">
        <is>
          <t>м3</t>
        </is>
      </c>
      <c r="F74" s="147" t="n">
        <v>35.04</v>
      </c>
      <c r="G74" s="267" t="n">
        <v>6.22</v>
      </c>
      <c r="H74" s="32">
        <f>ROUND(F74*G74,2)</f>
        <v/>
      </c>
      <c r="I74" s="163" t="n"/>
    </row>
    <row r="75" ht="25.5" customHeight="1">
      <c r="A75" s="146" t="inlineStr">
        <is>
          <t>60</t>
        </is>
      </c>
      <c r="B75" s="146" t="n"/>
      <c r="C75" s="266" t="inlineStr">
        <is>
          <t>08.3.08.02-0052</t>
        </is>
      </c>
      <c r="D75" s="264" t="inlineStr">
        <is>
          <t>Сталь угловая равнополочная, марка стали: ВСт3кп2, размером 50x50x5 мм</t>
        </is>
      </c>
      <c r="E75" s="265" t="inlineStr">
        <is>
          <t>т</t>
        </is>
      </c>
      <c r="F75" s="147" t="n">
        <v>0.0377</v>
      </c>
      <c r="G75" s="267" t="n">
        <v>5763</v>
      </c>
      <c r="H75" s="32">
        <f>ROUND(F75*G75,2)</f>
        <v/>
      </c>
      <c r="I75" s="163" t="n"/>
    </row>
    <row r="76">
      <c r="A76" s="146" t="inlineStr">
        <is>
          <t>52</t>
        </is>
      </c>
      <c r="B76" s="146" t="n"/>
      <c r="C76" s="158" t="inlineStr">
        <is>
          <t>02.2.05.04-1777</t>
        </is>
      </c>
      <c r="D76" s="177" t="inlineStr">
        <is>
          <t>Щебень М 800, фракция 20-40 мм, группа 2</t>
        </is>
      </c>
      <c r="E76" s="280" t="inlineStr">
        <is>
          <t>м3</t>
        </is>
      </c>
      <c r="F76" s="266">
        <f>1*1*2</f>
        <v/>
      </c>
      <c r="G76" s="279" t="n">
        <v>108.4</v>
      </c>
      <c r="H76" s="32">
        <f>ROUND(F76*G76,2)</f>
        <v/>
      </c>
      <c r="I76" s="163" t="n"/>
    </row>
    <row r="77" ht="25.5" customHeight="1">
      <c r="A77" s="146" t="inlineStr">
        <is>
          <t>61</t>
        </is>
      </c>
      <c r="B77" s="146" t="n"/>
      <c r="C77" s="266" t="inlineStr">
        <is>
          <t>08.3.07.01-0076</t>
        </is>
      </c>
      <c r="D77" s="264" t="inlineStr">
        <is>
          <t>Сталь полосовая, марка стали: Ст3сп шириной 50-200 мм толщиной 4-5 мм</t>
        </is>
      </c>
      <c r="E77" s="265" t="inlineStr">
        <is>
          <t>т</t>
        </is>
      </c>
      <c r="F77" s="147" t="n">
        <v>0.0386</v>
      </c>
      <c r="G77" s="267" t="n">
        <v>5000</v>
      </c>
      <c r="H77" s="32">
        <f>ROUND(F77*G77,2)</f>
        <v/>
      </c>
      <c r="I77" s="163" t="n"/>
    </row>
    <row r="78">
      <c r="A78" s="146" t="inlineStr">
        <is>
          <t>62</t>
        </is>
      </c>
      <c r="B78" s="146" t="n"/>
      <c r="C78" s="266" t="inlineStr">
        <is>
          <t>01.3.02.03-0001</t>
        </is>
      </c>
      <c r="D78" s="264" t="inlineStr">
        <is>
          <t>Ацетилен газообразный технический</t>
        </is>
      </c>
      <c r="E78" s="265" t="inlineStr">
        <is>
          <t>м3</t>
        </is>
      </c>
      <c r="F78" s="147" t="n">
        <v>4.555</v>
      </c>
      <c r="G78" s="267" t="n">
        <v>38.51</v>
      </c>
      <c r="H78" s="32">
        <f>ROUND(F78*G78,2)</f>
        <v/>
      </c>
      <c r="I78" s="163" t="n"/>
    </row>
    <row r="79">
      <c r="A79" s="146" t="inlineStr">
        <is>
          <t>63</t>
        </is>
      </c>
      <c r="B79" s="146" t="n"/>
      <c r="C79" s="266" t="inlineStr">
        <is>
          <t>01.7.15.03-0042</t>
        </is>
      </c>
      <c r="D79" s="264" t="inlineStr">
        <is>
          <t>Болты с гайками и шайбами строительные</t>
        </is>
      </c>
      <c r="E79" s="265" t="inlineStr">
        <is>
          <t>кг</t>
        </is>
      </c>
      <c r="F79" s="147" t="n">
        <v>16.396</v>
      </c>
      <c r="G79" s="267" t="n">
        <v>9.039999999999999</v>
      </c>
      <c r="H79" s="32">
        <f>ROUND(F79*G79,2)</f>
        <v/>
      </c>
      <c r="I79" s="163" t="n"/>
    </row>
    <row r="80">
      <c r="A80" s="146" t="inlineStr">
        <is>
          <t>64</t>
        </is>
      </c>
      <c r="B80" s="146" t="n"/>
      <c r="C80" s="266" t="inlineStr">
        <is>
          <t>08.3.07.01-0043</t>
        </is>
      </c>
      <c r="D80" s="264" t="inlineStr">
        <is>
          <t>Сталь полосовая: 40х5 мм, марка Ст3сп</t>
        </is>
      </c>
      <c r="E80" s="265" t="inlineStr">
        <is>
          <t>т</t>
        </is>
      </c>
      <c r="F80" s="147" t="n">
        <v>0.01884</v>
      </c>
      <c r="G80" s="267" t="n">
        <v>6159.22</v>
      </c>
      <c r="H80" s="32">
        <f>ROUND(F80*G80,2)</f>
        <v/>
      </c>
      <c r="I80" s="163" t="n"/>
    </row>
    <row r="81" ht="25.5" customHeight="1">
      <c r="A81" s="146" t="inlineStr">
        <is>
          <t>65</t>
        </is>
      </c>
      <c r="B81" s="146" t="n"/>
      <c r="C81" s="266" t="inlineStr">
        <is>
          <t>07.2.07.04-0007</t>
        </is>
      </c>
      <c r="D81" s="264" t="inlineStr">
        <is>
          <t>Конструкции стальные индивидуальные: решетчатые сварные массой до 0,1 т</t>
        </is>
      </c>
      <c r="E81" s="265" t="inlineStr">
        <is>
          <t>т</t>
        </is>
      </c>
      <c r="F81" s="147" t="n">
        <v>0.01</v>
      </c>
      <c r="G81" s="267" t="n">
        <v>11500</v>
      </c>
      <c r="H81" s="32">
        <f>ROUND(F81*G81,2)</f>
        <v/>
      </c>
      <c r="I81" s="163" t="n"/>
    </row>
    <row r="82">
      <c r="A82" s="146" t="inlineStr">
        <is>
          <t>66</t>
        </is>
      </c>
      <c r="B82" s="146" t="n"/>
      <c r="C82" s="266" t="inlineStr">
        <is>
          <t>14.4.02.09-0001</t>
        </is>
      </c>
      <c r="D82" s="264" t="inlineStr">
        <is>
          <t>Краска</t>
        </is>
      </c>
      <c r="E82" s="265" t="inlineStr">
        <is>
          <t>кг</t>
        </is>
      </c>
      <c r="F82" s="147" t="n">
        <v>2.684</v>
      </c>
      <c r="G82" s="267" t="n">
        <v>28.6</v>
      </c>
      <c r="H82" s="32">
        <f>ROUND(F82*G82,2)</f>
        <v/>
      </c>
      <c r="I82" s="163" t="n"/>
    </row>
    <row r="83">
      <c r="A83" s="146" t="inlineStr">
        <is>
          <t>67</t>
        </is>
      </c>
      <c r="B83" s="146" t="n"/>
      <c r="C83" s="266" t="inlineStr">
        <is>
          <t>14.4.02.09-0301</t>
        </is>
      </c>
      <c r="D83" s="264" t="inlineStr">
        <is>
          <t>Краска "Цинол"</t>
        </is>
      </c>
      <c r="E83" s="265" t="inlineStr">
        <is>
          <t>кг</t>
        </is>
      </c>
      <c r="F83" s="147" t="n">
        <v>0.276</v>
      </c>
      <c r="G83" s="267" t="n">
        <v>238.48</v>
      </c>
      <c r="H83" s="32">
        <f>ROUND(F83*G83,2)</f>
        <v/>
      </c>
      <c r="I83" s="163" t="n"/>
    </row>
    <row r="84">
      <c r="A84" s="146" t="inlineStr">
        <is>
          <t>68</t>
        </is>
      </c>
      <c r="B84" s="146" t="n"/>
      <c r="C84" s="266" t="inlineStr">
        <is>
          <t>25.2.01.01-0001</t>
        </is>
      </c>
      <c r="D84" s="264" t="inlineStr">
        <is>
          <t>Бирки-оконцеватели</t>
        </is>
      </c>
      <c r="E84" s="265" t="inlineStr">
        <is>
          <t>100 шт.</t>
        </is>
      </c>
      <c r="F84" s="147" t="n">
        <v>0.82</v>
      </c>
      <c r="G84" s="267" t="n">
        <v>63</v>
      </c>
      <c r="H84" s="32">
        <f>ROUND(F84*G84,2)</f>
        <v/>
      </c>
      <c r="I84" s="163" t="n"/>
    </row>
    <row r="85">
      <c r="A85" s="146" t="inlineStr">
        <is>
          <t>69</t>
        </is>
      </c>
      <c r="B85" s="146" t="n"/>
      <c r="C85" s="266" t="inlineStr">
        <is>
          <t>14.4.02.09-0301</t>
        </is>
      </c>
      <c r="D85" s="264" t="inlineStr">
        <is>
          <t>Краска "Цинол"</t>
        </is>
      </c>
      <c r="E85" s="265" t="inlineStr">
        <is>
          <t>кг</t>
        </is>
      </c>
      <c r="F85" s="147" t="n">
        <v>0.2</v>
      </c>
      <c r="G85" s="267" t="n">
        <v>238.48</v>
      </c>
      <c r="H85" s="32">
        <f>ROUND(F85*G85,2)</f>
        <v/>
      </c>
      <c r="I85" s="163" t="n"/>
    </row>
    <row r="86" ht="25.5" customHeight="1">
      <c r="A86" s="146" t="inlineStr">
        <is>
          <t>70</t>
        </is>
      </c>
      <c r="B86" s="146" t="n"/>
      <c r="C86" s="266" t="inlineStr">
        <is>
          <t>61.2.04.01-0002</t>
        </is>
      </c>
      <c r="D86" s="264" t="inlineStr">
        <is>
          <t>Арматура светосигнальная АМЕ с лампой накаливания КМ- 24В</t>
        </is>
      </c>
      <c r="E86" s="265" t="inlineStr">
        <is>
          <t>10 шт.</t>
        </is>
      </c>
      <c r="F86" s="147" t="n">
        <v>0.2</v>
      </c>
      <c r="G86" s="267" t="n">
        <v>194.2</v>
      </c>
      <c r="H86" s="32">
        <f>ROUND(F86*G86,2)</f>
        <v/>
      </c>
      <c r="I86" s="163" t="n"/>
    </row>
    <row r="87">
      <c r="A87" s="146" t="inlineStr">
        <is>
          <t>71</t>
        </is>
      </c>
      <c r="B87" s="146" t="n"/>
      <c r="C87" s="266" t="inlineStr">
        <is>
          <t>14.5.09.11-0101</t>
        </is>
      </c>
      <c r="D87" s="264" t="inlineStr">
        <is>
          <t>Уайт-спирит</t>
        </is>
      </c>
      <c r="E87" s="265" t="inlineStr">
        <is>
          <t>т</t>
        </is>
      </c>
      <c r="F87" s="147" t="n">
        <v>0.005</v>
      </c>
      <c r="G87" s="267" t="n">
        <v>6667</v>
      </c>
      <c r="H87" s="32">
        <f>ROUND(F87*G87,2)</f>
        <v/>
      </c>
      <c r="I87" s="163" t="n"/>
    </row>
    <row r="88">
      <c r="A88" s="146" t="inlineStr">
        <is>
          <t>72</t>
        </is>
      </c>
      <c r="B88" s="146" t="n"/>
      <c r="C88" s="266" t="inlineStr">
        <is>
          <t>01.7.11.07-0032</t>
        </is>
      </c>
      <c r="D88" s="264" t="inlineStr">
        <is>
          <t>Электроды диаметром: 4 мм Э42</t>
        </is>
      </c>
      <c r="E88" s="265" t="inlineStr">
        <is>
          <t>т</t>
        </is>
      </c>
      <c r="F88" s="147" t="n">
        <v>0.0031</v>
      </c>
      <c r="G88" s="267" t="n">
        <v>10315.01</v>
      </c>
      <c r="H88" s="32">
        <f>ROUND(F88*G88,2)</f>
        <v/>
      </c>
      <c r="I88" s="163" t="n"/>
    </row>
    <row r="89" ht="25.5" customHeight="1">
      <c r="A89" s="146" t="inlineStr">
        <is>
          <t>73</t>
        </is>
      </c>
      <c r="B89" s="146" t="n"/>
      <c r="C89" s="266" t="inlineStr">
        <is>
          <t>01.3.01.06-0050</t>
        </is>
      </c>
      <c r="D89" s="264" t="inlineStr">
        <is>
          <t>Смазка универсальная тугоплавкая УТ (консталин жировой)</t>
        </is>
      </c>
      <c r="E89" s="265" t="inlineStr">
        <is>
          <t>т</t>
        </is>
      </c>
      <c r="F89" s="147" t="n">
        <v>0.0016</v>
      </c>
      <c r="G89" s="267" t="n">
        <v>17500</v>
      </c>
      <c r="H89" s="32">
        <f>ROUND(F89*G89,2)</f>
        <v/>
      </c>
      <c r="I89" s="163" t="n"/>
    </row>
    <row r="90">
      <c r="A90" s="146" t="inlineStr">
        <is>
          <t>74</t>
        </is>
      </c>
      <c r="B90" s="146" t="n"/>
      <c r="C90" s="266" t="inlineStr">
        <is>
          <t>01.7.11.07-0034</t>
        </is>
      </c>
      <c r="D90" s="264" t="inlineStr">
        <is>
          <t>Электроды диаметром: 4 мм Э42А</t>
        </is>
      </c>
      <c r="E90" s="265" t="inlineStr">
        <is>
          <t>кг</t>
        </is>
      </c>
      <c r="F90" s="147" t="n">
        <v>2.2543</v>
      </c>
      <c r="G90" s="267" t="n">
        <v>10.57</v>
      </c>
      <c r="H90" s="32">
        <f>ROUND(F90*G90,2)</f>
        <v/>
      </c>
      <c r="I90" s="163" t="n"/>
    </row>
    <row r="91" ht="25.5" customHeight="1">
      <c r="A91" s="146" t="inlineStr">
        <is>
          <t>75</t>
        </is>
      </c>
      <c r="B91" s="146" t="n"/>
      <c r="C91" s="266" t="inlineStr">
        <is>
          <t>01.7.15.03-0033</t>
        </is>
      </c>
      <c r="D91" s="264" t="inlineStr">
        <is>
          <t>Болты с гайками и шайбами оцинкованные, диаметр: 10 мм</t>
        </is>
      </c>
      <c r="E91" s="265" t="inlineStr">
        <is>
          <t>кг</t>
        </is>
      </c>
      <c r="F91" s="147" t="n">
        <v>0.872</v>
      </c>
      <c r="G91" s="267" t="n">
        <v>26.32</v>
      </c>
      <c r="H91" s="32">
        <f>ROUND(F91*G91,2)</f>
        <v/>
      </c>
      <c r="I91" s="163" t="n"/>
    </row>
    <row r="92">
      <c r="A92" s="146" t="inlineStr">
        <is>
          <t>76</t>
        </is>
      </c>
      <c r="B92" s="146" t="n"/>
      <c r="C92" s="266" t="inlineStr">
        <is>
          <t>01.7.20.08-0031</t>
        </is>
      </c>
      <c r="D92" s="264" t="inlineStr">
        <is>
          <t>Бязь суровая арт. 6804</t>
        </is>
      </c>
      <c r="E92" s="265" t="inlineStr">
        <is>
          <t>10 м2</t>
        </is>
      </c>
      <c r="F92" s="147" t="n">
        <v>0.252</v>
      </c>
      <c r="G92" s="267" t="n">
        <v>79.09999999999999</v>
      </c>
      <c r="H92" s="32">
        <f>ROUND(F92*G92,2)</f>
        <v/>
      </c>
      <c r="I92" s="163" t="n"/>
    </row>
    <row r="93">
      <c r="A93" s="146" t="inlineStr">
        <is>
          <t>77</t>
        </is>
      </c>
      <c r="B93" s="146" t="n"/>
      <c r="C93" s="266" t="inlineStr">
        <is>
          <t>01.7.07.12-0024</t>
        </is>
      </c>
      <c r="D93" s="264" t="inlineStr">
        <is>
          <t>Пленка полиэтиленовая толщиной: 0,15 мм</t>
        </is>
      </c>
      <c r="E93" s="265" t="inlineStr">
        <is>
          <t>м2</t>
        </is>
      </c>
      <c r="F93" s="147" t="n">
        <v>5.1</v>
      </c>
      <c r="G93" s="267" t="n">
        <v>3.62</v>
      </c>
      <c r="H93" s="32">
        <f>ROUND(F93*G93,2)</f>
        <v/>
      </c>
      <c r="I93" s="163" t="n"/>
    </row>
    <row r="94" ht="25.5" customHeight="1">
      <c r="A94" s="146" t="inlineStr">
        <is>
          <t>78</t>
        </is>
      </c>
      <c r="B94" s="146" t="n"/>
      <c r="C94" s="266" t="inlineStr">
        <is>
          <t>14.2.01.05-0001</t>
        </is>
      </c>
      <c r="D94" s="264" t="inlineStr">
        <is>
          <t>Композиция "Алпол" (на основе термопластичных полимеров)</t>
        </is>
      </c>
      <c r="E94" s="265" t="inlineStr">
        <is>
          <t>кг</t>
        </is>
      </c>
      <c r="F94" s="147" t="n">
        <v>0.3</v>
      </c>
      <c r="G94" s="267" t="n">
        <v>54.99</v>
      </c>
      <c r="H94" s="32">
        <f>ROUND(F94*G94,2)</f>
        <v/>
      </c>
      <c r="I94" s="163" t="n"/>
    </row>
    <row r="95" ht="25.5" customHeight="1">
      <c r="A95" s="146" t="inlineStr">
        <is>
          <t>79</t>
        </is>
      </c>
      <c r="B95" s="146" t="n"/>
      <c r="C95" s="266" t="inlineStr">
        <is>
          <t>08.3.08.02-0091</t>
        </is>
      </c>
      <c r="D95" s="264" t="inlineStr">
        <is>
          <t>Сталь угловая, марки Ст3, перфорированная УП 35х35 мм</t>
        </is>
      </c>
      <c r="E95" s="265" t="inlineStr">
        <is>
          <t>м</t>
        </is>
      </c>
      <c r="F95" s="147" t="n">
        <v>0.95</v>
      </c>
      <c r="G95" s="267" t="n">
        <v>15.13</v>
      </c>
      <c r="H95" s="32">
        <f>ROUND(F95*G95,2)</f>
        <v/>
      </c>
      <c r="I95" s="163" t="n"/>
    </row>
    <row r="96">
      <c r="A96" s="146" t="inlineStr">
        <is>
          <t>80</t>
        </is>
      </c>
      <c r="B96" s="146" t="n"/>
      <c r="C96" s="266" t="inlineStr">
        <is>
          <t>01.7.15.07-0014</t>
        </is>
      </c>
      <c r="D96" s="264" t="inlineStr">
        <is>
          <t>Дюбели распорные полипропиленовые</t>
        </is>
      </c>
      <c r="E96" s="265" t="inlineStr">
        <is>
          <t>100 шт.</t>
        </is>
      </c>
      <c r="F96" s="147" t="n">
        <v>0.1504</v>
      </c>
      <c r="G96" s="267" t="n">
        <v>86</v>
      </c>
      <c r="H96" s="32">
        <f>ROUND(F96*G96,2)</f>
        <v/>
      </c>
      <c r="I96" s="163" t="n"/>
    </row>
    <row r="97">
      <c r="A97" s="146" t="inlineStr">
        <is>
          <t>81</t>
        </is>
      </c>
      <c r="B97" s="146" t="n"/>
      <c r="C97" s="266" t="inlineStr">
        <is>
          <t>20.1.02.23-0082</t>
        </is>
      </c>
      <c r="D97" s="264" t="inlineStr">
        <is>
          <t>Перемычки гибкие, тип ПГС-50</t>
        </is>
      </c>
      <c r="E97" s="265" t="inlineStr">
        <is>
          <t>10 шт.</t>
        </is>
      </c>
      <c r="F97" s="147" t="n">
        <v>0.2</v>
      </c>
      <c r="G97" s="267" t="n">
        <v>39</v>
      </c>
      <c r="H97" s="32">
        <f>ROUND(F97*G97,2)</f>
        <v/>
      </c>
      <c r="I97" s="163" t="n"/>
    </row>
    <row r="98" ht="25.5" customHeight="1">
      <c r="A98" s="146" t="inlineStr">
        <is>
          <t>82</t>
        </is>
      </c>
      <c r="B98" s="146" t="n"/>
      <c r="C98" s="266" t="inlineStr">
        <is>
          <t>08.3.05.02-0052</t>
        </is>
      </c>
      <c r="D98" s="264" t="inlineStr">
        <is>
          <t>Сталь листовая горячекатаная марки Ст3 толщиной: 2-6 мм</t>
        </is>
      </c>
      <c r="E98" s="265" t="inlineStr">
        <is>
          <t>т</t>
        </is>
      </c>
      <c r="F98" s="147" t="n">
        <v>0.001</v>
      </c>
      <c r="G98" s="267" t="n">
        <v>5941.89</v>
      </c>
      <c r="H98" s="32">
        <f>ROUND(F98*G98,2)</f>
        <v/>
      </c>
      <c r="I98" s="163" t="n"/>
    </row>
    <row r="99" ht="25.5" customHeight="1">
      <c r="A99" s="146" t="inlineStr">
        <is>
          <t>83</t>
        </is>
      </c>
      <c r="B99" s="146" t="n"/>
      <c r="C99" s="266" t="inlineStr">
        <is>
          <t>01.7.06.05-0041</t>
        </is>
      </c>
      <c r="D99" s="264" t="inlineStr">
        <is>
          <t>Лента изоляционная прорезиненная односторонняя ширина 20 мм, толщина 0,25-0,35 мм</t>
        </is>
      </c>
      <c r="E99" s="265" t="inlineStr">
        <is>
          <t>кг</t>
        </is>
      </c>
      <c r="F99" s="147" t="n">
        <v>0.16</v>
      </c>
      <c r="G99" s="267" t="n">
        <v>30.4</v>
      </c>
      <c r="H99" s="32">
        <f>ROUND(F99*G99,2)</f>
        <v/>
      </c>
      <c r="I99" s="163" t="n"/>
    </row>
    <row r="100">
      <c r="A100" s="146" t="inlineStr">
        <is>
          <t>84</t>
        </is>
      </c>
      <c r="B100" s="146" t="n"/>
      <c r="C100" s="266" t="inlineStr">
        <is>
          <t>01.3.01.02-0002</t>
        </is>
      </c>
      <c r="D100" s="264" t="inlineStr">
        <is>
          <t>Вазелин технический</t>
        </is>
      </c>
      <c r="E100" s="265" t="inlineStr">
        <is>
          <t>кг</t>
        </is>
      </c>
      <c r="F100" s="147" t="n">
        <v>0.08</v>
      </c>
      <c r="G100" s="267" t="n">
        <v>44.97</v>
      </c>
      <c r="H100" s="32">
        <f>ROUND(F100*G100,2)</f>
        <v/>
      </c>
      <c r="I100" s="163" t="n"/>
    </row>
    <row r="101">
      <c r="A101" s="146" t="inlineStr">
        <is>
          <t>85</t>
        </is>
      </c>
      <c r="B101" s="146" t="n"/>
      <c r="C101" s="266" t="inlineStr">
        <is>
          <t>01.7.15.07-0031</t>
        </is>
      </c>
      <c r="D101" s="264" t="inlineStr">
        <is>
          <t>Дюбели распорные с гайкой</t>
        </is>
      </c>
      <c r="E101" s="265" t="inlineStr">
        <is>
          <t>100 шт.</t>
        </is>
      </c>
      <c r="F101" s="147" t="n">
        <v>0.0302</v>
      </c>
      <c r="G101" s="267" t="n">
        <v>110</v>
      </c>
      <c r="H101" s="32">
        <f>ROUND(F101*G101,2)</f>
        <v/>
      </c>
      <c r="I101" s="163" t="n"/>
    </row>
    <row r="102" ht="25.5" customHeight="1">
      <c r="A102" s="146" t="inlineStr">
        <is>
          <t>86</t>
        </is>
      </c>
      <c r="B102" s="146" t="n"/>
      <c r="C102" s="266" t="inlineStr">
        <is>
          <t>03.2.01.01-0003</t>
        </is>
      </c>
      <c r="D102" s="264" t="inlineStr">
        <is>
          <t>Портландцемент общестроительного назначения бездобавочный, марки: 500</t>
        </is>
      </c>
      <c r="E102" s="265" t="inlineStr">
        <is>
          <t>т</t>
        </is>
      </c>
      <c r="F102" s="147" t="n">
        <v>0.0068</v>
      </c>
      <c r="G102" s="267" t="n">
        <v>480</v>
      </c>
      <c r="H102" s="32">
        <f>ROUND(F102*G102,2)</f>
        <v/>
      </c>
      <c r="I102" s="163" t="n"/>
    </row>
    <row r="103">
      <c r="A103" s="146" t="inlineStr">
        <is>
          <t>87</t>
        </is>
      </c>
      <c r="B103" s="146" t="n"/>
      <c r="C103" s="266" t="inlineStr">
        <is>
          <t>14.4.03.17-0011</t>
        </is>
      </c>
      <c r="D103" s="264" t="inlineStr">
        <is>
          <t>Лак электроизоляционный 318</t>
        </is>
      </c>
      <c r="E103" s="265" t="inlineStr">
        <is>
          <t>кг</t>
        </is>
      </c>
      <c r="F103" s="147" t="n">
        <v>0.08</v>
      </c>
      <c r="G103" s="267" t="n">
        <v>35.63</v>
      </c>
      <c r="H103" s="32">
        <f>ROUND(F103*G103,2)</f>
        <v/>
      </c>
      <c r="I103" s="163" t="n"/>
    </row>
    <row r="104">
      <c r="A104" s="146" t="inlineStr">
        <is>
          <t>88</t>
        </is>
      </c>
      <c r="B104" s="146" t="n"/>
      <c r="C104" s="266" t="inlineStr">
        <is>
          <t>01.7.20.04-0005</t>
        </is>
      </c>
      <c r="D104" s="264" t="inlineStr">
        <is>
          <t>Нитки швейные</t>
        </is>
      </c>
      <c r="E104" s="265" t="inlineStr">
        <is>
          <t>кг</t>
        </is>
      </c>
      <c r="F104" s="147" t="n">
        <v>0.008</v>
      </c>
      <c r="G104" s="267" t="n">
        <v>133.05</v>
      </c>
      <c r="H104" s="32">
        <f>ROUND(F104*G104,2)</f>
        <v/>
      </c>
      <c r="I104" s="163" t="n"/>
    </row>
    <row r="105">
      <c r="A105" s="146" t="inlineStr">
        <is>
          <t>89</t>
        </is>
      </c>
      <c r="B105" s="146" t="n"/>
      <c r="C105" s="266" t="inlineStr">
        <is>
          <t>01.7.15.11-0061</t>
        </is>
      </c>
      <c r="D105" s="264" t="inlineStr">
        <is>
          <t>Шайбы пружинные</t>
        </is>
      </c>
      <c r="E105" s="265" t="inlineStr">
        <is>
          <t>т</t>
        </is>
      </c>
      <c r="F105" s="147" t="n">
        <v>2.6e-05</v>
      </c>
      <c r="G105" s="267" t="n">
        <v>31600</v>
      </c>
      <c r="H105" s="32">
        <f>ROUND(F105*G105,2)</f>
        <v/>
      </c>
      <c r="I105" s="163" t="n"/>
    </row>
    <row r="106">
      <c r="A106" s="146" t="inlineStr">
        <is>
          <t>90</t>
        </is>
      </c>
      <c r="B106" s="146" t="n"/>
      <c r="C106" s="266" t="inlineStr">
        <is>
          <t>01.7.15.07-0007</t>
        </is>
      </c>
      <c r="D106" s="264" t="inlineStr">
        <is>
          <t>Дюбели пластмассовые диаметр 14 мм</t>
        </is>
      </c>
      <c r="E106" s="265" t="inlineStr">
        <is>
          <t>100 шт.</t>
        </is>
      </c>
      <c r="F106" s="147" t="n">
        <v>0.02</v>
      </c>
      <c r="G106" s="267" t="n">
        <v>26.6</v>
      </c>
      <c r="H106" s="32">
        <f>ROUND(F106*G106,2)</f>
        <v/>
      </c>
      <c r="I106" s="163" t="n"/>
    </row>
    <row r="107" ht="25.5" customHeight="1">
      <c r="A107" s="146" t="inlineStr">
        <is>
          <t>91</t>
        </is>
      </c>
      <c r="B107" s="146" t="n"/>
      <c r="C107" s="266" t="inlineStr">
        <is>
          <t>02.3.01.02-0020</t>
        </is>
      </c>
      <c r="D107" s="264" t="inlineStr">
        <is>
          <t>Песок природный для строительных: растворов средний</t>
        </is>
      </c>
      <c r="E107" s="265" t="inlineStr">
        <is>
          <t>м3</t>
        </is>
      </c>
      <c r="F107" s="147" t="n">
        <v>0.0057</v>
      </c>
      <c r="G107" s="267" t="n">
        <v>59.99</v>
      </c>
      <c r="H107" s="32">
        <f>ROUND(F107*G107,2)</f>
        <v/>
      </c>
      <c r="I107" s="163" t="n"/>
    </row>
    <row r="108" ht="25.5" customHeight="1">
      <c r="A108" s="146" t="inlineStr">
        <is>
          <t>92</t>
        </is>
      </c>
      <c r="B108" s="146" t="n"/>
      <c r="C108" s="266" t="inlineStr">
        <is>
          <t>01.7.15.03-0031</t>
        </is>
      </c>
      <c r="D108" s="264" t="inlineStr">
        <is>
          <t>Болты с гайками и шайбами оцинкованные, диаметр: 6 мм</t>
        </is>
      </c>
      <c r="E108" s="265" t="inlineStr">
        <is>
          <t>кг</t>
        </is>
      </c>
      <c r="F108" s="147" t="n">
        <v>0.01</v>
      </c>
      <c r="G108" s="267" t="n">
        <v>28.22</v>
      </c>
      <c r="H108" s="32">
        <f>ROUND(F108*G108,2)</f>
        <v/>
      </c>
      <c r="I108" s="163" t="n"/>
    </row>
    <row r="109">
      <c r="A109" s="146" t="inlineStr">
        <is>
          <t>93</t>
        </is>
      </c>
      <c r="B109" s="146" t="n"/>
      <c r="C109" s="266" t="inlineStr">
        <is>
          <t>01.7.15.14-0043</t>
        </is>
      </c>
      <c r="D109" s="264" t="inlineStr">
        <is>
          <t>Шуруп самонарезающий: (LN) 3,5/11 мм</t>
        </is>
      </c>
      <c r="E109" s="265" t="inlineStr">
        <is>
          <t>100 шт.</t>
        </is>
      </c>
      <c r="F109" s="147" t="n">
        <v>0.1224</v>
      </c>
      <c r="G109" s="267" t="n">
        <v>2</v>
      </c>
      <c r="H109" s="32">
        <f>ROUND(F109*G109,2)</f>
        <v/>
      </c>
      <c r="I109" s="163" t="n"/>
    </row>
    <row r="110">
      <c r="A110" s="146" t="inlineStr">
        <is>
          <t>94</t>
        </is>
      </c>
      <c r="B110" s="146" t="n"/>
      <c r="C110" s="266" t="inlineStr">
        <is>
          <t>01.7.02.09-0002</t>
        </is>
      </c>
      <c r="D110" s="264" t="inlineStr">
        <is>
          <t>Шпагат бумажный</t>
        </is>
      </c>
      <c r="E110" s="265" t="inlineStr">
        <is>
          <t>кг</t>
        </is>
      </c>
      <c r="F110" s="147" t="n">
        <v>0.016</v>
      </c>
      <c r="G110" s="267" t="n">
        <v>11.5</v>
      </c>
      <c r="H110" s="32">
        <f>ROUND(F110*G110,2)</f>
        <v/>
      </c>
      <c r="I110" s="163" t="n"/>
    </row>
    <row r="111">
      <c r="A111" s="146" t="inlineStr">
        <is>
          <t>95</t>
        </is>
      </c>
      <c r="B111" s="146" t="n"/>
      <c r="C111" s="266" t="inlineStr">
        <is>
          <t>01.7.03.01-0001</t>
        </is>
      </c>
      <c r="D111" s="264" t="inlineStr">
        <is>
          <t>Вода</t>
        </is>
      </c>
      <c r="E111" s="265" t="inlineStr">
        <is>
          <t>м3</t>
        </is>
      </c>
      <c r="F111" s="147" t="n">
        <v>0.0041</v>
      </c>
      <c r="G111" s="267" t="n">
        <v>2.44</v>
      </c>
      <c r="H111" s="32">
        <f>ROUND(F111*G111,2)</f>
        <v/>
      </c>
      <c r="I111" s="163" t="n"/>
    </row>
    <row r="112">
      <c r="C112" s="153" t="n"/>
      <c r="D112" s="151" t="n"/>
      <c r="E112" s="152" t="n"/>
      <c r="F112" s="152" t="n"/>
      <c r="G112" s="154" t="n"/>
      <c r="H112" s="169" t="n"/>
    </row>
    <row r="113" ht="25.5" customHeight="1">
      <c r="B113" s="166" t="inlineStr">
        <is>
          <t xml:space="preserve">Примечание: </t>
        </is>
      </c>
      <c r="C113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14">
      <c r="I114" s="167" t="n"/>
    </row>
    <row r="117" ht="14.25" customFormat="1" customHeight="1" s="12">
      <c r="A117" s="4" t="inlineStr">
        <is>
          <t>Составил ______________________    Е. М. Добровольская</t>
        </is>
      </c>
    </row>
    <row r="118" ht="14.25" customFormat="1" customHeight="1" s="12">
      <c r="A118" s="33" t="inlineStr">
        <is>
          <t xml:space="preserve">                         (подпись, инициалы, фамилия)</t>
        </is>
      </c>
    </row>
    <row r="119" ht="14.25" customFormat="1" customHeight="1" s="12">
      <c r="A119" s="4" t="n"/>
    </row>
    <row r="120" ht="14.25" customFormat="1" customHeight="1" s="12">
      <c r="A120" s="4" t="inlineStr">
        <is>
          <t>Проверил ______________________        А.В. Костянецкая</t>
        </is>
      </c>
    </row>
    <row r="121" ht="14.25" customFormat="1" customHeight="1" s="12">
      <c r="A121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58:D58"/>
    <mergeCell ref="F9:F10"/>
    <mergeCell ref="A9:A10"/>
    <mergeCell ref="A12:D12"/>
    <mergeCell ref="A2:H2"/>
    <mergeCell ref="A26:D26"/>
    <mergeCell ref="A54:D54"/>
    <mergeCell ref="A6:H7"/>
    <mergeCell ref="A3:I3"/>
    <mergeCell ref="C4:H4"/>
    <mergeCell ref="C113:H113"/>
    <mergeCell ref="G9:H9"/>
    <mergeCell ref="A28:D28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6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62" t="inlineStr">
        <is>
          <t>Наименование разрабатываемой расценки УНЦ — ТН (четыре вторичные обмотки) на три фазы с устройством фундамента напряжение 110 кВ</t>
        </is>
      </c>
    </row>
    <row r="8">
      <c r="B8" s="263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3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3">
        <f>'Прил.5 Расчет СМР и ОБ'!J27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3">
        <f>'Прил.5 Расчет СМР и ОБ'!J47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3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3">
        <f>'Прил.5 Расчет СМР и ОБ'!J67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3">
        <f>'Прил.5 Расчет СМР и ОБ'!J114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ОБ'!D117</f>
        <v/>
      </c>
      <c r="D23" s="27" t="n"/>
      <c r="E23" s="25" t="n"/>
    </row>
    <row r="24">
      <c r="B24" s="25" t="inlineStr">
        <is>
          <t>ВСЕГО СМР с НР и СП</t>
        </is>
      </c>
      <c r="C24" s="18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3">
        <f>'Прил.5 Расчет СМР и ОБ'!J56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3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243752.4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3">
        <f>C40/'Прил.5 Расчет СМР и ОБ'!E121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  <rowBreaks count="1" manualBreakCount="1">
    <brk id="39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7"/>
  <sheetViews>
    <sheetView tabSelected="1" view="pageBreakPreview" topLeftCell="A94" zoomScale="70" workbookViewId="0">
      <selection activeCell="C124" sqref="C124"/>
    </sheetView>
  </sheetViews>
  <sheetFormatPr baseColWidth="8" defaultColWidth="9.140625" defaultRowHeight="15" outlineLevelRow="1"/>
  <cols>
    <col width="7.7109375" customWidth="1" style="12" min="1" max="1"/>
    <col width="22.5703125" customWidth="1" style="12" min="2" max="2"/>
    <col width="47.5703125" customWidth="1" style="12" min="3" max="3"/>
    <col width="17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6" t="inlineStr">
        <is>
          <t>Расчет стоимости СМР и оборудования</t>
        </is>
      </c>
    </row>
    <row r="5" ht="12.75" customFormat="1" customHeight="1" s="4">
      <c r="A5" s="236" t="n"/>
      <c r="B5" s="236" t="n"/>
      <c r="C5" s="285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4">
      <c r="A6" s="239" t="inlineStr">
        <is>
          <t>Наименование разрабатываемого показателя УНЦ</t>
        </is>
      </c>
      <c r="D6" s="239" t="inlineStr">
        <is>
          <t>ТН (четыре вторичные обмотки) на три фазы с устройством фундамента напряжение 110 кВ</t>
        </is>
      </c>
    </row>
    <row r="7" ht="12.75" customFormat="1" customHeight="1" s="4">
      <c r="A7" s="239" t="inlineStr">
        <is>
          <t>Единица измерения  — 1 ед.</t>
        </is>
      </c>
      <c r="I7" s="262" t="n"/>
      <c r="J7" s="262" t="n"/>
    </row>
    <row r="8" ht="13.5" customFormat="1" customHeight="1" s="4">
      <c r="A8" s="239" t="n"/>
    </row>
    <row r="9" ht="27" customHeight="1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29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29" t="n"/>
      <c r="M9" s="12" t="n"/>
      <c r="N9" s="12" t="n"/>
    </row>
    <row r="10" ht="28.5" customHeight="1">
      <c r="A10" s="331" t="n"/>
      <c r="B10" s="331" t="n"/>
      <c r="C10" s="331" t="n"/>
      <c r="D10" s="331" t="n"/>
      <c r="E10" s="331" t="n"/>
      <c r="F10" s="265" t="inlineStr">
        <is>
          <t>на ед. изм.</t>
        </is>
      </c>
      <c r="G10" s="265" t="inlineStr">
        <is>
          <t>общая</t>
        </is>
      </c>
      <c r="H10" s="331" t="n"/>
      <c r="I10" s="265" t="inlineStr">
        <is>
          <t>на ед. изм.</t>
        </is>
      </c>
      <c r="J10" s="265" t="inlineStr">
        <is>
          <t>общая</t>
        </is>
      </c>
      <c r="M10" s="12" t="n"/>
      <c r="N10" s="12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73" t="n">
        <v>9</v>
      </c>
      <c r="J11" s="273" t="n">
        <v>10</v>
      </c>
      <c r="M11" s="12" t="n"/>
      <c r="N11" s="12" t="n"/>
    </row>
    <row r="12">
      <c r="A12" s="265" t="n"/>
      <c r="B12" s="269" t="inlineStr">
        <is>
          <t>Затраты труда рабочих-строителей</t>
        </is>
      </c>
      <c r="C12" s="328" t="n"/>
      <c r="D12" s="328" t="n"/>
      <c r="E12" s="328" t="n"/>
      <c r="F12" s="328" t="n"/>
      <c r="G12" s="328" t="n"/>
      <c r="H12" s="329" t="n"/>
      <c r="I12" s="186" t="n"/>
      <c r="J12" s="186" t="n"/>
    </row>
    <row r="13" ht="34.5" customHeight="1">
      <c r="A13" s="265" t="n">
        <v>1</v>
      </c>
      <c r="B13" s="146" t="inlineStr">
        <is>
          <t>1-3-2</t>
        </is>
      </c>
      <c r="C13" s="264" t="inlineStr">
        <is>
          <t>Затраты труда рабочих (средний разряд работы 3,2)</t>
        </is>
      </c>
      <c r="D13" s="265" t="inlineStr">
        <is>
          <t>чел.час</t>
        </is>
      </c>
      <c r="E13" s="187" t="n">
        <v>1142.2471395881</v>
      </c>
      <c r="F13" s="32" t="n">
        <v>8.74</v>
      </c>
      <c r="G13" s="32">
        <f>SUM(Прил.3!H15:H25)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65" t="n">
        <v>2</v>
      </c>
      <c r="B14" s="146" t="inlineStr">
        <is>
          <t>10-30-1</t>
        </is>
      </c>
      <c r="C14" s="264" t="inlineStr">
        <is>
          <t>Инженер I категории</t>
        </is>
      </c>
      <c r="D14" s="265" t="inlineStr">
        <is>
          <t>чел.час</t>
        </is>
      </c>
      <c r="E14" s="187" t="n">
        <v>320.5</v>
      </c>
      <c r="F14" s="279" t="n">
        <v>15.49</v>
      </c>
      <c r="G14" s="32">
        <f>Прил.3!H13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65" t="n">
        <v>3</v>
      </c>
      <c r="B15" s="146" t="inlineStr">
        <is>
          <t>10-30-2</t>
        </is>
      </c>
      <c r="C15" s="264" t="inlineStr">
        <is>
          <t>Инженер II категории</t>
        </is>
      </c>
      <c r="D15" s="265" t="inlineStr">
        <is>
          <t>чел.час</t>
        </is>
      </c>
      <c r="E15" s="187" t="n">
        <v>320.5</v>
      </c>
      <c r="F15" s="279" t="n">
        <v>14.09</v>
      </c>
      <c r="G15" s="32">
        <f>Прил.3!H14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5" t="n"/>
      <c r="B16" s="265" t="n"/>
      <c r="C16" s="269" t="inlineStr">
        <is>
          <t>Итого по разделу "Затраты труда рабочих-строителей"</t>
        </is>
      </c>
      <c r="D16" s="265" t="inlineStr">
        <is>
          <t>чел.-ч.</t>
        </is>
      </c>
      <c r="E16" s="189">
        <f>SUM(E13:E15)</f>
        <v/>
      </c>
      <c r="F16" s="32" t="n"/>
      <c r="G16" s="32">
        <f>SUM(G13:G15)</f>
        <v/>
      </c>
      <c r="H16" s="268" t="n">
        <v>1</v>
      </c>
      <c r="I16" s="186" t="n"/>
      <c r="J16" s="32">
        <f>SUM(J13:J15)</f>
        <v/>
      </c>
    </row>
    <row r="17" ht="14.25" customFormat="1" customHeight="1" s="12">
      <c r="A17" s="265" t="n"/>
      <c r="B17" s="264" t="inlineStr">
        <is>
          <t>Затраты труда машинистов</t>
        </is>
      </c>
      <c r="C17" s="328" t="n"/>
      <c r="D17" s="328" t="n"/>
      <c r="E17" s="328" t="n"/>
      <c r="F17" s="328" t="n"/>
      <c r="G17" s="328" t="n"/>
      <c r="H17" s="329" t="n"/>
      <c r="I17" s="186" t="n"/>
      <c r="J17" s="186" t="n"/>
    </row>
    <row r="18" ht="14.25" customFormat="1" customHeight="1" s="12">
      <c r="A18" s="265" t="n">
        <v>4</v>
      </c>
      <c r="B18" s="265" t="n">
        <v>2</v>
      </c>
      <c r="C18" s="264" t="inlineStr">
        <is>
          <t>Затраты труда машинистов</t>
        </is>
      </c>
      <c r="D18" s="265" t="inlineStr">
        <is>
          <t>чел.-ч.</t>
        </is>
      </c>
      <c r="E18" s="189" t="n">
        <v>183.804</v>
      </c>
      <c r="F18" s="32">
        <f>G18/E18</f>
        <v/>
      </c>
      <c r="G18" s="32">
        <f>Прил.3!H27</f>
        <v/>
      </c>
      <c r="H18" s="268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65" t="n"/>
      <c r="B19" s="269" t="inlineStr">
        <is>
          <t>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86" t="n"/>
      <c r="J19" s="186" t="n"/>
    </row>
    <row r="20" ht="14.25" customFormat="1" customHeight="1" s="12">
      <c r="A20" s="265" t="n"/>
      <c r="B20" s="264" t="inlineStr">
        <is>
          <t>Основные машины и механизмы</t>
        </is>
      </c>
      <c r="C20" s="328" t="n"/>
      <c r="D20" s="328" t="n"/>
      <c r="E20" s="328" t="n"/>
      <c r="F20" s="328" t="n"/>
      <c r="G20" s="328" t="n"/>
      <c r="H20" s="329" t="n"/>
      <c r="I20" s="186" t="n"/>
      <c r="J20" s="186" t="n"/>
    </row>
    <row r="21" ht="25.5" customFormat="1" customHeight="1" s="12">
      <c r="A21" s="265" t="n">
        <v>5</v>
      </c>
      <c r="B21" s="265" t="inlineStr">
        <is>
          <t>91.10.01-002</t>
        </is>
      </c>
      <c r="C21" s="264" t="inlineStr">
        <is>
          <t>Агрегаты наполнительно-опрессовочные: до 300 м3/ч</t>
        </is>
      </c>
      <c r="D21" s="265" t="inlineStr">
        <is>
          <t>маш.час</t>
        </is>
      </c>
      <c r="E21" s="266" t="n">
        <v>22.98</v>
      </c>
      <c r="F21" s="267" t="n">
        <v>287.99</v>
      </c>
      <c r="G21" s="267">
        <f>ROUND(E21*F21,2)</f>
        <v/>
      </c>
      <c r="H21" s="268">
        <f>G21/$G$48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65" t="n">
        <v>6</v>
      </c>
      <c r="B22" s="265" t="inlineStr">
        <is>
          <t>91.11.01-012</t>
        </is>
      </c>
      <c r="C22" s="264" t="inlineStr">
        <is>
          <t>Машины монтажные для выполнения работ при прокладке и монтаже кабеля на базе автомобиля</t>
        </is>
      </c>
      <c r="D22" s="265" t="inlineStr">
        <is>
          <t>маш.час</t>
        </is>
      </c>
      <c r="E22" s="266" t="n">
        <v>48</v>
      </c>
      <c r="F22" s="267" t="n">
        <v>110.86</v>
      </c>
      <c r="G22" s="267">
        <f>ROUND(E22*F22,2)</f>
        <v/>
      </c>
      <c r="H22" s="268">
        <f>G22/$G$48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65" t="n">
        <v>7</v>
      </c>
      <c r="B23" s="265" t="inlineStr">
        <is>
          <t>91.05.05-014</t>
        </is>
      </c>
      <c r="C23" s="264" t="inlineStr">
        <is>
          <t>Краны на автомобильном ходу, грузоподъемность 10 т</t>
        </is>
      </c>
      <c r="D23" s="265" t="inlineStr">
        <is>
          <t>маш.час</t>
        </is>
      </c>
      <c r="E23" s="266" t="n">
        <v>37.49</v>
      </c>
      <c r="F23" s="267" t="n">
        <v>111.99</v>
      </c>
      <c r="G23" s="267">
        <f>ROUND(E23*F23,2)</f>
        <v/>
      </c>
      <c r="H23" s="268">
        <f>G23/$G$48</f>
        <v/>
      </c>
      <c r="I23" s="32">
        <f>ROUND(F23*Прил.10!$D$12,2)</f>
        <v/>
      </c>
      <c r="J23" s="32">
        <f>ROUND(I23*E23,2)</f>
        <v/>
      </c>
    </row>
    <row r="24" ht="38.25" customFormat="1" customHeight="1" s="12">
      <c r="A24" s="265" t="n">
        <v>8</v>
      </c>
      <c r="B24" s="146" t="inlineStr">
        <is>
          <t>91.18.01-012</t>
        </is>
      </c>
      <c r="C24" s="264" t="inlineStr">
        <is>
          <t>Компрессоры передвижные с электродвигателем давлением 600 кПа (6 ат), производительность: до 3,5 м3/мин</t>
        </is>
      </c>
      <c r="D24" s="265" t="inlineStr">
        <is>
          <t>маш.час</t>
        </is>
      </c>
      <c r="E24" s="189" t="n">
        <v>98.64</v>
      </c>
      <c r="F24" s="267" t="n">
        <v>32.5</v>
      </c>
      <c r="G24" s="267">
        <f>ROUND(E24*F24,2)</f>
        <v/>
      </c>
      <c r="H24" s="268">
        <f>G24/$G$48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65" t="n">
        <v>9</v>
      </c>
      <c r="B25" s="146" t="inlineStr">
        <is>
          <t>91.06.03-058</t>
        </is>
      </c>
      <c r="C25" s="264" t="inlineStr">
        <is>
          <t>Лебедки электрические тяговым усилием: 156,96 кН (16 т)</t>
        </is>
      </c>
      <c r="D25" s="265" t="inlineStr">
        <is>
          <t>маш.час</t>
        </is>
      </c>
      <c r="E25" s="189" t="n">
        <v>22.98</v>
      </c>
      <c r="F25" s="267" t="n">
        <v>131.44</v>
      </c>
      <c r="G25" s="267">
        <f>ROUND(E25*F25,2)</f>
        <v/>
      </c>
      <c r="H25" s="268">
        <f>G25/$G$48</f>
        <v/>
      </c>
      <c r="I25" s="32">
        <f>ROUND(F25*Прил.10!$D$12,2)</f>
        <v/>
      </c>
      <c r="J25" s="32">
        <f>ROUND(I25*E25,2)</f>
        <v/>
      </c>
    </row>
    <row r="26" ht="25.5" customFormat="1" customHeight="1" s="12">
      <c r="A26" s="265" t="n">
        <v>10</v>
      </c>
      <c r="B26" s="146" t="inlineStr">
        <is>
          <t>91.05.08-007</t>
        </is>
      </c>
      <c r="C26" s="264" t="inlineStr">
        <is>
          <t>Краны на пневмоколесном ходу, грузоподъемность 25 т</t>
        </is>
      </c>
      <c r="D26" s="265" t="inlineStr">
        <is>
          <t>маш.час</t>
        </is>
      </c>
      <c r="E26" s="189" t="n">
        <v>18.72</v>
      </c>
      <c r="F26" s="267" t="n">
        <v>102.51</v>
      </c>
      <c r="G26" s="267">
        <f>ROUND(E26*F26,2)</f>
        <v/>
      </c>
      <c r="H26" s="268">
        <f>G26/$G$48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12">
      <c r="A27" s="265" t="n"/>
      <c r="B27" s="265" t="n"/>
      <c r="C27" s="264" t="inlineStr">
        <is>
          <t>Итого основные машины и механизмы</t>
        </is>
      </c>
      <c r="D27" s="265" t="n"/>
      <c r="E27" s="147" t="n"/>
      <c r="F27" s="32" t="n"/>
      <c r="G27" s="32">
        <f>SUM(G21:G26)</f>
        <v/>
      </c>
      <c r="H27" s="268">
        <f>G27/G48</f>
        <v/>
      </c>
      <c r="I27" s="190" t="n"/>
      <c r="J27" s="32">
        <f>SUM(J21:J26)</f>
        <v/>
      </c>
    </row>
    <row r="28" outlineLevel="1" ht="14.25" customFormat="1" customHeight="1" s="12">
      <c r="A28" s="265" t="n">
        <v>11</v>
      </c>
      <c r="B28" s="265" t="inlineStr">
        <is>
          <t>91.08.04-021</t>
        </is>
      </c>
      <c r="C28" s="264" t="inlineStr">
        <is>
          <t>Котлы битумные: передвижные 400 л</t>
        </is>
      </c>
      <c r="D28" s="265" t="inlineStr">
        <is>
          <t>маш.час</t>
        </is>
      </c>
      <c r="E28" s="147" t="n">
        <v>20.37</v>
      </c>
      <c r="F28" s="32" t="n">
        <v>30</v>
      </c>
      <c r="G28" s="267">
        <f>ROUND(E28*F28,2)</f>
        <v/>
      </c>
      <c r="H28" s="268">
        <f>G28/$G$48</f>
        <v/>
      </c>
      <c r="I28" s="32">
        <f>ROUND(F28*Прил.10!$D$12,2)</f>
        <v/>
      </c>
      <c r="J28" s="32">
        <f>ROUND(I28*E28,2)</f>
        <v/>
      </c>
    </row>
    <row r="29" outlineLevel="1" ht="25.5" customFormat="1" customHeight="1" s="12">
      <c r="A29" s="265" t="n">
        <v>12</v>
      </c>
      <c r="B29" s="265" t="inlineStr">
        <is>
          <t>91.06.06-042</t>
        </is>
      </c>
      <c r="C29" s="264" t="inlineStr">
        <is>
          <t>Подъемники гидравлические высотой подъема: 10 м</t>
        </is>
      </c>
      <c r="D29" s="265" t="inlineStr">
        <is>
          <t>маш.час</t>
        </is>
      </c>
      <c r="E29" s="147" t="n">
        <v>14.19</v>
      </c>
      <c r="F29" s="32" t="n">
        <v>29.6</v>
      </c>
      <c r="G29" s="267">
        <f>ROUND(E29*F29,2)</f>
        <v/>
      </c>
      <c r="H29" s="268">
        <f>G29/$G$48</f>
        <v/>
      </c>
      <c r="I29" s="32">
        <f>ROUND(F29*Прил.10!$D$12,2)</f>
        <v/>
      </c>
      <c r="J29" s="32">
        <f>ROUND(I29*E29,2)</f>
        <v/>
      </c>
    </row>
    <row r="30" outlineLevel="1" ht="14.25" customFormat="1" customHeight="1" s="12">
      <c r="A30" s="265" t="n">
        <v>13</v>
      </c>
      <c r="B30" s="265" t="inlineStr">
        <is>
          <t>91.14.02-002</t>
        </is>
      </c>
      <c r="C30" s="264" t="inlineStr">
        <is>
          <t>Автомобили бортовые, грузоподъемность: до 8 т</t>
        </is>
      </c>
      <c r="D30" s="265" t="inlineStr">
        <is>
          <t>маш.час</t>
        </is>
      </c>
      <c r="E30" s="147" t="n">
        <v>4.68</v>
      </c>
      <c r="F30" s="32" t="n">
        <v>85.84</v>
      </c>
      <c r="G30" s="267">
        <f>ROUND(E30*F30,2)</f>
        <v/>
      </c>
      <c r="H30" s="268">
        <f>G30/$G$48</f>
        <v/>
      </c>
      <c r="I30" s="32">
        <f>ROUND(F30*Прил.10!$D$12,2)</f>
        <v/>
      </c>
      <c r="J30" s="32">
        <f>ROUND(I30*E30,2)</f>
        <v/>
      </c>
    </row>
    <row r="31" outlineLevel="1" ht="14.25" customFormat="1" customHeight="1" s="12">
      <c r="A31" s="265" t="n">
        <v>14</v>
      </c>
      <c r="B31" s="265" t="inlineStr">
        <is>
          <t>91.14.02-001</t>
        </is>
      </c>
      <c r="C31" s="264" t="inlineStr">
        <is>
          <t>Автомобили бортовые, грузоподъемность: до 5 т</t>
        </is>
      </c>
      <c r="D31" s="265" t="inlineStr">
        <is>
          <t>маш.час</t>
        </is>
      </c>
      <c r="E31" s="147" t="n">
        <v>6.02</v>
      </c>
      <c r="F31" s="32" t="n">
        <v>65.70999999999999</v>
      </c>
      <c r="G31" s="267">
        <f>ROUND(E31*F31,2)</f>
        <v/>
      </c>
      <c r="H31" s="268">
        <f>G31/$G$48</f>
        <v/>
      </c>
      <c r="I31" s="32">
        <f>ROUND(F31*Прил.10!$D$12,2)</f>
        <v/>
      </c>
      <c r="J31" s="32">
        <f>ROUND(I31*E31,2)</f>
        <v/>
      </c>
    </row>
    <row r="32" outlineLevel="1" ht="38.25" customFormat="1" customHeight="1" s="12">
      <c r="A32" s="265" t="n">
        <v>15</v>
      </c>
      <c r="B32" s="265" t="inlineStr">
        <is>
          <t>91.18.01-007</t>
        </is>
      </c>
      <c r="C32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2" s="265" t="inlineStr">
        <is>
          <t>маш.час</t>
        </is>
      </c>
      <c r="E32" s="147" t="n">
        <v>4.19</v>
      </c>
      <c r="F32" s="32" t="n">
        <v>90</v>
      </c>
      <c r="G32" s="267">
        <f>ROUND(E32*F32,2)</f>
        <v/>
      </c>
      <c r="H32" s="268">
        <f>G32/$G$48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65" t="n">
        <v>16</v>
      </c>
      <c r="B33" s="265" t="inlineStr">
        <is>
          <t>91.21.10-003</t>
        </is>
      </c>
      <c r="C33" s="264" t="inlineStr">
        <is>
          <t>Молотки при работе от передвижных компрессорных станций: отбойные пневматические</t>
        </is>
      </c>
      <c r="D33" s="265" t="inlineStr">
        <is>
          <t>маш.час</t>
        </is>
      </c>
      <c r="E33" s="147" t="n">
        <v>197.28</v>
      </c>
      <c r="F33" s="32" t="n">
        <v>1.53</v>
      </c>
      <c r="G33" s="267">
        <f>ROUND(E33*F33,2)</f>
        <v/>
      </c>
      <c r="H33" s="268">
        <f>G33/$G$48</f>
        <v/>
      </c>
      <c r="I33" s="32">
        <f>ROUND(F33*Прил.10!$D$12,2)</f>
        <v/>
      </c>
      <c r="J33" s="32">
        <f>ROUND(I33*E33,2)</f>
        <v/>
      </c>
    </row>
    <row r="34" outlineLevel="1" ht="25.5" customFormat="1" customHeight="1" s="12">
      <c r="A34" s="265" t="n">
        <v>17</v>
      </c>
      <c r="B34" s="265" t="inlineStr">
        <is>
          <t>91.17.04-233</t>
        </is>
      </c>
      <c r="C34" s="264" t="inlineStr">
        <is>
          <t>Установки для сварки: ручной дуговой (постоянного тока)</t>
        </is>
      </c>
      <c r="D34" s="265" t="inlineStr">
        <is>
          <t>маш.час</t>
        </is>
      </c>
      <c r="E34" s="147" t="n">
        <v>6.75</v>
      </c>
      <c r="F34" s="32" t="n">
        <v>8.1</v>
      </c>
      <c r="G34" s="267">
        <f>ROUND(E34*F34,2)</f>
        <v/>
      </c>
      <c r="H34" s="268">
        <f>G34/$G$48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65" t="n">
        <v>18</v>
      </c>
      <c r="B35" s="265" t="inlineStr">
        <is>
          <t>91.17.04-042</t>
        </is>
      </c>
      <c r="C35" s="264" t="inlineStr">
        <is>
          <t>Аппарат для газовой сварки и резки</t>
        </is>
      </c>
      <c r="D35" s="265" t="inlineStr">
        <is>
          <t>маш.час</t>
        </is>
      </c>
      <c r="E35" s="147" t="n">
        <v>42.75</v>
      </c>
      <c r="F35" s="32" t="n">
        <v>1.2</v>
      </c>
      <c r="G35" s="267">
        <f>ROUND(E35*F35,2)</f>
        <v/>
      </c>
      <c r="H35" s="268">
        <f>G35/$G$48</f>
        <v/>
      </c>
      <c r="I35" s="32">
        <f>ROUND(F35*Прил.10!$D$12,2)</f>
        <v/>
      </c>
      <c r="J35" s="32">
        <f>ROUND(I35*E35,2)</f>
        <v/>
      </c>
    </row>
    <row r="36" outlineLevel="1" ht="38.25" customFormat="1" customHeight="1" s="12">
      <c r="A36" s="265" t="n">
        <v>19</v>
      </c>
      <c r="B36" s="265" t="inlineStr">
        <is>
          <t>91.17.04-036</t>
        </is>
      </c>
      <c r="C36" s="264" t="inlineStr">
        <is>
          <t>Агрегаты сварочные передвижные номинальным сварочным током 250-400 А: с дизельным двигателем</t>
        </is>
      </c>
      <c r="D36" s="265" t="inlineStr">
        <is>
          <t>маш.час</t>
        </is>
      </c>
      <c r="E36" s="147" t="n">
        <v>3.25</v>
      </c>
      <c r="F36" s="32" t="n">
        <v>14</v>
      </c>
      <c r="G36" s="267">
        <f>ROUND(E36*F36,2)</f>
        <v/>
      </c>
      <c r="H36" s="268">
        <f>G36/$G$48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65" t="n">
        <v>20</v>
      </c>
      <c r="B37" s="265" t="inlineStr">
        <is>
          <t>91.06.01-003</t>
        </is>
      </c>
      <c r="C37" s="264" t="inlineStr">
        <is>
          <t>Домкраты гидравлические, грузоподъемность 63-100 т</t>
        </is>
      </c>
      <c r="D37" s="265" t="inlineStr">
        <is>
          <t>маш.час</t>
        </is>
      </c>
      <c r="E37" s="147" t="n">
        <v>45.96</v>
      </c>
      <c r="F37" s="32" t="n">
        <v>0.9</v>
      </c>
      <c r="G37" s="267">
        <f>ROUND(E37*F37,2)</f>
        <v/>
      </c>
      <c r="H37" s="268">
        <f>G37/$G$48</f>
        <v/>
      </c>
      <c r="I37" s="32">
        <f>ROUND(F37*Прил.10!$D$12,2)</f>
        <v/>
      </c>
      <c r="J37" s="32">
        <f>ROUND(I37*E37,2)</f>
        <v/>
      </c>
    </row>
    <row r="38" outlineLevel="1" ht="14.25" customFormat="1" customHeight="1" s="12">
      <c r="A38" s="265" t="n">
        <v>21</v>
      </c>
      <c r="B38" s="265" t="inlineStr">
        <is>
          <t>91.01.01-035</t>
        </is>
      </c>
      <c r="C38" s="264" t="inlineStr">
        <is>
          <t>Бульдозеры, мощность 79 кВт (108 л.с.)</t>
        </is>
      </c>
      <c r="D38" s="265" t="inlineStr">
        <is>
          <t>маш.час</t>
        </is>
      </c>
      <c r="E38" s="147" t="n">
        <v>0.52</v>
      </c>
      <c r="F38" s="32" t="n">
        <v>79.06999999999999</v>
      </c>
      <c r="G38" s="267">
        <f>ROUND(E38*F38,2)</f>
        <v/>
      </c>
      <c r="H38" s="268">
        <f>G38/$G$48</f>
        <v/>
      </c>
      <c r="I38" s="32">
        <f>ROUND(F38*Прил.10!$D$12,2)</f>
        <v/>
      </c>
      <c r="J38" s="32">
        <f>ROUND(I38*E38,2)</f>
        <v/>
      </c>
    </row>
    <row r="39" outlineLevel="1" ht="14.25" customFormat="1" customHeight="1" s="12">
      <c r="A39" s="265" t="n">
        <v>22</v>
      </c>
      <c r="B39" s="265" t="inlineStr">
        <is>
          <t>91.05.01-017</t>
        </is>
      </c>
      <c r="C39" s="264" t="inlineStr">
        <is>
          <t>Краны башенные, грузоподъемность 8 т</t>
        </is>
      </c>
      <c r="D39" s="265" t="inlineStr">
        <is>
          <t>маш.час</t>
        </is>
      </c>
      <c r="E39" s="147" t="n">
        <v>0.37</v>
      </c>
      <c r="F39" s="32" t="n">
        <v>86.40000000000001</v>
      </c>
      <c r="G39" s="267">
        <f>ROUND(E39*F39,2)</f>
        <v/>
      </c>
      <c r="H39" s="268">
        <f>G39/$G$48</f>
        <v/>
      </c>
      <c r="I39" s="32">
        <f>ROUND(F39*Прил.10!$D$12,2)</f>
        <v/>
      </c>
      <c r="J39" s="32">
        <f>ROUND(I39*E39,2)</f>
        <v/>
      </c>
    </row>
    <row r="40" outlineLevel="1" ht="25.5" customFormat="1" customHeight="1" s="12">
      <c r="A40" s="265" t="n">
        <v>23</v>
      </c>
      <c r="B40" s="265" t="inlineStr">
        <is>
          <t>91.08.09-023</t>
        </is>
      </c>
      <c r="C40" s="264" t="inlineStr">
        <is>
          <t>Трамбовки пневматические при работе от: передвижных компрессорных станций</t>
        </is>
      </c>
      <c r="D40" s="265" t="inlineStr">
        <is>
          <t>маш.час</t>
        </is>
      </c>
      <c r="E40" s="147" t="n">
        <v>13.18</v>
      </c>
      <c r="F40" s="32" t="n">
        <v>0.55</v>
      </c>
      <c r="G40" s="267">
        <f>ROUND(E40*F40,2)</f>
        <v/>
      </c>
      <c r="H40" s="268">
        <f>G40/$G$48</f>
        <v/>
      </c>
      <c r="I40" s="32">
        <f>ROUND(F40*Прил.10!$D$12,2)</f>
        <v/>
      </c>
      <c r="J40" s="32">
        <f>ROUND(I40*E40,2)</f>
        <v/>
      </c>
    </row>
    <row r="41" outlineLevel="1" ht="38.25" customFormat="1" customHeight="1" s="12">
      <c r="A41" s="265" t="n">
        <v>24</v>
      </c>
      <c r="B41" s="265" t="inlineStr">
        <is>
          <t>91.21.01-012</t>
        </is>
      </c>
      <c r="C41" s="264" t="inlineStr">
        <is>
          <t>Агрегаты окрасочные высокого давления для окраски поверхностей конструкций, мощность 1 кВт</t>
        </is>
      </c>
      <c r="D41" s="265" t="inlineStr">
        <is>
          <t>маш.час</t>
        </is>
      </c>
      <c r="E41" s="147" t="n">
        <v>0.52</v>
      </c>
      <c r="F41" s="32" t="n">
        <v>6.82</v>
      </c>
      <c r="G41" s="267">
        <f>ROUND(E41*F41,2)</f>
        <v/>
      </c>
      <c r="H41" s="268">
        <f>G41/$G$48</f>
        <v/>
      </c>
      <c r="I41" s="32">
        <f>ROUND(F41*Прил.10!$D$12,2)</f>
        <v/>
      </c>
      <c r="J41" s="32">
        <f>ROUND(I41*E41,2)</f>
        <v/>
      </c>
    </row>
    <row r="42" outlineLevel="1" ht="14.25" customFormat="1" customHeight="1" s="12">
      <c r="A42" s="265" t="n">
        <v>25</v>
      </c>
      <c r="B42" s="265" t="inlineStr">
        <is>
          <t>91.21.12-002</t>
        </is>
      </c>
      <c r="C42" s="264" t="inlineStr">
        <is>
          <t>Ножницы листовые кривошипные гильотинные</t>
        </is>
      </c>
      <c r="D42" s="265" t="inlineStr">
        <is>
          <t>маш.час</t>
        </is>
      </c>
      <c r="E42" s="147" t="n">
        <v>0.05</v>
      </c>
      <c r="F42" s="32" t="n">
        <v>70</v>
      </c>
      <c r="G42" s="267">
        <f>ROUND(E42*F42,2)</f>
        <v/>
      </c>
      <c r="H42" s="268">
        <f>G42/$G$48</f>
        <v/>
      </c>
      <c r="I42" s="32">
        <f>ROUND(F42*Прил.10!$D$12,2)</f>
        <v/>
      </c>
      <c r="J42" s="32">
        <f>ROUND(I42*E42,2)</f>
        <v/>
      </c>
    </row>
    <row r="43" outlineLevel="1" ht="25.5" customFormat="1" customHeight="1" s="12">
      <c r="A43" s="265" t="n">
        <v>26</v>
      </c>
      <c r="B43" s="265" t="inlineStr">
        <is>
          <t>91.21.16-014</t>
        </is>
      </c>
      <c r="C43" s="264" t="inlineStr">
        <is>
          <t>Пресс: листогибочный кривошипный 1000 кН (100 тс)</t>
        </is>
      </c>
      <c r="D43" s="265" t="inlineStr">
        <is>
          <t>маш.час</t>
        </is>
      </c>
      <c r="E43" s="147" t="n">
        <v>0.05</v>
      </c>
      <c r="F43" s="32" t="n">
        <v>56.24</v>
      </c>
      <c r="G43" s="267">
        <f>ROUND(E43*F43,2)</f>
        <v/>
      </c>
      <c r="H43" s="268">
        <f>G43/$G$48</f>
        <v/>
      </c>
      <c r="I43" s="32">
        <f>ROUND(F43*Прил.10!$D$12,2)</f>
        <v/>
      </c>
      <c r="J43" s="32">
        <f>ROUND(I43*E43,2)</f>
        <v/>
      </c>
    </row>
    <row r="44" outlineLevel="1" ht="25.5" customFormat="1" customHeight="1" s="12">
      <c r="A44" s="265" t="n">
        <v>27</v>
      </c>
      <c r="B44" s="265" t="inlineStr">
        <is>
          <t>91.21.16-013</t>
        </is>
      </c>
      <c r="C44" s="264" t="inlineStr">
        <is>
          <t>Пресс: кривошипный простого действия 25 кН (2,5 тс)</t>
        </is>
      </c>
      <c r="D44" s="265" t="inlineStr">
        <is>
          <t>маш.час</t>
        </is>
      </c>
      <c r="E44" s="147" t="n">
        <v>0.05</v>
      </c>
      <c r="F44" s="32" t="n">
        <v>16.92</v>
      </c>
      <c r="G44" s="267">
        <f>ROUND(E44*F44,2)</f>
        <v/>
      </c>
      <c r="H44" s="268">
        <f>G44/$G$48</f>
        <v/>
      </c>
      <c r="I44" s="32">
        <f>ROUND(F44*Прил.10!$D$12,2)</f>
        <v/>
      </c>
      <c r="J44" s="32">
        <f>ROUND(I44*E44,2)</f>
        <v/>
      </c>
    </row>
    <row r="45" outlineLevel="1" ht="14.25" customFormat="1" customHeight="1" s="12">
      <c r="A45" s="265" t="n">
        <v>28</v>
      </c>
      <c r="B45" s="265" t="inlineStr">
        <is>
          <t>91.07.04-002</t>
        </is>
      </c>
      <c r="C45" s="264" t="inlineStr">
        <is>
          <t>Вибратор поверхностный</t>
        </is>
      </c>
      <c r="D45" s="265" t="inlineStr">
        <is>
          <t>маш.час</t>
        </is>
      </c>
      <c r="E45" s="147" t="n">
        <v>0.98</v>
      </c>
      <c r="F45" s="32" t="n">
        <v>0.5</v>
      </c>
      <c r="G45" s="267">
        <f>ROUND(E45*F45,2)</f>
        <v/>
      </c>
      <c r="H45" s="268">
        <f>G45/$G$48</f>
        <v/>
      </c>
      <c r="I45" s="32">
        <f>ROUND(F45*Прил.10!$D$12,2)</f>
        <v/>
      </c>
      <c r="J45" s="32">
        <f>ROUND(I45*E45,2)</f>
        <v/>
      </c>
    </row>
    <row r="46" outlineLevel="1" ht="14.25" customFormat="1" customHeight="1" s="12">
      <c r="A46" s="265" t="n">
        <v>29</v>
      </c>
      <c r="B46" s="146" t="inlineStr">
        <is>
          <t>91.21.19-031</t>
        </is>
      </c>
      <c r="C46" s="264" t="inlineStr">
        <is>
          <t>Станок: сверлильный</t>
        </is>
      </c>
      <c r="D46" s="265" t="inlineStr">
        <is>
          <t>маш.час</t>
        </is>
      </c>
      <c r="E46" s="191" t="n">
        <v>0.05</v>
      </c>
      <c r="F46" s="267" t="n">
        <v>2.36</v>
      </c>
      <c r="G46" s="267">
        <f>ROUND(E46*F46,2)</f>
        <v/>
      </c>
      <c r="H46" s="268">
        <f>G46/$G$48</f>
        <v/>
      </c>
      <c r="I46" s="32">
        <f>ROUND(F46*Прил.10!$D$12,2)</f>
        <v/>
      </c>
      <c r="J46" s="32">
        <f>ROUND(I46*E46,2)</f>
        <v/>
      </c>
    </row>
    <row r="47" ht="14.25" customFormat="1" customHeight="1" s="12">
      <c r="A47" s="265" t="n"/>
      <c r="B47" s="265" t="n"/>
      <c r="C47" s="264" t="inlineStr">
        <is>
          <t>Итого прочие машины и механизмы</t>
        </is>
      </c>
      <c r="D47" s="265" t="n"/>
      <c r="E47" s="266" t="n"/>
      <c r="F47" s="32" t="n"/>
      <c r="G47" s="192">
        <f>SUM(G28:G46)</f>
        <v/>
      </c>
      <c r="H47" s="188">
        <f>G47/G48</f>
        <v/>
      </c>
      <c r="I47" s="32" t="n"/>
      <c r="J47" s="192">
        <f>SUM(J28:J46)</f>
        <v/>
      </c>
    </row>
    <row r="48" ht="14.25" customFormat="1" customHeight="1" s="12">
      <c r="A48" s="265" t="n"/>
      <c r="B48" s="265" t="n"/>
      <c r="C48" s="269" t="inlineStr">
        <is>
          <t>Итого по разделу «Машины и механизмы»</t>
        </is>
      </c>
      <c r="D48" s="265" t="n"/>
      <c r="E48" s="266" t="n"/>
      <c r="F48" s="32" t="n"/>
      <c r="G48" s="32">
        <f>G47+G27</f>
        <v/>
      </c>
      <c r="H48" s="193" t="n">
        <v>1</v>
      </c>
      <c r="I48" s="194" t="n"/>
      <c r="J48" s="195">
        <f>J47+J27</f>
        <v/>
      </c>
    </row>
    <row r="49" ht="22.5" customHeight="1">
      <c r="A49" s="265" t="n"/>
      <c r="B49" s="269" t="inlineStr">
        <is>
          <t xml:space="preserve">Оборудование </t>
        </is>
      </c>
      <c r="C49" s="328" t="n"/>
      <c r="D49" s="328" t="n"/>
      <c r="E49" s="328" t="n"/>
      <c r="F49" s="328" t="n"/>
      <c r="G49" s="328" t="n"/>
      <c r="H49" s="328" t="n"/>
      <c r="I49" s="328" t="n"/>
      <c r="J49" s="329" t="n"/>
    </row>
    <row r="50">
      <c r="A50" s="265" t="n"/>
      <c r="B50" s="264" t="inlineStr">
        <is>
          <t>Основное оборудование</t>
        </is>
      </c>
      <c r="C50" s="328" t="n"/>
      <c r="D50" s="328" t="n"/>
      <c r="E50" s="328" t="n"/>
      <c r="F50" s="328" t="n"/>
      <c r="G50" s="328" t="n"/>
      <c r="H50" s="329" t="n"/>
      <c r="I50" s="186" t="n"/>
      <c r="J50" s="186" t="n"/>
    </row>
    <row r="51" ht="25.5" customHeight="1">
      <c r="A51" s="265" t="n">
        <v>30</v>
      </c>
      <c r="B51" s="146" t="inlineStr">
        <is>
          <t>БЦ.16.269</t>
        </is>
      </c>
      <c r="C51" s="264" t="inlineStr">
        <is>
          <t>Трансформатор напряжения 110 кВ</t>
        </is>
      </c>
      <c r="D51" s="265" t="inlineStr">
        <is>
          <t>шт.</t>
        </is>
      </c>
      <c r="E51" s="147" t="n">
        <v>6</v>
      </c>
      <c r="F51" s="267">
        <f>ROUND(I51/Прил.10!$D$14,2)</f>
        <v/>
      </c>
      <c r="G51" s="32">
        <f>ROUND(E51*F51,2)</f>
        <v/>
      </c>
      <c r="H51" s="268">
        <f>G51/$G$56</f>
        <v/>
      </c>
      <c r="I51" s="32" t="n">
        <v>1056000</v>
      </c>
      <c r="J51" s="196">
        <f>ROUND(I51*E51,2)</f>
        <v/>
      </c>
    </row>
    <row r="52">
      <c r="A52" s="265" t="n"/>
      <c r="B52" s="265" t="n"/>
      <c r="C52" s="264" t="inlineStr">
        <is>
          <t>Итого основное оборудование</t>
        </is>
      </c>
      <c r="D52" s="265" t="n"/>
      <c r="E52" s="266" t="n"/>
      <c r="F52" s="267" t="n"/>
      <c r="G52" s="32">
        <f>G51</f>
        <v/>
      </c>
      <c r="H52" s="268">
        <f>G52/$G$56</f>
        <v/>
      </c>
      <c r="I52" s="192" t="n"/>
      <c r="J52" s="32">
        <f>J51</f>
        <v/>
      </c>
    </row>
    <row r="53" outlineLevel="1" ht="25.5" customHeight="1">
      <c r="A53" s="265" t="n">
        <v>31</v>
      </c>
      <c r="B53" s="146" t="inlineStr">
        <is>
          <t>Прайс из СД ОП</t>
        </is>
      </c>
      <c r="C53" s="264" t="inlineStr">
        <is>
          <t>Шкаф зажимов трансформатора
напряжения (ШЗН)</t>
        </is>
      </c>
      <c r="D53" s="265" t="inlineStr">
        <is>
          <t>шт.</t>
        </is>
      </c>
      <c r="E53" s="147" t="n">
        <v>2</v>
      </c>
      <c r="F53" s="267">
        <f>ROUND(I53/Прил.10!$D$14,2)</f>
        <v/>
      </c>
      <c r="G53" s="32">
        <f>ROUND(E53*F53,2)</f>
        <v/>
      </c>
      <c r="H53" s="268">
        <f>G53/$G$56</f>
        <v/>
      </c>
      <c r="I53" s="32" t="n">
        <v>129393.82</v>
      </c>
      <c r="J53" s="196">
        <f>ROUND(I53*E53,2)</f>
        <v/>
      </c>
    </row>
    <row r="54" outlineLevel="1" ht="25.5" customHeight="1">
      <c r="A54" s="265" t="n">
        <v>32</v>
      </c>
      <c r="B54" s="146" t="inlineStr">
        <is>
          <t>Прайс из СД ОП</t>
        </is>
      </c>
      <c r="C54" s="264" t="inlineStr">
        <is>
          <t>Шкаф зажимов трансформатора
напряжения для цепей АИИС КУЭ (ЯЗН-11)</t>
        </is>
      </c>
      <c r="D54" s="265" t="inlineStr">
        <is>
          <t>шт.</t>
        </is>
      </c>
      <c r="E54" s="147" t="n">
        <v>2</v>
      </c>
      <c r="F54" s="267">
        <f>ROUND(I54/Прил.10!$D$14,2)</f>
        <v/>
      </c>
      <c r="G54" s="32">
        <f>ROUND(E54*F54,2)</f>
        <v/>
      </c>
      <c r="H54" s="268">
        <f>G54/$G$56</f>
        <v/>
      </c>
      <c r="I54" s="32" t="n">
        <v>25333.41</v>
      </c>
      <c r="J54" s="196">
        <f>ROUND(I54*E54,2)</f>
        <v/>
      </c>
    </row>
    <row r="55">
      <c r="A55" s="265" t="n"/>
      <c r="B55" s="265" t="n"/>
      <c r="C55" s="264" t="inlineStr">
        <is>
          <t>Итого прочее оборудование</t>
        </is>
      </c>
      <c r="D55" s="265" t="n"/>
      <c r="E55" s="266" t="n"/>
      <c r="F55" s="267" t="n"/>
      <c r="G55" s="32">
        <f>SUM(G53:G54)</f>
        <v/>
      </c>
      <c r="H55" s="268">
        <f>G55/$G$56</f>
        <v/>
      </c>
      <c r="I55" s="192" t="n"/>
      <c r="J55" s="32">
        <f>SUM(J53:J54)</f>
        <v/>
      </c>
    </row>
    <row r="56">
      <c r="A56" s="265" t="n"/>
      <c r="B56" s="265" t="n"/>
      <c r="C56" s="269" t="inlineStr">
        <is>
          <t>Итого по разделу «Оборудование»</t>
        </is>
      </c>
      <c r="D56" s="265" t="n"/>
      <c r="E56" s="266" t="n"/>
      <c r="F56" s="267" t="n"/>
      <c r="G56" s="32">
        <f>G55+G52</f>
        <v/>
      </c>
      <c r="H56" s="268">
        <f>G56/$G$56</f>
        <v/>
      </c>
      <c r="I56" s="192" t="n"/>
      <c r="J56" s="32">
        <f>J55+J52</f>
        <v/>
      </c>
    </row>
    <row r="57">
      <c r="A57" s="265" t="n"/>
      <c r="B57" s="265" t="n"/>
      <c r="C57" s="264" t="inlineStr">
        <is>
          <t>в том числе технологическое оборудование</t>
        </is>
      </c>
      <c r="D57" s="265" t="n"/>
      <c r="E57" s="147" t="n"/>
      <c r="F57" s="267" t="n"/>
      <c r="G57" s="32">
        <f>G56</f>
        <v/>
      </c>
      <c r="H57" s="268" t="n"/>
      <c r="I57" s="192" t="n"/>
      <c r="J57" s="32">
        <f>J56</f>
        <v/>
      </c>
    </row>
    <row r="58" ht="23.25" customFormat="1" customHeight="1" s="12">
      <c r="A58" s="265" t="n"/>
      <c r="B58" s="269" t="inlineStr">
        <is>
          <t xml:space="preserve">Материалы </t>
        </is>
      </c>
      <c r="C58" s="328" t="n"/>
      <c r="D58" s="328" t="n"/>
      <c r="E58" s="328" t="n"/>
      <c r="F58" s="328" t="n"/>
      <c r="G58" s="328" t="n"/>
      <c r="H58" s="328" t="n"/>
      <c r="I58" s="328" t="n"/>
      <c r="J58" s="329" t="n"/>
    </row>
    <row r="59" ht="14.25" customFormat="1" customHeight="1" s="12">
      <c r="A59" s="265" t="n"/>
      <c r="B59" s="264" t="inlineStr">
        <is>
          <t>Основные материалы</t>
        </is>
      </c>
      <c r="C59" s="328" t="n"/>
      <c r="D59" s="328" t="n"/>
      <c r="E59" s="328" t="n"/>
      <c r="F59" s="328" t="n"/>
      <c r="G59" s="328" t="n"/>
      <c r="H59" s="329" t="n"/>
      <c r="I59" s="186" t="n"/>
      <c r="J59" s="186" t="n"/>
    </row>
    <row r="60" ht="14.25" customFormat="1" customHeight="1" s="12">
      <c r="A60" s="265" t="n">
        <v>33</v>
      </c>
      <c r="B60" s="266" t="inlineStr">
        <is>
          <t>05.1.05.16-0221</t>
        </is>
      </c>
      <c r="C60" s="264" t="inlineStr">
        <is>
          <t>Фундаменты сборные железобетонные ВЛ и ОРУ</t>
        </is>
      </c>
      <c r="D60" s="265" t="inlineStr">
        <is>
          <t>м3</t>
        </is>
      </c>
      <c r="E60" s="147" t="n">
        <v>15.6348</v>
      </c>
      <c r="F60" s="267" t="n">
        <v>1597.37</v>
      </c>
      <c r="G60" s="32">
        <f>ROUND(E60*F60,2)</f>
        <v/>
      </c>
      <c r="H60" s="188">
        <f>G60/$G$115</f>
        <v/>
      </c>
      <c r="I60" s="32">
        <f>ROUND(F60*Прил.10!$D$13,2)</f>
        <v/>
      </c>
      <c r="J60" s="32">
        <f>ROUND(I60*E60,2)</f>
        <v/>
      </c>
    </row>
    <row r="61" ht="102" customFormat="1" customHeight="1" s="12">
      <c r="A61" s="265" t="n">
        <v>34</v>
      </c>
      <c r="B61" s="266" t="inlineStr">
        <is>
          <t>01.2.03.03-0122</t>
        </is>
      </c>
      <c r="C61" s="26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1" s="265" t="inlineStr">
        <is>
          <t>кг</t>
        </is>
      </c>
      <c r="E61" s="147" t="n">
        <v>471.24</v>
      </c>
      <c r="F61" s="267" t="n">
        <v>13.91</v>
      </c>
      <c r="G61" s="32">
        <f>ROUND(E61*F61,2)</f>
        <v/>
      </c>
      <c r="H61" s="188">
        <f>G61/$G$115</f>
        <v/>
      </c>
      <c r="I61" s="32">
        <f>ROUND(F61*Прил.10!$D$13,2)</f>
        <v/>
      </c>
      <c r="J61" s="32">
        <f>ROUND(I61*E61,2)</f>
        <v/>
      </c>
    </row>
    <row r="62" ht="124.5" customFormat="1" customHeight="1" s="12">
      <c r="A62" s="265" t="n">
        <v>35</v>
      </c>
      <c r="B62" s="266" t="inlineStr">
        <is>
          <t>21.1.06.10-0411</t>
        </is>
      </c>
      <c r="C62" s="264" t="inlineStr">
        <is>
          <t>Кабель силовой с медными жилами ВВГнг(A)-LS 5х16мк(N, РЕ)-1000</t>
        </is>
      </c>
      <c r="D62" s="265" t="inlineStr">
        <is>
          <t>1000 м</t>
        </is>
      </c>
      <c r="E62" s="147">
        <f>0.009*3*2</f>
        <v/>
      </c>
      <c r="F62" s="267" t="n">
        <v>98440.41</v>
      </c>
      <c r="G62" s="32">
        <f>ROUND(E62*F62,2)</f>
        <v/>
      </c>
      <c r="H62" s="188">
        <f>G62/$G$115</f>
        <v/>
      </c>
      <c r="I62" s="32">
        <f>ROUND(F62*Прил.10!$D$13,2)</f>
        <v/>
      </c>
      <c r="J62" s="32">
        <f>ROUND(I62*E62,2)</f>
        <v/>
      </c>
    </row>
    <row r="63" ht="31.5" customFormat="1" customHeight="1" s="12">
      <c r="A63" s="265" t="n">
        <v>36</v>
      </c>
      <c r="B63" s="266" t="inlineStr">
        <is>
          <t>21.1.08.03-0574</t>
        </is>
      </c>
      <c r="C63" s="264" t="inlineStr">
        <is>
          <t>Кабель контрольный КВВГЭнг(А)-LS 4x2,5</t>
        </is>
      </c>
      <c r="D63" s="265" t="inlineStr">
        <is>
          <t>1000 м</t>
        </is>
      </c>
      <c r="E63" s="147">
        <f>0.016*3*2</f>
        <v/>
      </c>
      <c r="F63" s="267" t="n">
        <v>38348.22</v>
      </c>
      <c r="G63" s="32">
        <f>ROUND(E63*F63,2)</f>
        <v/>
      </c>
      <c r="H63" s="188">
        <f>G63/$G$115</f>
        <v/>
      </c>
      <c r="I63" s="32">
        <f>ROUND(F63*Прил.10!$D$13,2)</f>
        <v/>
      </c>
      <c r="J63" s="32">
        <f>ROUND(I63*E63,2)</f>
        <v/>
      </c>
    </row>
    <row r="64" ht="31.5" customFormat="1" customHeight="1" s="12">
      <c r="A64" s="265" t="n">
        <v>37</v>
      </c>
      <c r="B64" s="266" t="inlineStr">
        <is>
          <t>21.2.01.02-0098</t>
        </is>
      </c>
      <c r="C64" s="264" t="inlineStr">
        <is>
          <t>Провод неизолированный для воздушных линий электропередачи АС 400/51</t>
        </is>
      </c>
      <c r="D64" s="265" t="inlineStr">
        <is>
          <t>т</t>
        </is>
      </c>
      <c r="E64" s="147" t="n">
        <v>0.05215</v>
      </c>
      <c r="F64" s="267" t="n">
        <v>34500.53</v>
      </c>
      <c r="G64" s="32">
        <f>ROUND(E64*F64,2)</f>
        <v/>
      </c>
      <c r="H64" s="188">
        <f>G64/$G$115</f>
        <v/>
      </c>
      <c r="I64" s="32">
        <f>ROUND(F64*Прил.10!$D$13,2)</f>
        <v/>
      </c>
      <c r="J64" s="32">
        <f>ROUND(I64*E64,2)</f>
        <v/>
      </c>
    </row>
    <row r="65" ht="47.25" customFormat="1" customHeight="1" s="12">
      <c r="A65" s="265" t="n">
        <v>38</v>
      </c>
      <c r="B65" s="266" t="inlineStr">
        <is>
          <t>04.1.02.03-0041</t>
        </is>
      </c>
      <c r="C65" s="264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D65" s="265" t="inlineStr">
        <is>
          <t>м3</t>
        </is>
      </c>
      <c r="E65" s="147" t="n">
        <v>2.0808</v>
      </c>
      <c r="F65" s="267" t="n">
        <v>581.51</v>
      </c>
      <c r="G65" s="32">
        <f>ROUND(E65*F65,2)</f>
        <v/>
      </c>
      <c r="H65" s="188">
        <f>G65/$G$115</f>
        <v/>
      </c>
      <c r="I65" s="32">
        <f>ROUND(F65*Прил.10!$D$13,2)</f>
        <v/>
      </c>
      <c r="J65" s="32">
        <f>ROUND(I65*E65,2)</f>
        <v/>
      </c>
    </row>
    <row r="66" ht="56.25" customFormat="1" customHeight="1" s="12">
      <c r="A66" s="265" t="n">
        <v>39</v>
      </c>
      <c r="B66" s="266" t="inlineStr">
        <is>
          <t>20.1.01.02-0067</t>
        </is>
      </c>
      <c r="C66" s="264" t="inlineStr">
        <is>
          <t>Зажим аппаратный прессуемый: А4А-400-2</t>
        </is>
      </c>
      <c r="D66" s="265" t="inlineStr">
        <is>
          <t>100 шт.</t>
        </is>
      </c>
      <c r="E66" s="147" t="n">
        <v>0.18</v>
      </c>
      <c r="F66" s="267" t="n">
        <v>6505</v>
      </c>
      <c r="G66" s="32">
        <f>ROUND(E66*F66,2)</f>
        <v/>
      </c>
      <c r="H66" s="188">
        <f>G66/$G$115</f>
        <v/>
      </c>
      <c r="I66" s="32">
        <f>ROUND(F66*Прил.10!$D$13,2)</f>
        <v/>
      </c>
      <c r="J66" s="32">
        <f>ROUND(I66*E66,2)</f>
        <v/>
      </c>
    </row>
    <row r="67" ht="14.25" customFormat="1" customHeight="1" s="12">
      <c r="A67" s="265" t="n"/>
      <c r="B67" s="265" t="n"/>
      <c r="C67" s="264" t="inlineStr">
        <is>
          <t>Итого основные материалы</t>
        </is>
      </c>
      <c r="D67" s="265" t="n"/>
      <c r="E67" s="147" t="n"/>
      <c r="F67" s="267" t="n"/>
      <c r="G67" s="32">
        <f>SUM(G60:G66)</f>
        <v/>
      </c>
      <c r="H67" s="268">
        <f>G67/$G$115</f>
        <v/>
      </c>
      <c r="I67" s="192" t="n"/>
      <c r="J67" s="32">
        <f>SUM(J60:J66)</f>
        <v/>
      </c>
    </row>
    <row r="68" outlineLevel="1" ht="25.5" customFormat="1" customHeight="1" s="12">
      <c r="A68" s="265" t="n">
        <v>40</v>
      </c>
      <c r="B68" s="266" t="inlineStr">
        <is>
          <t>02.2.04.03-0012</t>
        </is>
      </c>
      <c r="C68" s="264" t="inlineStr">
        <is>
          <t>Смесь песчано-гравийная природная обогащенная с содержанием гравия: 25-35 %</t>
        </is>
      </c>
      <c r="D68" s="265" t="inlineStr">
        <is>
          <t>м3</t>
        </is>
      </c>
      <c r="E68" s="147" t="n">
        <v>16.26</v>
      </c>
      <c r="F68" s="267" t="n">
        <v>69.55</v>
      </c>
      <c r="G68" s="32">
        <f>ROUND(E68*F68,2)</f>
        <v/>
      </c>
      <c r="H68" s="188">
        <f>G68/$G$115</f>
        <v/>
      </c>
      <c r="I68" s="32">
        <f>ROUND(F68*Прил.10!$D$13,2)</f>
        <v/>
      </c>
      <c r="J68" s="32">
        <f>ROUND(I68*E68,2)</f>
        <v/>
      </c>
    </row>
    <row r="69" outlineLevel="1" ht="25.5" customFormat="1" customHeight="1" s="12">
      <c r="A69" s="265" t="n">
        <v>41</v>
      </c>
      <c r="B69" s="266" t="inlineStr">
        <is>
          <t>02.2.05.04-0052</t>
        </is>
      </c>
      <c r="C69" s="264" t="inlineStr">
        <is>
          <t>Щебень из гравия для строительных работ марка 800, фракция 40-70 мм</t>
        </is>
      </c>
      <c r="D69" s="265" t="inlineStr">
        <is>
          <t>м3</t>
        </is>
      </c>
      <c r="E69" s="147" t="n">
        <v>8.58</v>
      </c>
      <c r="F69" s="267" t="n">
        <v>125.95</v>
      </c>
      <c r="G69" s="32">
        <f>ROUND(E69*F69,2)</f>
        <v/>
      </c>
      <c r="H69" s="188">
        <f>G69/$G$115</f>
        <v/>
      </c>
      <c r="I69" s="32">
        <f>ROUND(F69*Прил.10!$D$13,2)</f>
        <v/>
      </c>
      <c r="J69" s="32">
        <f>ROUND(I69*E69,2)</f>
        <v/>
      </c>
    </row>
    <row r="70" outlineLevel="1" ht="25.5" customFormat="1" customHeight="1" s="12">
      <c r="A70" s="265" t="n">
        <v>42</v>
      </c>
      <c r="B70" s="266" t="inlineStr">
        <is>
          <t>05.1.01.10-0131</t>
        </is>
      </c>
      <c r="C70" s="264" t="inlineStr">
        <is>
          <t>Лотки каналов и тоннелей железобетонные для прокладки коммуникаций</t>
        </is>
      </c>
      <c r="D70" s="265" t="inlineStr">
        <is>
          <t>м3</t>
        </is>
      </c>
      <c r="E70" s="147">
        <f>0.28*2</f>
        <v/>
      </c>
      <c r="F70" s="267" t="n">
        <v>1837.28</v>
      </c>
      <c r="G70" s="32">
        <f>ROUND(E70*F70,2)</f>
        <v/>
      </c>
      <c r="H70" s="188">
        <f>G70/$G$115</f>
        <v/>
      </c>
      <c r="I70" s="32">
        <f>ROUND(F70*Прил.10!$D$13,2)</f>
        <v/>
      </c>
      <c r="J70" s="32">
        <f>ROUND(I70*E70,2)</f>
        <v/>
      </c>
    </row>
    <row r="71" outlineLevel="1" ht="14.25" customFormat="1" customHeight="1" s="12">
      <c r="A71" s="265" t="n">
        <v>43</v>
      </c>
      <c r="B71" s="266" t="inlineStr">
        <is>
          <t>62.1.04.05-0017</t>
        </is>
      </c>
      <c r="C71" s="264" t="inlineStr">
        <is>
          <t>Реле напряжения: РН-74 УХЛ4</t>
        </is>
      </c>
      <c r="D71" s="265" t="inlineStr">
        <is>
          <t>шт</t>
        </is>
      </c>
      <c r="E71" s="147" t="n">
        <v>2</v>
      </c>
      <c r="F71" s="267" t="n">
        <v>485.39</v>
      </c>
      <c r="G71" s="32">
        <f>ROUND(E71*F71,2)</f>
        <v/>
      </c>
      <c r="H71" s="188">
        <f>G71/$G$115</f>
        <v/>
      </c>
      <c r="I71" s="32">
        <f>ROUND(F71*Прил.10!$D$13,2)</f>
        <v/>
      </c>
      <c r="J71" s="32">
        <f>ROUND(I71*E71,2)</f>
        <v/>
      </c>
    </row>
    <row r="72" outlineLevel="1" ht="51" customFormat="1" customHeight="1" s="12">
      <c r="A72" s="265" t="n">
        <v>44</v>
      </c>
      <c r="B72" s="266" t="inlineStr">
        <is>
          <t>69.3.02.02-0007</t>
        </is>
      </c>
      <c r="C72" s="264" t="inlineStr">
        <is>
          <t xml:space="preserve">Терморегуляторы проходные с дистанционным датчиком, диапазон настройки 6-26 °C, никелированные (прим.Терморегулятор ТСТ-6011.R)
</t>
        </is>
      </c>
      <c r="D72" s="265" t="inlineStr">
        <is>
          <t>шт.</t>
        </is>
      </c>
      <c r="E72" s="147" t="n">
        <v>2</v>
      </c>
      <c r="F72" s="267" t="n">
        <v>240.8</v>
      </c>
      <c r="G72" s="32">
        <f>ROUND(E72*F72,2)</f>
        <v/>
      </c>
      <c r="H72" s="188">
        <f>G72/$G$115</f>
        <v/>
      </c>
      <c r="I72" s="32">
        <f>ROUND(F72*Прил.10!$D$13,2)</f>
        <v/>
      </c>
      <c r="J72" s="32">
        <f>ROUND(I72*E72,2)</f>
        <v/>
      </c>
    </row>
    <row r="73" outlineLevel="1" ht="75.75" customFormat="1" customHeight="1" s="12">
      <c r="A73" s="265" t="n">
        <v>45</v>
      </c>
      <c r="B73" s="266" t="inlineStr">
        <is>
          <t>01.7.17.11-0001</t>
        </is>
      </c>
      <c r="C73" s="264" t="inlineStr">
        <is>
          <t>Бумага шлифовальная</t>
        </is>
      </c>
      <c r="D73" s="265" t="inlineStr">
        <is>
          <t>кг</t>
        </is>
      </c>
      <c r="E73" s="147" t="n">
        <v>8</v>
      </c>
      <c r="F73" s="267" t="n">
        <v>50</v>
      </c>
      <c r="G73" s="32">
        <f>ROUND(E73*F73,2)</f>
        <v/>
      </c>
      <c r="H73" s="188">
        <f>G73/$G$115</f>
        <v/>
      </c>
      <c r="I73" s="32">
        <f>ROUND(F73*Прил.10!$D$13,2)</f>
        <v/>
      </c>
      <c r="J73" s="32">
        <f>ROUND(I73*E73,2)</f>
        <v/>
      </c>
    </row>
    <row r="74" outlineLevel="1" ht="51" customFormat="1" customHeight="1" s="12">
      <c r="A74" s="265" t="n">
        <v>46</v>
      </c>
      <c r="B74" s="146" t="inlineStr">
        <is>
          <t>62.3.04.01-0027</t>
        </is>
      </c>
      <c r="C74" s="264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D74" s="265" t="inlineStr">
        <is>
          <t>10 шт.</t>
        </is>
      </c>
      <c r="E74" s="265" t="n">
        <v>0.6</v>
      </c>
      <c r="F74" s="267" t="n">
        <v>495.3</v>
      </c>
      <c r="G74" s="32">
        <f>ROUND(E74*F74,2)</f>
        <v/>
      </c>
      <c r="H74" s="188">
        <f>G74/$G$115</f>
        <v/>
      </c>
      <c r="I74" s="32">
        <f>ROUND(F74*Прил.10!$D$13,2)</f>
        <v/>
      </c>
      <c r="J74" s="32">
        <f>ROUND(I74*E74,2)</f>
        <v/>
      </c>
    </row>
    <row r="75" outlineLevel="1" ht="25.5" customFormat="1" customHeight="1" s="12">
      <c r="A75" s="265" t="n">
        <v>47</v>
      </c>
      <c r="B75" s="266" t="inlineStr">
        <is>
          <t>999-9950</t>
        </is>
      </c>
      <c r="C75" s="264" t="inlineStr">
        <is>
          <t>Вспомогательные ненормируемые ресурсы (2% от Оплаты труда рабочих)</t>
        </is>
      </c>
      <c r="D75" s="265" t="inlineStr">
        <is>
          <t>руб</t>
        </is>
      </c>
      <c r="E75" s="147" t="n">
        <v>236.7029</v>
      </c>
      <c r="F75" s="267" t="n">
        <v>1</v>
      </c>
      <c r="G75" s="32">
        <f>ROUND(E75*F75,2)</f>
        <v/>
      </c>
      <c r="H75" s="188">
        <f>G75/$G$115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2">
      <c r="A76" s="265" t="n">
        <v>48</v>
      </c>
      <c r="B76" s="266" t="inlineStr">
        <is>
          <t>01.3.02.08-0001</t>
        </is>
      </c>
      <c r="C76" s="264" t="inlineStr">
        <is>
          <t>Кислород технический: газообразный</t>
        </is>
      </c>
      <c r="D76" s="265" t="inlineStr">
        <is>
          <t>м3</t>
        </is>
      </c>
      <c r="E76" s="147" t="n">
        <v>35.04</v>
      </c>
      <c r="F76" s="267" t="n">
        <v>6.22</v>
      </c>
      <c r="G76" s="32">
        <f>ROUND(E76*F76,2)</f>
        <v/>
      </c>
      <c r="H76" s="188">
        <f>G76/$G$115</f>
        <v/>
      </c>
      <c r="I76" s="32">
        <f>ROUND(F76*Прил.10!$D$13,2)</f>
        <v/>
      </c>
      <c r="J76" s="32">
        <f>ROUND(I76*E76,2)</f>
        <v/>
      </c>
    </row>
    <row r="77" outlineLevel="1" ht="25.5" customFormat="1" customHeight="1" s="12">
      <c r="A77" s="265" t="n">
        <v>49</v>
      </c>
      <c r="B77" s="266" t="inlineStr">
        <is>
          <t>08.3.08.02-0052</t>
        </is>
      </c>
      <c r="C77" s="264" t="inlineStr">
        <is>
          <t>Сталь угловая равнополочная, марка стали: ВСт3кп2, размером 50x50x5 мм</t>
        </is>
      </c>
      <c r="D77" s="265" t="inlineStr">
        <is>
          <t>т</t>
        </is>
      </c>
      <c r="E77" s="147" t="n">
        <v>0.0377</v>
      </c>
      <c r="F77" s="267" t="n">
        <v>5763</v>
      </c>
      <c r="G77" s="32">
        <f>ROUND(E77*F77,2)</f>
        <v/>
      </c>
      <c r="H77" s="188">
        <f>G77/$G$115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65" t="n">
        <v>50</v>
      </c>
      <c r="B78" s="158" t="inlineStr">
        <is>
          <t>02.2.05.04-1777</t>
        </is>
      </c>
      <c r="C78" s="177" t="inlineStr">
        <is>
          <t>Щебень М 800, фракция 20-40 мм, группа 2</t>
        </is>
      </c>
      <c r="D78" s="280" t="inlineStr">
        <is>
          <t>м3</t>
        </is>
      </c>
      <c r="E78" s="266">
        <f>1*1*2</f>
        <v/>
      </c>
      <c r="F78" s="279" t="n">
        <v>108.4</v>
      </c>
      <c r="G78" s="32">
        <f>ROUND(E78*F78,2)</f>
        <v/>
      </c>
      <c r="H78" s="188">
        <f>G78/$G$115</f>
        <v/>
      </c>
      <c r="I78" s="32">
        <f>ROUND(F78*Прил.10!$D$13,2)</f>
        <v/>
      </c>
      <c r="J78" s="32">
        <f>ROUND(I78*E78,2)</f>
        <v/>
      </c>
    </row>
    <row r="79" outlineLevel="1" ht="25.5" customFormat="1" customHeight="1" s="12">
      <c r="A79" s="265" t="n">
        <v>51</v>
      </c>
      <c r="B79" s="266" t="inlineStr">
        <is>
          <t>08.3.07.01-0076</t>
        </is>
      </c>
      <c r="C79" s="264" t="inlineStr">
        <is>
          <t>Сталь полосовая, марка стали: Ст3сп шириной 50-200 мм толщиной 4-5 мм</t>
        </is>
      </c>
      <c r="D79" s="265" t="inlineStr">
        <is>
          <t>т</t>
        </is>
      </c>
      <c r="E79" s="147" t="n">
        <v>0.0386</v>
      </c>
      <c r="F79" s="267" t="n">
        <v>5000</v>
      </c>
      <c r="G79" s="32">
        <f>ROUND(E79*F79,2)</f>
        <v/>
      </c>
      <c r="H79" s="188">
        <f>G79/$G$115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65" t="n">
        <v>52</v>
      </c>
      <c r="B80" s="266" t="inlineStr">
        <is>
          <t>01.3.02.03-0001</t>
        </is>
      </c>
      <c r="C80" s="264" t="inlineStr">
        <is>
          <t>Ацетилен газообразный технический</t>
        </is>
      </c>
      <c r="D80" s="265" t="inlineStr">
        <is>
          <t>м3</t>
        </is>
      </c>
      <c r="E80" s="147" t="n">
        <v>4.555</v>
      </c>
      <c r="F80" s="267" t="n">
        <v>38.51</v>
      </c>
      <c r="G80" s="32">
        <f>ROUND(E80*F80,2)</f>
        <v/>
      </c>
      <c r="H80" s="188">
        <f>G80/$G$115</f>
        <v/>
      </c>
      <c r="I80" s="32">
        <f>ROUND(F80*Прил.10!$D$13,2)</f>
        <v/>
      </c>
      <c r="J80" s="32">
        <f>ROUND(I80*E80,2)</f>
        <v/>
      </c>
    </row>
    <row r="81" outlineLevel="1" ht="30.75" customFormat="1" customHeight="1" s="12">
      <c r="A81" s="265" t="n">
        <v>53</v>
      </c>
      <c r="B81" s="266" t="inlineStr">
        <is>
          <t>01.7.15.03-0042</t>
        </is>
      </c>
      <c r="C81" s="264" t="inlineStr">
        <is>
          <t>Болты с гайками и шайбами строительные</t>
        </is>
      </c>
      <c r="D81" s="265" t="inlineStr">
        <is>
          <t>кг</t>
        </is>
      </c>
      <c r="E81" s="147" t="n">
        <v>16.396</v>
      </c>
      <c r="F81" s="267" t="n">
        <v>9.039999999999999</v>
      </c>
      <c r="G81" s="32">
        <f>ROUND(E81*F81,2)</f>
        <v/>
      </c>
      <c r="H81" s="188">
        <f>G81/$G$115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65" t="n">
        <v>54</v>
      </c>
      <c r="B82" s="266" t="inlineStr">
        <is>
          <t>08.3.07.01-0043</t>
        </is>
      </c>
      <c r="C82" s="264" t="inlineStr">
        <is>
          <t>Сталь полосовая: 40х5 мм, марка Ст3сп</t>
        </is>
      </c>
      <c r="D82" s="265" t="inlineStr">
        <is>
          <t>т</t>
        </is>
      </c>
      <c r="E82" s="147" t="n">
        <v>0.01884</v>
      </c>
      <c r="F82" s="267" t="n">
        <v>6159.22</v>
      </c>
      <c r="G82" s="32">
        <f>ROUND(E82*F82,2)</f>
        <v/>
      </c>
      <c r="H82" s="188">
        <f>G82/$G$115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65" t="n">
        <v>55</v>
      </c>
      <c r="B83" s="266" t="inlineStr">
        <is>
          <t>07.2.07.04-0007</t>
        </is>
      </c>
      <c r="C83" s="264" t="inlineStr">
        <is>
          <t>Конструкции стальные индивидуальные: решетчатые сварные массой до 0,1 т</t>
        </is>
      </c>
      <c r="D83" s="265" t="inlineStr">
        <is>
          <t>т</t>
        </is>
      </c>
      <c r="E83" s="147" t="n">
        <v>0.01</v>
      </c>
      <c r="F83" s="267" t="n">
        <v>11500</v>
      </c>
      <c r="G83" s="32">
        <f>ROUND(E83*F83,2)</f>
        <v/>
      </c>
      <c r="H83" s="188">
        <f>G83/$G$115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65" t="n">
        <v>56</v>
      </c>
      <c r="B84" s="266" t="inlineStr">
        <is>
          <t>14.4.02.09-0001</t>
        </is>
      </c>
      <c r="C84" s="264" t="inlineStr">
        <is>
          <t>Краска</t>
        </is>
      </c>
      <c r="D84" s="265" t="inlineStr">
        <is>
          <t>кг</t>
        </is>
      </c>
      <c r="E84" s="147" t="n">
        <v>2.684</v>
      </c>
      <c r="F84" s="267" t="n">
        <v>28.6</v>
      </c>
      <c r="G84" s="32">
        <f>ROUND(E84*F84,2)</f>
        <v/>
      </c>
      <c r="H84" s="188">
        <f>G84/$G$115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65" t="n">
        <v>57</v>
      </c>
      <c r="B85" s="266" t="inlineStr">
        <is>
          <t>14.4.02.09-0301</t>
        </is>
      </c>
      <c r="C85" s="264" t="inlineStr">
        <is>
          <t>Краска "Цинол"</t>
        </is>
      </c>
      <c r="D85" s="265" t="inlineStr">
        <is>
          <t>кг</t>
        </is>
      </c>
      <c r="E85" s="147" t="n">
        <v>0.276</v>
      </c>
      <c r="F85" s="267" t="n">
        <v>238.48</v>
      </c>
      <c r="G85" s="32">
        <f>ROUND(E85*F85,2)</f>
        <v/>
      </c>
      <c r="H85" s="188">
        <f>G85/$G$115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65" t="n">
        <v>58</v>
      </c>
      <c r="B86" s="266" t="inlineStr">
        <is>
          <t>25.2.01.01-0001</t>
        </is>
      </c>
      <c r="C86" s="264" t="inlineStr">
        <is>
          <t>Бирки-оконцеватели</t>
        </is>
      </c>
      <c r="D86" s="265" t="inlineStr">
        <is>
          <t>100 шт.</t>
        </is>
      </c>
      <c r="E86" s="147" t="n">
        <v>0.82</v>
      </c>
      <c r="F86" s="267" t="n">
        <v>63</v>
      </c>
      <c r="G86" s="32">
        <f>ROUND(E86*F86,2)</f>
        <v/>
      </c>
      <c r="H86" s="188">
        <f>G86/$G$115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65" t="n">
        <v>59</v>
      </c>
      <c r="B87" s="266" t="inlineStr">
        <is>
          <t>14.4.02.09-0301</t>
        </is>
      </c>
      <c r="C87" s="264" t="inlineStr">
        <is>
          <t>Краска "Цинол"</t>
        </is>
      </c>
      <c r="D87" s="265" t="inlineStr">
        <is>
          <t>кг</t>
        </is>
      </c>
      <c r="E87" s="147" t="n">
        <v>0.2</v>
      </c>
      <c r="F87" s="267" t="n">
        <v>238.48</v>
      </c>
      <c r="G87" s="32">
        <f>ROUND(E87*F87,2)</f>
        <v/>
      </c>
      <c r="H87" s="188">
        <f>G87/$G$115</f>
        <v/>
      </c>
      <c r="I87" s="32">
        <f>ROUND(F87*Прил.10!$D$13,2)</f>
        <v/>
      </c>
      <c r="J87" s="32">
        <f>ROUND(I87*E87,2)</f>
        <v/>
      </c>
    </row>
    <row r="88" outlineLevel="1" ht="25.5" customFormat="1" customHeight="1" s="12">
      <c r="A88" s="265" t="n">
        <v>60</v>
      </c>
      <c r="B88" s="266" t="inlineStr">
        <is>
          <t>61.2.04.01-0002</t>
        </is>
      </c>
      <c r="C88" s="264" t="inlineStr">
        <is>
          <t>Арматура светосигнальная АМЕ с лампой накаливания КМ- 24В</t>
        </is>
      </c>
      <c r="D88" s="265" t="inlineStr">
        <is>
          <t>10 шт.</t>
        </is>
      </c>
      <c r="E88" s="147" t="n">
        <v>0.2</v>
      </c>
      <c r="F88" s="267" t="n">
        <v>194.2</v>
      </c>
      <c r="G88" s="32">
        <f>ROUND(E88*F88,2)</f>
        <v/>
      </c>
      <c r="H88" s="188">
        <f>G88/$G$115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65" t="n">
        <v>61</v>
      </c>
      <c r="B89" s="266" t="inlineStr">
        <is>
          <t>14.5.09.11-0101</t>
        </is>
      </c>
      <c r="C89" s="264" t="inlineStr">
        <is>
          <t>Уайт-спирит</t>
        </is>
      </c>
      <c r="D89" s="265" t="inlineStr">
        <is>
          <t>т</t>
        </is>
      </c>
      <c r="E89" s="147" t="n">
        <v>0.005</v>
      </c>
      <c r="F89" s="267" t="n">
        <v>6667</v>
      </c>
      <c r="G89" s="32">
        <f>ROUND(E89*F89,2)</f>
        <v/>
      </c>
      <c r="H89" s="188">
        <f>G89/$G$115</f>
        <v/>
      </c>
      <c r="I89" s="32">
        <f>ROUND(F89*Прил.10!$D$13,2)</f>
        <v/>
      </c>
      <c r="J89" s="32">
        <f>ROUND(I89*E89,2)</f>
        <v/>
      </c>
    </row>
    <row r="90" outlineLevel="1" ht="14.25" customFormat="1" customHeight="1" s="12">
      <c r="A90" s="265" t="n">
        <v>62</v>
      </c>
      <c r="B90" s="266" t="inlineStr">
        <is>
          <t>01.7.11.07-0032</t>
        </is>
      </c>
      <c r="C90" s="264" t="inlineStr">
        <is>
          <t>Электроды диаметром: 4 мм Э42</t>
        </is>
      </c>
      <c r="D90" s="265" t="inlineStr">
        <is>
          <t>т</t>
        </is>
      </c>
      <c r="E90" s="147" t="n">
        <v>0.0031</v>
      </c>
      <c r="F90" s="267" t="n">
        <v>10315.01</v>
      </c>
      <c r="G90" s="32">
        <f>ROUND(E90*F90,2)</f>
        <v/>
      </c>
      <c r="H90" s="188">
        <f>G90/$G$115</f>
        <v/>
      </c>
      <c r="I90" s="32">
        <f>ROUND(F90*Прил.10!$D$13,2)</f>
        <v/>
      </c>
      <c r="J90" s="32">
        <f>ROUND(I90*E90,2)</f>
        <v/>
      </c>
    </row>
    <row r="91" outlineLevel="1" ht="25.5" customFormat="1" customHeight="1" s="12">
      <c r="A91" s="265" t="n">
        <v>63</v>
      </c>
      <c r="B91" s="266" t="inlineStr">
        <is>
          <t>01.3.01.06-0050</t>
        </is>
      </c>
      <c r="C91" s="264" t="inlineStr">
        <is>
          <t>Смазка универсальная тугоплавкая УТ (консталин жировой)</t>
        </is>
      </c>
      <c r="D91" s="265" t="inlineStr">
        <is>
          <t>т</t>
        </is>
      </c>
      <c r="E91" s="147" t="n">
        <v>0.0016</v>
      </c>
      <c r="F91" s="267" t="n">
        <v>17500</v>
      </c>
      <c r="G91" s="32">
        <f>ROUND(E91*F91,2)</f>
        <v/>
      </c>
      <c r="H91" s="188">
        <f>G91/$G$115</f>
        <v/>
      </c>
      <c r="I91" s="32">
        <f>ROUND(F91*Прил.10!$D$13,2)</f>
        <v/>
      </c>
      <c r="J91" s="32">
        <f>ROUND(I91*E91,2)</f>
        <v/>
      </c>
    </row>
    <row r="92" outlineLevel="1" ht="14.25" customFormat="1" customHeight="1" s="12">
      <c r="A92" s="265" t="n">
        <v>64</v>
      </c>
      <c r="B92" s="266" t="inlineStr">
        <is>
          <t>01.7.11.07-0034</t>
        </is>
      </c>
      <c r="C92" s="264" t="inlineStr">
        <is>
          <t>Электроды диаметром: 4 мм Э42А</t>
        </is>
      </c>
      <c r="D92" s="265" t="inlineStr">
        <is>
          <t>кг</t>
        </is>
      </c>
      <c r="E92" s="147" t="n">
        <v>2.2543</v>
      </c>
      <c r="F92" s="267" t="n">
        <v>10.57</v>
      </c>
      <c r="G92" s="32">
        <f>ROUND(E92*F92,2)</f>
        <v/>
      </c>
      <c r="H92" s="188">
        <f>G92/$G$115</f>
        <v/>
      </c>
      <c r="I92" s="32">
        <f>ROUND(F92*Прил.10!$D$13,2)</f>
        <v/>
      </c>
      <c r="J92" s="32">
        <f>ROUND(I92*E92,2)</f>
        <v/>
      </c>
    </row>
    <row r="93" outlineLevel="1" ht="25.5" customFormat="1" customHeight="1" s="12">
      <c r="A93" s="265" t="n">
        <v>65</v>
      </c>
      <c r="B93" s="266" t="inlineStr">
        <is>
          <t>01.7.15.03-0033</t>
        </is>
      </c>
      <c r="C93" s="264" t="inlineStr">
        <is>
          <t>Болты с гайками и шайбами оцинкованные, диаметр: 10 мм</t>
        </is>
      </c>
      <c r="D93" s="265" t="inlineStr">
        <is>
          <t>кг</t>
        </is>
      </c>
      <c r="E93" s="147" t="n">
        <v>0.872</v>
      </c>
      <c r="F93" s="267" t="n">
        <v>26.32</v>
      </c>
      <c r="G93" s="32">
        <f>ROUND(E93*F93,2)</f>
        <v/>
      </c>
      <c r="H93" s="188">
        <f>G93/$G$115</f>
        <v/>
      </c>
      <c r="I93" s="32">
        <f>ROUND(F93*Прил.10!$D$13,2)</f>
        <v/>
      </c>
      <c r="J93" s="32">
        <f>ROUND(I93*E93,2)</f>
        <v/>
      </c>
    </row>
    <row r="94" outlineLevel="1" ht="14.25" customFormat="1" customHeight="1" s="12">
      <c r="A94" s="265" t="n">
        <v>66</v>
      </c>
      <c r="B94" s="266" t="inlineStr">
        <is>
          <t>01.7.20.08-0031</t>
        </is>
      </c>
      <c r="C94" s="264" t="inlineStr">
        <is>
          <t>Бязь суровая арт. 6804</t>
        </is>
      </c>
      <c r="D94" s="265" t="inlineStr">
        <is>
          <t>10 м2</t>
        </is>
      </c>
      <c r="E94" s="147" t="n">
        <v>0.252</v>
      </c>
      <c r="F94" s="267" t="n">
        <v>79.09999999999999</v>
      </c>
      <c r="G94" s="32">
        <f>ROUND(E94*F94,2)</f>
        <v/>
      </c>
      <c r="H94" s="188">
        <f>G94/$G$115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65" t="n">
        <v>67</v>
      </c>
      <c r="B95" s="266" t="inlineStr">
        <is>
          <t>01.7.07.12-0024</t>
        </is>
      </c>
      <c r="C95" s="264" t="inlineStr">
        <is>
          <t>Пленка полиэтиленовая толщиной: 0,15 мм</t>
        </is>
      </c>
      <c r="D95" s="265" t="inlineStr">
        <is>
          <t>м2</t>
        </is>
      </c>
      <c r="E95" s="147" t="n">
        <v>5.1</v>
      </c>
      <c r="F95" s="267" t="n">
        <v>3.62</v>
      </c>
      <c r="G95" s="32">
        <f>ROUND(E95*F95,2)</f>
        <v/>
      </c>
      <c r="H95" s="188">
        <f>G95/$G$115</f>
        <v/>
      </c>
      <c r="I95" s="32">
        <f>ROUND(F95*Прил.10!$D$13,2)</f>
        <v/>
      </c>
      <c r="J95" s="32">
        <f>ROUND(I95*E95,2)</f>
        <v/>
      </c>
    </row>
    <row r="96" outlineLevel="1" ht="25.5" customFormat="1" customHeight="1" s="12">
      <c r="A96" s="265" t="n">
        <v>68</v>
      </c>
      <c r="B96" s="266" t="inlineStr">
        <is>
          <t>14.2.01.05-0001</t>
        </is>
      </c>
      <c r="C96" s="264" t="inlineStr">
        <is>
          <t>Композиция "Алпол" (на основе термопластичных полимеров)</t>
        </is>
      </c>
      <c r="D96" s="265" t="inlineStr">
        <is>
          <t>кг</t>
        </is>
      </c>
      <c r="E96" s="147" t="n">
        <v>0.3</v>
      </c>
      <c r="F96" s="267" t="n">
        <v>54.99</v>
      </c>
      <c r="G96" s="32">
        <f>ROUND(E96*F96,2)</f>
        <v/>
      </c>
      <c r="H96" s="188">
        <f>G96/$G$115</f>
        <v/>
      </c>
      <c r="I96" s="32">
        <f>ROUND(F96*Прил.10!$D$13,2)</f>
        <v/>
      </c>
      <c r="J96" s="32">
        <f>ROUND(I96*E96,2)</f>
        <v/>
      </c>
    </row>
    <row r="97" outlineLevel="1" ht="25.5" customFormat="1" customHeight="1" s="12">
      <c r="A97" s="265" t="n">
        <v>69</v>
      </c>
      <c r="B97" s="266" t="inlineStr">
        <is>
          <t>08.3.08.02-0091</t>
        </is>
      </c>
      <c r="C97" s="264" t="inlineStr">
        <is>
          <t>Сталь угловая, марки Ст3, перфорированная УП 35х35 мм</t>
        </is>
      </c>
      <c r="D97" s="265" t="inlineStr">
        <is>
          <t>м</t>
        </is>
      </c>
      <c r="E97" s="147" t="n">
        <v>0.95</v>
      </c>
      <c r="F97" s="267" t="n">
        <v>15.13</v>
      </c>
      <c r="G97" s="32">
        <f>ROUND(E97*F97,2)</f>
        <v/>
      </c>
      <c r="H97" s="188">
        <f>G97/$G$115</f>
        <v/>
      </c>
      <c r="I97" s="32">
        <f>ROUND(F97*Прил.10!$D$13,2)</f>
        <v/>
      </c>
      <c r="J97" s="32">
        <f>ROUND(I97*E97,2)</f>
        <v/>
      </c>
    </row>
    <row r="98" outlineLevel="1" ht="14.25" customFormat="1" customHeight="1" s="12">
      <c r="A98" s="265" t="n">
        <v>70</v>
      </c>
      <c r="B98" s="266" t="inlineStr">
        <is>
          <t>01.7.15.07-0014</t>
        </is>
      </c>
      <c r="C98" s="264" t="inlineStr">
        <is>
          <t>Дюбели распорные полипропиленовые</t>
        </is>
      </c>
      <c r="D98" s="265" t="inlineStr">
        <is>
          <t>100 шт.</t>
        </is>
      </c>
      <c r="E98" s="147" t="n">
        <v>0.1504</v>
      </c>
      <c r="F98" s="267" t="n">
        <v>86</v>
      </c>
      <c r="G98" s="32">
        <f>ROUND(E98*F98,2)</f>
        <v/>
      </c>
      <c r="H98" s="188">
        <f>G98/$G$115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65" t="n">
        <v>71</v>
      </c>
      <c r="B99" s="266" t="inlineStr">
        <is>
          <t>20.1.02.23-0082</t>
        </is>
      </c>
      <c r="C99" s="264" t="inlineStr">
        <is>
          <t>Перемычки гибкие, тип ПГС-50</t>
        </is>
      </c>
      <c r="D99" s="265" t="inlineStr">
        <is>
          <t>10 шт.</t>
        </is>
      </c>
      <c r="E99" s="147" t="n">
        <v>0.2</v>
      </c>
      <c r="F99" s="267" t="n">
        <v>39</v>
      </c>
      <c r="G99" s="32">
        <f>ROUND(E99*F99,2)</f>
        <v/>
      </c>
      <c r="H99" s="188">
        <f>G99/$G$115</f>
        <v/>
      </c>
      <c r="I99" s="32">
        <f>ROUND(F99*Прил.10!$D$13,2)</f>
        <v/>
      </c>
      <c r="J99" s="32">
        <f>ROUND(I99*E99,2)</f>
        <v/>
      </c>
    </row>
    <row r="100" outlineLevel="1" ht="25.5" customFormat="1" customHeight="1" s="12">
      <c r="A100" s="265" t="n">
        <v>72</v>
      </c>
      <c r="B100" s="266" t="inlineStr">
        <is>
          <t>08.3.05.02-0052</t>
        </is>
      </c>
      <c r="C100" s="264" t="inlineStr">
        <is>
          <t>Сталь листовая горячекатаная марки Ст3 толщиной: 2-6 мм</t>
        </is>
      </c>
      <c r="D100" s="265" t="inlineStr">
        <is>
          <t>т</t>
        </is>
      </c>
      <c r="E100" s="147" t="n">
        <v>0.001</v>
      </c>
      <c r="F100" s="267" t="n">
        <v>5941.89</v>
      </c>
      <c r="G100" s="32">
        <f>ROUND(E100*F100,2)</f>
        <v/>
      </c>
      <c r="H100" s="188">
        <f>G100/$G$115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65" t="n">
        <v>73</v>
      </c>
      <c r="B101" s="266" t="inlineStr">
        <is>
          <t>01.7.06.05-0041</t>
        </is>
      </c>
      <c r="C101" s="264" t="inlineStr">
        <is>
          <t>Лента изоляционная прорезиненная односторонняя ширина 20 мм, толщина 0,25-0,35 мм</t>
        </is>
      </c>
      <c r="D101" s="265" t="inlineStr">
        <is>
          <t>кг</t>
        </is>
      </c>
      <c r="E101" s="147" t="n">
        <v>0.16</v>
      </c>
      <c r="F101" s="267" t="n">
        <v>30.4</v>
      </c>
      <c r="G101" s="32">
        <f>ROUND(E101*F101,2)</f>
        <v/>
      </c>
      <c r="H101" s="188">
        <f>G101/$G$115</f>
        <v/>
      </c>
      <c r="I101" s="32">
        <f>ROUND(F101*Прил.10!$D$13,2)</f>
        <v/>
      </c>
      <c r="J101" s="32">
        <f>ROUND(I101*E101,2)</f>
        <v/>
      </c>
    </row>
    <row r="102" outlineLevel="1" ht="14.25" customFormat="1" customHeight="1" s="12">
      <c r="A102" s="265" t="n">
        <v>74</v>
      </c>
      <c r="B102" s="266" t="inlineStr">
        <is>
          <t>01.3.01.02-0002</t>
        </is>
      </c>
      <c r="C102" s="264" t="inlineStr">
        <is>
          <t>Вазелин технический</t>
        </is>
      </c>
      <c r="D102" s="265" t="inlineStr">
        <is>
          <t>кг</t>
        </is>
      </c>
      <c r="E102" s="147" t="n">
        <v>0.08</v>
      </c>
      <c r="F102" s="267" t="n">
        <v>44.97</v>
      </c>
      <c r="G102" s="32">
        <f>ROUND(E102*F102,2)</f>
        <v/>
      </c>
      <c r="H102" s="188">
        <f>G102/$G$115</f>
        <v/>
      </c>
      <c r="I102" s="32">
        <f>ROUND(F102*Прил.10!$D$13,2)</f>
        <v/>
      </c>
      <c r="J102" s="32">
        <f>ROUND(I102*E102,2)</f>
        <v/>
      </c>
    </row>
    <row r="103" outlineLevel="1" ht="14.25" customFormat="1" customHeight="1" s="12">
      <c r="A103" s="265" t="n">
        <v>75</v>
      </c>
      <c r="B103" s="266" t="inlineStr">
        <is>
          <t>01.7.15.07-0031</t>
        </is>
      </c>
      <c r="C103" s="264" t="inlineStr">
        <is>
          <t>Дюбели распорные с гайкой</t>
        </is>
      </c>
      <c r="D103" s="265" t="inlineStr">
        <is>
          <t>100 шт.</t>
        </is>
      </c>
      <c r="E103" s="147" t="n">
        <v>0.0302</v>
      </c>
      <c r="F103" s="267" t="n">
        <v>110</v>
      </c>
      <c r="G103" s="32">
        <f>ROUND(E103*F103,2)</f>
        <v/>
      </c>
      <c r="H103" s="188">
        <f>G103/$G$115</f>
        <v/>
      </c>
      <c r="I103" s="32">
        <f>ROUND(F103*Прил.10!$D$13,2)</f>
        <v/>
      </c>
      <c r="J103" s="32">
        <f>ROUND(I103*E103,2)</f>
        <v/>
      </c>
    </row>
    <row r="104" outlineLevel="1" ht="25.5" customFormat="1" customHeight="1" s="12">
      <c r="A104" s="265" t="n">
        <v>76</v>
      </c>
      <c r="B104" s="266" t="inlineStr">
        <is>
          <t>03.2.01.01-0003</t>
        </is>
      </c>
      <c r="C104" s="264" t="inlineStr">
        <is>
          <t>Портландцемент общестроительного назначения бездобавочный, марки: 500</t>
        </is>
      </c>
      <c r="D104" s="265" t="inlineStr">
        <is>
          <t>т</t>
        </is>
      </c>
      <c r="E104" s="147" t="n">
        <v>0.0068</v>
      </c>
      <c r="F104" s="267" t="n">
        <v>480</v>
      </c>
      <c r="G104" s="32">
        <f>ROUND(E104*F104,2)</f>
        <v/>
      </c>
      <c r="H104" s="188">
        <f>G104/$G$115</f>
        <v/>
      </c>
      <c r="I104" s="32">
        <f>ROUND(F104*Прил.10!$D$13,2)</f>
        <v/>
      </c>
      <c r="J104" s="32">
        <f>ROUND(I104*E104,2)</f>
        <v/>
      </c>
    </row>
    <row r="105" outlineLevel="1" ht="14.25" customFormat="1" customHeight="1" s="12">
      <c r="A105" s="265" t="n">
        <v>77</v>
      </c>
      <c r="B105" s="266" t="inlineStr">
        <is>
          <t>14.4.03.17-0011</t>
        </is>
      </c>
      <c r="C105" s="264" t="inlineStr">
        <is>
          <t>Лак электроизоляционный 318</t>
        </is>
      </c>
      <c r="D105" s="265" t="inlineStr">
        <is>
          <t>кг</t>
        </is>
      </c>
      <c r="E105" s="147" t="n">
        <v>0.08</v>
      </c>
      <c r="F105" s="267" t="n">
        <v>35.63</v>
      </c>
      <c r="G105" s="32">
        <f>ROUND(E105*F105,2)</f>
        <v/>
      </c>
      <c r="H105" s="188">
        <f>G105/$G$115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65" t="n">
        <v>78</v>
      </c>
      <c r="B106" s="266" t="inlineStr">
        <is>
          <t>01.7.20.04-0005</t>
        </is>
      </c>
      <c r="C106" s="264" t="inlineStr">
        <is>
          <t>Нитки швейные</t>
        </is>
      </c>
      <c r="D106" s="265" t="inlineStr">
        <is>
          <t>кг</t>
        </is>
      </c>
      <c r="E106" s="147" t="n">
        <v>0.008</v>
      </c>
      <c r="F106" s="267" t="n">
        <v>133.05</v>
      </c>
      <c r="G106" s="32">
        <f>ROUND(E106*F106,2)</f>
        <v/>
      </c>
      <c r="H106" s="188">
        <f>G106/$G$115</f>
        <v/>
      </c>
      <c r="I106" s="32">
        <f>ROUND(F106*Прил.10!$D$13,2)</f>
        <v/>
      </c>
      <c r="J106" s="32">
        <f>ROUND(I106*E106,2)</f>
        <v/>
      </c>
    </row>
    <row r="107" outlineLevel="1" ht="26.25" customFormat="1" customHeight="1" s="12">
      <c r="A107" s="265" t="n">
        <v>79</v>
      </c>
      <c r="B107" s="266" t="inlineStr">
        <is>
          <t>01.7.15.11-0061</t>
        </is>
      </c>
      <c r="C107" s="264" t="inlineStr">
        <is>
          <t>Шайбы пружинные</t>
        </is>
      </c>
      <c r="D107" s="265" t="inlineStr">
        <is>
          <t>т</t>
        </is>
      </c>
      <c r="E107" s="147" t="n">
        <v>2.6e-05</v>
      </c>
      <c r="F107" s="267" t="n">
        <v>31600</v>
      </c>
      <c r="G107" s="32">
        <f>ROUND(E107*F107,2)</f>
        <v/>
      </c>
      <c r="H107" s="188">
        <f>G107/$G$115</f>
        <v/>
      </c>
      <c r="I107" s="32">
        <f>ROUND(F107*Прил.10!$D$13,2)</f>
        <v/>
      </c>
      <c r="J107" s="32">
        <f>ROUND(I107*E107,2)</f>
        <v/>
      </c>
    </row>
    <row r="108" outlineLevel="1" ht="26.25" customFormat="1" customHeight="1" s="12">
      <c r="A108" s="265" t="n">
        <v>80</v>
      </c>
      <c r="B108" s="266" t="inlineStr">
        <is>
          <t>01.7.15.07-0007</t>
        </is>
      </c>
      <c r="C108" s="264" t="inlineStr">
        <is>
          <t>Дюбели пластмассовые диаметр 14 мм</t>
        </is>
      </c>
      <c r="D108" s="265" t="inlineStr">
        <is>
          <t>100 шт.</t>
        </is>
      </c>
      <c r="E108" s="147" t="n">
        <v>0.02</v>
      </c>
      <c r="F108" s="267" t="n">
        <v>26.6</v>
      </c>
      <c r="G108" s="32">
        <f>ROUND(E108*F108,2)</f>
        <v/>
      </c>
      <c r="H108" s="188">
        <f>G108/$G$115</f>
        <v/>
      </c>
      <c r="I108" s="32">
        <f>ROUND(F108*Прил.10!$D$13,2)</f>
        <v/>
      </c>
      <c r="J108" s="32">
        <f>ROUND(I108*E108,2)</f>
        <v/>
      </c>
    </row>
    <row r="109" outlineLevel="1" ht="25.5" customFormat="1" customHeight="1" s="12">
      <c r="A109" s="265" t="n">
        <v>81</v>
      </c>
      <c r="B109" s="266" t="inlineStr">
        <is>
          <t>02.3.01.02-0020</t>
        </is>
      </c>
      <c r="C109" s="264" t="inlineStr">
        <is>
          <t>Песок природный для строительных: растворов средний</t>
        </is>
      </c>
      <c r="D109" s="265" t="inlineStr">
        <is>
          <t>м3</t>
        </is>
      </c>
      <c r="E109" s="147" t="n">
        <v>0.0057</v>
      </c>
      <c r="F109" s="267" t="n">
        <v>59.99</v>
      </c>
      <c r="G109" s="32">
        <f>ROUND(E109*F109,2)</f>
        <v/>
      </c>
      <c r="H109" s="188">
        <f>G109/$G$115</f>
        <v/>
      </c>
      <c r="I109" s="32">
        <f>ROUND(F109*Прил.10!$D$13,2)</f>
        <v/>
      </c>
      <c r="J109" s="32">
        <f>ROUND(I109*E109,2)</f>
        <v/>
      </c>
    </row>
    <row r="110" outlineLevel="1" ht="25.5" customFormat="1" customHeight="1" s="12">
      <c r="A110" s="265" t="n">
        <v>82</v>
      </c>
      <c r="B110" s="266" t="inlineStr">
        <is>
          <t>01.7.15.03-0031</t>
        </is>
      </c>
      <c r="C110" s="264" t="inlineStr">
        <is>
          <t>Болты с гайками и шайбами оцинкованные, диаметр: 6 мм</t>
        </is>
      </c>
      <c r="D110" s="265" t="inlineStr">
        <is>
          <t>кг</t>
        </is>
      </c>
      <c r="E110" s="147" t="n">
        <v>0.01</v>
      </c>
      <c r="F110" s="267" t="n">
        <v>28.22</v>
      </c>
      <c r="G110" s="32">
        <f>ROUND(E110*F110,2)</f>
        <v/>
      </c>
      <c r="H110" s="188">
        <f>G110/$G$115</f>
        <v/>
      </c>
      <c r="I110" s="32">
        <f>ROUND(F110*Прил.10!$D$13,2)</f>
        <v/>
      </c>
      <c r="J110" s="32">
        <f>ROUND(I110*E110,2)</f>
        <v/>
      </c>
    </row>
    <row r="111" outlineLevel="1" ht="14.25" customFormat="1" customHeight="1" s="12">
      <c r="A111" s="265" t="n">
        <v>83</v>
      </c>
      <c r="B111" s="266" t="inlineStr">
        <is>
          <t>01.7.15.14-0043</t>
        </is>
      </c>
      <c r="C111" s="264" t="inlineStr">
        <is>
          <t>Шуруп самонарезающий: (LN) 3,5/11 мм</t>
        </is>
      </c>
      <c r="D111" s="265" t="inlineStr">
        <is>
          <t>100 шт.</t>
        </is>
      </c>
      <c r="E111" s="147" t="n">
        <v>0.1224</v>
      </c>
      <c r="F111" s="267" t="n">
        <v>2</v>
      </c>
      <c r="G111" s="32">
        <f>ROUND(E111*F111,2)</f>
        <v/>
      </c>
      <c r="H111" s="188">
        <f>G111/$G$115</f>
        <v/>
      </c>
      <c r="I111" s="32">
        <f>ROUND(F111*Прил.10!$D$13,2)</f>
        <v/>
      </c>
      <c r="J111" s="32">
        <f>ROUND(I111*E111,2)</f>
        <v/>
      </c>
    </row>
    <row r="112" outlineLevel="1" ht="14.25" customFormat="1" customHeight="1" s="12">
      <c r="A112" s="265" t="n">
        <v>84</v>
      </c>
      <c r="B112" s="266" t="inlineStr">
        <is>
          <t>01.7.02.09-0002</t>
        </is>
      </c>
      <c r="C112" s="264" t="inlineStr">
        <is>
          <t>Шпагат бумажный</t>
        </is>
      </c>
      <c r="D112" s="265" t="inlineStr">
        <is>
          <t>кг</t>
        </is>
      </c>
      <c r="E112" s="147" t="n">
        <v>0.016</v>
      </c>
      <c r="F112" s="267" t="n">
        <v>11.5</v>
      </c>
      <c r="G112" s="32">
        <f>ROUND(E112*F112,2)</f>
        <v/>
      </c>
      <c r="H112" s="188">
        <f>G112/$G$115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65" t="n">
        <v>85</v>
      </c>
      <c r="B113" s="266" t="inlineStr">
        <is>
          <t>01.7.03.01-0001</t>
        </is>
      </c>
      <c r="C113" s="264" t="inlineStr">
        <is>
          <t>Вода</t>
        </is>
      </c>
      <c r="D113" s="265" t="inlineStr">
        <is>
          <t>м3</t>
        </is>
      </c>
      <c r="E113" s="147" t="n">
        <v>0.0041</v>
      </c>
      <c r="F113" s="267" t="n">
        <v>2.44</v>
      </c>
      <c r="G113" s="32">
        <f>ROUND(E113*F113,2)</f>
        <v/>
      </c>
      <c r="H113" s="188">
        <f>G113/$G$115</f>
        <v/>
      </c>
      <c r="I113" s="32">
        <f>ROUND(F113*Прил.10!$D$13,2)</f>
        <v/>
      </c>
      <c r="J113" s="32">
        <f>ROUND(I113*E113,2)</f>
        <v/>
      </c>
    </row>
    <row r="114" ht="14.25" customFormat="1" customHeight="1" s="12">
      <c r="A114" s="265" t="n"/>
      <c r="B114" s="265" t="n"/>
      <c r="C114" s="264" t="inlineStr">
        <is>
          <t>Итого прочие материалы</t>
        </is>
      </c>
      <c r="D114" s="265" t="n"/>
      <c r="E114" s="266" t="n"/>
      <c r="F114" s="267" t="n"/>
      <c r="G114" s="32">
        <f>SUM(G68:G113)</f>
        <v/>
      </c>
      <c r="H114" s="268">
        <f>G114/G115</f>
        <v/>
      </c>
      <c r="I114" s="32" t="n"/>
      <c r="J114" s="32">
        <f>SUM(J68:J113)</f>
        <v/>
      </c>
    </row>
    <row r="115" ht="14.25" customFormat="1" customHeight="1" s="12">
      <c r="A115" s="265" t="n"/>
      <c r="B115" s="265" t="n"/>
      <c r="C115" s="269" t="inlineStr">
        <is>
          <t>Итого по разделу «Материалы»</t>
        </is>
      </c>
      <c r="D115" s="265" t="n"/>
      <c r="E115" s="266" t="n"/>
      <c r="F115" s="267" t="n"/>
      <c r="G115" s="32">
        <f>G67+G114</f>
        <v/>
      </c>
      <c r="H115" s="268" t="n">
        <v>1</v>
      </c>
      <c r="I115" s="32" t="n"/>
      <c r="J115" s="32">
        <f>J67+J114</f>
        <v/>
      </c>
    </row>
    <row r="116" ht="14.25" customFormat="1" customHeight="1" s="12">
      <c r="A116" s="265" t="n"/>
      <c r="B116" s="265" t="n"/>
      <c r="C116" s="264" t="inlineStr">
        <is>
          <t>ИТОГО ПО РМ</t>
        </is>
      </c>
      <c r="D116" s="265" t="n"/>
      <c r="E116" s="266" t="n"/>
      <c r="F116" s="267" t="n"/>
      <c r="G116" s="32">
        <f>G16+G48+G115</f>
        <v/>
      </c>
      <c r="H116" s="268" t="n"/>
      <c r="I116" s="32" t="n"/>
      <c r="J116" s="32">
        <f>J16+J48+J115</f>
        <v/>
      </c>
    </row>
    <row r="117" ht="14.25" customFormat="1" customHeight="1" s="12">
      <c r="A117" s="265" t="n"/>
      <c r="B117" s="265" t="n"/>
      <c r="C117" s="264" t="inlineStr">
        <is>
          <t>Накладные расходы</t>
        </is>
      </c>
      <c r="D117" s="197">
        <f>ROUND(G117/(G$18+$G$16),2)</f>
        <v/>
      </c>
      <c r="E117" s="266" t="n"/>
      <c r="F117" s="267" t="n"/>
      <c r="G117" s="32" t="n">
        <v>18872.79</v>
      </c>
      <c r="H117" s="268" t="n"/>
      <c r="I117" s="32" t="n"/>
      <c r="J117" s="32">
        <f>ROUND(D117*(J16+J18),2)</f>
        <v/>
      </c>
    </row>
    <row r="118" ht="14.25" customFormat="1" customHeight="1" s="12">
      <c r="A118" s="265" t="n"/>
      <c r="B118" s="265" t="n"/>
      <c r="C118" s="264" t="inlineStr">
        <is>
          <t>Сметная прибыль</t>
        </is>
      </c>
      <c r="D118" s="197">
        <f>ROUND(G118/(G$16+G$18),2)</f>
        <v/>
      </c>
      <c r="E118" s="266" t="n"/>
      <c r="F118" s="267" t="n"/>
      <c r="G118" s="32" t="n">
        <v>12877.48</v>
      </c>
      <c r="H118" s="268" t="n"/>
      <c r="I118" s="32" t="n"/>
      <c r="J118" s="32">
        <f>ROUND(D118*(J16+J18),2)</f>
        <v/>
      </c>
    </row>
    <row r="119" ht="14.25" customFormat="1" customHeight="1" s="12">
      <c r="A119" s="265" t="n"/>
      <c r="B119" s="265" t="n"/>
      <c r="C119" s="264" t="inlineStr">
        <is>
          <t>Итого СМР (с НР и СП)</t>
        </is>
      </c>
      <c r="D119" s="265" t="n"/>
      <c r="E119" s="266" t="n"/>
      <c r="F119" s="267" t="n"/>
      <c r="G119" s="32">
        <f>G16+G48+G115+G117+G118</f>
        <v/>
      </c>
      <c r="H119" s="268" t="n"/>
      <c r="I119" s="32" t="n"/>
      <c r="J119" s="32">
        <f>J16+J48+J115+J117+J118</f>
        <v/>
      </c>
    </row>
    <row r="120" ht="14.25" customFormat="1" customHeight="1" s="12">
      <c r="A120" s="265" t="n"/>
      <c r="B120" s="265" t="n"/>
      <c r="C120" s="264" t="inlineStr">
        <is>
          <t>ВСЕГО СМР + ОБОРУДОВАНИЕ</t>
        </is>
      </c>
      <c r="D120" s="265" t="n"/>
      <c r="E120" s="266" t="n"/>
      <c r="F120" s="267" t="n"/>
      <c r="G120" s="32">
        <f>G119+G56</f>
        <v/>
      </c>
      <c r="H120" s="268" t="n"/>
      <c r="I120" s="32" t="n"/>
      <c r="J120" s="32">
        <f>J119+J56</f>
        <v/>
      </c>
    </row>
    <row r="121" ht="34.5" customFormat="1" customHeight="1" s="12">
      <c r="A121" s="265" t="n"/>
      <c r="B121" s="265" t="n"/>
      <c r="C121" s="264" t="inlineStr">
        <is>
          <t>ИТОГО ПОКАЗАТЕЛЬ НА ЕД. ИЗМ.</t>
        </is>
      </c>
      <c r="D121" s="265" t="inlineStr">
        <is>
          <t>ед.</t>
        </is>
      </c>
      <c r="E121" s="266" t="n">
        <v>2</v>
      </c>
      <c r="F121" s="267" t="n"/>
      <c r="G121" s="32">
        <f>G120/E121</f>
        <v/>
      </c>
      <c r="H121" s="268" t="n"/>
      <c r="I121" s="32" t="n"/>
      <c r="J121" s="32">
        <f>J120/E121</f>
        <v/>
      </c>
    </row>
    <row r="123" ht="14.25" customFormat="1" customHeight="1" s="12">
      <c r="A123" s="4" t="inlineStr">
        <is>
          <t>Составил ______________________    Е. М. Добровольская</t>
        </is>
      </c>
    </row>
    <row r="124" ht="14.25" customFormat="1" customHeight="1" s="12">
      <c r="A124" s="33" t="inlineStr">
        <is>
          <t xml:space="preserve">                         (подпись, инициалы, фамилия)</t>
        </is>
      </c>
    </row>
    <row r="125" ht="14.25" customFormat="1" customHeight="1" s="12">
      <c r="A125" s="4" t="n"/>
    </row>
    <row r="126" ht="14.25" customFormat="1" customHeight="1" s="12">
      <c r="A126" s="4" t="inlineStr">
        <is>
          <t>Проверил ______________________        А.В. Костянецкая</t>
        </is>
      </c>
    </row>
    <row r="127" ht="14.25" customFormat="1" customHeight="1" s="12">
      <c r="A127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B50:H50"/>
    <mergeCell ref="A7:H7"/>
    <mergeCell ref="B49:J49"/>
    <mergeCell ref="B59:H59"/>
    <mergeCell ref="B9:B10"/>
    <mergeCell ref="D9:D10"/>
    <mergeCell ref="B12:H12"/>
    <mergeCell ref="D6:J6"/>
    <mergeCell ref="A8:H8"/>
    <mergeCell ref="F9:G9"/>
    <mergeCell ref="B17:H17"/>
    <mergeCell ref="A9:A10"/>
    <mergeCell ref="A6:C6"/>
    <mergeCell ref="B58:J58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74" fitToHeight="0"/>
  <rowBreaks count="1" manualBreakCount="1">
    <brk id="6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5" t="inlineStr">
        <is>
          <t>Приложение №6</t>
        </is>
      </c>
    </row>
    <row r="2" ht="21.75" customHeight="1">
      <c r="A2" s="275" t="n"/>
      <c r="B2" s="275" t="n"/>
      <c r="C2" s="275" t="n"/>
      <c r="D2" s="275" t="n"/>
      <c r="E2" s="275" t="n"/>
      <c r="F2" s="275" t="n"/>
      <c r="G2" s="275" t="n"/>
    </row>
    <row r="3">
      <c r="A3" s="236" t="inlineStr">
        <is>
          <t>Расчет стоимости оборудования</t>
        </is>
      </c>
    </row>
    <row r="4" ht="25.5" customHeight="1">
      <c r="A4" s="239" t="inlineStr">
        <is>
          <t>Наименование разрабатываемого показателя УНЦ — ТН (четыре вторичные обмотки) на три фазы с устройством фундамента напряжение 110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65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>
      <c r="A9" s="25" t="n"/>
      <c r="B9" s="264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>
      <c r="A10" s="265" t="n"/>
      <c r="B10" s="269" t="n"/>
      <c r="C10" s="264" t="inlineStr">
        <is>
          <t>ИТОГО ИНЖЕНЕРНОЕ ОБОРУДОВАНИЕ</t>
        </is>
      </c>
      <c r="D10" s="269" t="n"/>
      <c r="E10" s="105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>
      <c r="A12" s="265" t="n">
        <v>1</v>
      </c>
      <c r="B12" s="146">
        <f>'Прил.5 Расчет СМР и ОБ'!B51</f>
        <v/>
      </c>
      <c r="C12" s="264">
        <f>'Прил.5 Расчет СМР и ОБ'!C51</f>
        <v/>
      </c>
      <c r="D12" s="265" t="inlineStr">
        <is>
          <t>шт.</t>
        </is>
      </c>
      <c r="E12" s="266" t="n">
        <v>6</v>
      </c>
      <c r="F12" s="267">
        <f>'Прил.5 Расчет СМР и ОБ'!F51</f>
        <v/>
      </c>
      <c r="G12" s="32">
        <f>E12*F12</f>
        <v/>
      </c>
    </row>
    <row r="13" ht="25.5" customHeight="1">
      <c r="A13" s="265" t="n">
        <v>2</v>
      </c>
      <c r="B13" s="146" t="inlineStr">
        <is>
          <t>Прайс из СД ОП</t>
        </is>
      </c>
      <c r="C13" s="264" t="inlineStr">
        <is>
          <t>Шкаф зажимов трансформатора
напряжения (ШЗН)</t>
        </is>
      </c>
      <c r="D13" s="264" t="inlineStr">
        <is>
          <t>шт.</t>
        </is>
      </c>
      <c r="E13" s="265" t="n">
        <v>2</v>
      </c>
      <c r="F13" s="267">
        <f>'Прил.5 Расчет СМР и ОБ'!F53</f>
        <v/>
      </c>
      <c r="G13" s="32">
        <f>E13*F13</f>
        <v/>
      </c>
    </row>
    <row r="14" ht="38.25" customHeight="1">
      <c r="A14" s="265" t="n">
        <v>3</v>
      </c>
      <c r="B14" s="146" t="inlineStr">
        <is>
          <t>Прайс из СД ОП</t>
        </is>
      </c>
      <c r="C14" s="264" t="inlineStr">
        <is>
          <t>Шкаф зажимов трансформатора
напряжения для цепей АИИС КУЭ (ЯЗН-11)</t>
        </is>
      </c>
      <c r="D14" s="264" t="inlineStr">
        <is>
          <t>шт.</t>
        </is>
      </c>
      <c r="E14" s="265" t="n">
        <v>2</v>
      </c>
      <c r="F14" s="267">
        <f>'Прил.5 Расчет СМР и ОБ'!F54</f>
        <v/>
      </c>
      <c r="G14" s="32">
        <f>E14*F14</f>
        <v/>
      </c>
    </row>
    <row r="15" ht="25.5" customHeight="1">
      <c r="A15" s="265" t="n"/>
      <c r="B15" s="264" t="n"/>
      <c r="C15" s="264" t="inlineStr">
        <is>
          <t>ИТОГО ТЕХНОЛОГИЧЕСКОЕ ОБОРУДОВАНИЕ</t>
        </is>
      </c>
      <c r="D15" s="264" t="n"/>
      <c r="E15" s="279" t="n"/>
      <c r="F15" s="267" t="n"/>
      <c r="G15" s="32">
        <f>G14+G13+G12</f>
        <v/>
      </c>
    </row>
    <row r="16" ht="19.5" customHeight="1">
      <c r="A16" s="265" t="n"/>
      <c r="B16" s="264" t="n"/>
      <c r="C16" s="264" t="inlineStr">
        <is>
          <t>Всего по разделу «Оборудование»</t>
        </is>
      </c>
      <c r="D16" s="264" t="n"/>
      <c r="E16" s="279" t="n"/>
      <c r="F16" s="267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>
      <c r="A3" s="281" t="inlineStr">
        <is>
          <t>Расчет показателя УНЦ</t>
        </is>
      </c>
    </row>
    <row r="4" ht="24.75" customHeight="1">
      <c r="A4" s="281" t="n"/>
      <c r="B4" s="281" t="n"/>
      <c r="C4" s="281" t="n"/>
      <c r="D4" s="281" t="n"/>
    </row>
    <row r="5" ht="57" customHeight="1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9.9" customHeight="1">
      <c r="A6" s="282" t="inlineStr">
        <is>
          <t>Единица измерения  — 1 ед</t>
        </is>
      </c>
      <c r="D6" s="282" t="n"/>
    </row>
    <row r="7">
      <c r="A7" s="228" t="n"/>
      <c r="B7" s="228" t="n"/>
      <c r="C7" s="228" t="n"/>
      <c r="D7" s="228" t="n"/>
    </row>
    <row r="8" ht="14.45" customHeight="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>
      <c r="A9" s="331" t="n"/>
      <c r="B9" s="331" t="n"/>
      <c r="C9" s="331" t="n"/>
      <c r="D9" s="331" t="n"/>
    </row>
    <row r="10">
      <c r="A10" s="229" t="n">
        <v>1</v>
      </c>
      <c r="B10" s="229" t="n">
        <v>2</v>
      </c>
      <c r="C10" s="229" t="n">
        <v>3</v>
      </c>
      <c r="D10" s="229" t="n">
        <v>4</v>
      </c>
    </row>
    <row r="11" ht="41.45" customHeight="1">
      <c r="A11" s="229" t="inlineStr">
        <is>
          <t>И5-03-3</t>
        </is>
      </c>
      <c r="B11" s="229" t="inlineStr">
        <is>
          <t xml:space="preserve">УНЦ элементов ПС с устройством фундаментов </t>
        </is>
      </c>
      <c r="C11" s="230">
        <f>D5</f>
        <v/>
      </c>
      <c r="D11" s="231">
        <f>'Прил.4 РМ'!C41/1000</f>
        <v/>
      </c>
      <c r="E11" s="143" t="n"/>
    </row>
    <row r="12">
      <c r="A12" s="232" t="n"/>
      <c r="B12" s="233" t="n"/>
      <c r="C12" s="232" t="n"/>
      <c r="D12" s="232" t="n"/>
    </row>
    <row r="13">
      <c r="A13" s="228" t="inlineStr">
        <is>
          <t>Составил ______________________      Е. М. Добровольская</t>
        </is>
      </c>
      <c r="B13" s="234" t="n"/>
      <c r="C13" s="234" t="n"/>
      <c r="D13" s="232" t="n"/>
    </row>
    <row r="14">
      <c r="A14" s="235" t="inlineStr">
        <is>
          <t xml:space="preserve">                         (подпись, инициалы, фамилия)</t>
        </is>
      </c>
      <c r="B14" s="234" t="n"/>
      <c r="C14" s="234" t="n"/>
      <c r="D14" s="232" t="n"/>
    </row>
    <row r="15">
      <c r="A15" s="228" t="n"/>
      <c r="B15" s="234" t="n"/>
      <c r="C15" s="234" t="n"/>
      <c r="D15" s="232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44" t="inlineStr">
        <is>
          <t>Приложение № 10</t>
        </is>
      </c>
    </row>
    <row r="5" ht="18.75" customHeight="1">
      <c r="B5" s="138" t="n"/>
    </row>
    <row r="6" ht="15.75" customHeight="1">
      <c r="B6" s="248" t="inlineStr">
        <is>
          <t>Используемые индексы изменений сметной стоимости и нормы сопутствующих затрат</t>
        </is>
      </c>
    </row>
    <row r="7">
      <c r="B7" s="284" t="inlineStr">
        <is>
          <t>*Стоимость ПНР принята на основании СД ОП</t>
        </is>
      </c>
    </row>
    <row r="8">
      <c r="B8" s="284" t="n"/>
      <c r="C8" s="284" t="n"/>
      <c r="D8" s="284" t="n"/>
      <c r="E8" s="284" t="n"/>
    </row>
    <row r="9" ht="47.25" customHeight="1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>
      <c r="B10" s="249" t="n">
        <v>1</v>
      </c>
      <c r="C10" s="249" t="n">
        <v>2</v>
      </c>
      <c r="D10" s="249" t="n">
        <v>3</v>
      </c>
    </row>
    <row r="11" ht="45" customHeight="1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30.03.2023г. №17106-ИФ/09  прил.1</t>
        </is>
      </c>
      <c r="D11" s="249" t="n">
        <v>44.29</v>
      </c>
    </row>
    <row r="12" ht="29.25" customHeight="1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30.03.2023г. №17106-ИФ/09  прил.1</t>
        </is>
      </c>
      <c r="D12" s="249" t="n">
        <v>13.47</v>
      </c>
    </row>
    <row r="13" ht="29.25" customHeight="1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30.03.2023г. №17106-ИФ/09  прил.1</t>
        </is>
      </c>
      <c r="D13" s="249" t="n">
        <v>8.039999999999999</v>
      </c>
    </row>
    <row r="14" ht="30.75" customHeight="1">
      <c r="B14" s="24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9" t="n">
        <v>6.26</v>
      </c>
    </row>
    <row r="15" ht="89.25" customHeight="1">
      <c r="B15" s="249" t="inlineStr">
        <is>
          <t>Временные здания и сооружения</t>
        </is>
      </c>
      <c r="C15" s="2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9" t="inlineStr">
        <is>
          <t>Пусконаладочные работы*</t>
        </is>
      </c>
      <c r="C17" s="249" t="n"/>
      <c r="D17" s="249" t="inlineStr">
        <is>
          <t>Расчет</t>
        </is>
      </c>
    </row>
    <row r="18" ht="31.5" customHeight="1">
      <c r="B18" s="249" t="inlineStr">
        <is>
          <t>Строительный контроль</t>
        </is>
      </c>
      <c r="C18" s="249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9" t="inlineStr">
        <is>
          <t>Авторский надзор - 0,2%</t>
        </is>
      </c>
      <c r="C19" s="249" t="inlineStr">
        <is>
          <t>Приказ от 4.08.2020 № 421/пр п.173</t>
        </is>
      </c>
      <c r="D19" s="139" t="n">
        <v>0.002</v>
      </c>
    </row>
    <row r="20" ht="24" customHeight="1">
      <c r="B20" s="249" t="inlineStr">
        <is>
          <t>Непредвиденные расходы</t>
        </is>
      </c>
      <c r="C20" s="249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G35" sqref="G35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hidden="1" width="9.140625" customWidth="1" min="7" max="7"/>
  </cols>
  <sheetData>
    <row r="2" ht="17.25" customHeight="1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20" t="n"/>
    </row>
    <row r="6" ht="15.75" customHeight="1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20" t="n"/>
    </row>
    <row r="7" ht="110.25" customHeight="1">
      <c r="A7" s="128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61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>
      <c r="A8" s="128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130">
        <f>1973/12</f>
        <v/>
      </c>
      <c r="F8" s="216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216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130" t="n">
        <v>1</v>
      </c>
      <c r="F9" s="216" t="n"/>
      <c r="G9" s="131" t="n"/>
    </row>
    <row r="10" ht="15.75" customHeight="1">
      <c r="A10" s="128" t="inlineStr">
        <is>
          <t>1.4</t>
        </is>
      </c>
      <c r="B10" s="216" t="inlineStr">
        <is>
          <t>Средний разряд работ</t>
        </is>
      </c>
      <c r="C10" s="249" t="n"/>
      <c r="D10" s="249" t="n"/>
      <c r="E10" s="132" t="n">
        <v>3.2</v>
      </c>
      <c r="F10" s="216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216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133" t="n">
        <v>1.217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9" t="inlineStr">
        <is>
          <t>ФОТр.тек.</t>
        </is>
      </c>
      <c r="D13" s="249" t="inlineStr">
        <is>
          <t>(С1ср/tср*КТ*Т*Кув)*Кинф</t>
        </is>
      </c>
      <c r="E13" s="137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  <row r="14">
      <c r="A14" s="200" t="n"/>
      <c r="B14" s="201" t="inlineStr">
        <is>
          <t>Инженер I категории</t>
        </is>
      </c>
      <c r="C14" s="200" t="n"/>
      <c r="D14" s="200" t="n"/>
      <c r="E14" s="200" t="n"/>
      <c r="F14" s="200" t="n"/>
    </row>
    <row r="15" ht="63.75" customHeight="1">
      <c r="A15" s="202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05" t="n">
        <v>43361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2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05">
        <f>1973/12</f>
        <v/>
      </c>
      <c r="F16" s="203" t="inlineStr">
        <is>
          <t>Производственный календарь 2023 год
(40-часов.неделя)</t>
        </is>
      </c>
    </row>
    <row r="17">
      <c r="A17" s="202" t="inlineStr">
        <is>
          <t>1.3</t>
        </is>
      </c>
      <c r="B17" s="203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05" t="n">
        <v>1</v>
      </c>
      <c r="F17" s="203" t="n"/>
    </row>
    <row r="18">
      <c r="A18" s="202" t="inlineStr">
        <is>
          <t>1.4</t>
        </is>
      </c>
      <c r="B18" s="203" t="inlineStr">
        <is>
          <t>Средний разряд работ</t>
        </is>
      </c>
      <c r="C18" s="204" t="n"/>
      <c r="D18" s="204" t="n"/>
      <c r="E18" s="206" t="n">
        <v>1</v>
      </c>
      <c r="F18" s="203" t="inlineStr">
        <is>
          <t>РТМ</t>
        </is>
      </c>
    </row>
    <row r="19" ht="51" customHeight="1">
      <c r="A19" s="202" t="inlineStr">
        <is>
          <t>1.5</t>
        </is>
      </c>
      <c r="B19" s="203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07" t="n">
        <v>2.15</v>
      </c>
      <c r="F19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2" t="inlineStr">
        <is>
          <t>1.6</t>
        </is>
      </c>
      <c r="B20" s="208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2" t="inlineStr">
        <is>
          <t>1.7</t>
        </is>
      </c>
      <c r="B21" s="211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2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200" t="n"/>
      <c r="B22" s="201" t="inlineStr">
        <is>
          <t>Инженер II категории</t>
        </is>
      </c>
      <c r="C22" s="200" t="n"/>
      <c r="D22" s="200" t="n"/>
      <c r="E22" s="200" t="n"/>
      <c r="F22" s="200" t="n"/>
    </row>
    <row r="23" ht="63.75" customHeight="1">
      <c r="A23" s="202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4" t="inlineStr">
        <is>
          <t>С1ср</t>
        </is>
      </c>
      <c r="D23" s="204" t="inlineStr">
        <is>
          <t>-</t>
        </is>
      </c>
      <c r="E23" s="205" t="n">
        <v>43361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202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04" t="inlineStr">
        <is>
          <t>tср</t>
        </is>
      </c>
      <c r="D24" s="204" t="inlineStr">
        <is>
          <t>1973ч/12мес.</t>
        </is>
      </c>
      <c r="E24" s="205">
        <f>1973/12</f>
        <v/>
      </c>
      <c r="F24" s="203" t="inlineStr">
        <is>
          <t>Производственный календарь 2023 год
(40-часов.неделя)</t>
        </is>
      </c>
    </row>
    <row r="25">
      <c r="A25" s="202" t="inlineStr">
        <is>
          <t>1.3</t>
        </is>
      </c>
      <c r="B25" s="203" t="inlineStr">
        <is>
          <t>Коэффициент увеличения</t>
        </is>
      </c>
      <c r="C25" s="204" t="inlineStr">
        <is>
          <t>Кув</t>
        </is>
      </c>
      <c r="D25" s="204" t="inlineStr">
        <is>
          <t>-</t>
        </is>
      </c>
      <c r="E25" s="205" t="n">
        <v>1</v>
      </c>
      <c r="F25" s="203" t="n"/>
    </row>
    <row r="26">
      <c r="A26" s="202" t="inlineStr">
        <is>
          <t>1.4</t>
        </is>
      </c>
      <c r="B26" s="203" t="inlineStr">
        <is>
          <t>Средний разряд работ</t>
        </is>
      </c>
      <c r="C26" s="204" t="n"/>
      <c r="D26" s="204" t="n"/>
      <c r="E26" s="206" t="n">
        <v>1</v>
      </c>
      <c r="F26" s="203" t="inlineStr">
        <is>
          <t>РТМ</t>
        </is>
      </c>
    </row>
    <row r="27" ht="51" customHeight="1">
      <c r="A27" s="202" t="inlineStr">
        <is>
          <t>1.5</t>
        </is>
      </c>
      <c r="B27" s="203" t="inlineStr">
        <is>
          <t>Тарифный коэффициент среднего разряда работ</t>
        </is>
      </c>
      <c r="C27" s="204" t="inlineStr">
        <is>
          <t>КТ</t>
        </is>
      </c>
      <c r="D27" s="204" t="inlineStr">
        <is>
          <t>-</t>
        </is>
      </c>
      <c r="E27" s="207" t="n">
        <v>1.96</v>
      </c>
      <c r="F27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202" t="inlineStr">
        <is>
          <t>1.6</t>
        </is>
      </c>
      <c r="B28" s="208" t="inlineStr">
        <is>
          <t>Коэффициент инфляции, определяемый поквартально</t>
        </is>
      </c>
      <c r="C28" s="204" t="inlineStr">
        <is>
          <t>Кинф</t>
        </is>
      </c>
      <c r="D28" s="204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202" t="inlineStr">
        <is>
          <t>1.7</t>
        </is>
      </c>
      <c r="B29" s="211" t="inlineStr">
        <is>
          <t>Размер средств на оплату труда рабочих-строителей в текущем уровне цен (ФОТи.тек.), руб/чел.-ч</t>
        </is>
      </c>
      <c r="C29" s="204" t="inlineStr">
        <is>
          <t>ФОТр.тек.</t>
        </is>
      </c>
      <c r="D29" s="204" t="inlineStr">
        <is>
          <t>(С1ср/tср*КТ*Т*Кув)*Кинф</t>
        </is>
      </c>
      <c r="E29" s="212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2025-01-24T12:02:11Z</dcterms:modified>
  <cp:lastModifiedBy>Danil</cp:lastModifiedBy>
  <cp:lastPrinted>2023-11-27T14:17:04Z</cp:lastPrinted>
</cp:coreProperties>
</file>