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стоим'!$A$1:$J$26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3'!$7:$9</definedName>
    <definedName name="_xlnm.Print_Area" localSheetId="2">'Прил. 3'!$A$1:$H$71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ОБ'!$A$1:$J$86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</numFmts>
  <fonts count="30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563C1"/>
      <sz val="12"/>
      <u val="single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0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8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16" fillId="0" borderId="0" applyAlignment="1" pivotButton="0" quotePrefix="0" xfId="0">
      <alignment horizontal="left" vertical="center"/>
    </xf>
    <xf numFmtId="4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49" fontId="16" fillId="0" borderId="1" applyAlignment="1" pivotButton="0" quotePrefix="0" xfId="0">
      <alignment horizontal="center" vertical="top" wrapText="1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16" fillId="0" borderId="0" pivotButton="0" quotePrefix="0" xfId="0"/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6" fillId="0" borderId="5" applyAlignment="1" pivotButton="0" quotePrefix="0" xfId="0">
      <alignment horizontal="center" vertical="center" wrapText="1"/>
    </xf>
    <xf numFmtId="49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2" fontId="16" fillId="0" borderId="1" applyAlignment="1" pivotButton="0" quotePrefix="0" xfId="0">
      <alignment horizontal="right" vertical="center" wrapText="1"/>
    </xf>
    <xf numFmtId="2" fontId="18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2" fillId="4" borderId="0" applyAlignment="1" pivotButton="0" quotePrefix="0" xfId="0">
      <alignment horizontal="center" vertical="center"/>
    </xf>
    <xf numFmtId="4" fontId="1" fillId="4" borderId="0" applyAlignment="1" pivotButton="0" quotePrefix="0" xfId="0">
      <alignment horizontal="left" vertical="center" wrapText="1"/>
    </xf>
    <xf numFmtId="0" fontId="1" fillId="4" borderId="0" pivotButton="0" quotePrefix="0" xfId="0"/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center" vertical="center"/>
    </xf>
    <xf numFmtId="0" fontId="8" fillId="4" borderId="0" pivotButton="0" quotePrefix="0" xfId="0"/>
    <xf numFmtId="0" fontId="8" fillId="4" borderId="0" applyAlignment="1" pivotButton="0" quotePrefix="0" xfId="0">
      <alignment horizontal="right"/>
    </xf>
    <xf numFmtId="0" fontId="4" fillId="4" borderId="0" pivotButton="0" quotePrefix="0" xfId="0"/>
    <xf numFmtId="0" fontId="3" fillId="4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" fillId="0" borderId="1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" fillId="4" borderId="0" applyAlignment="1" pivotButton="0" quotePrefix="0" xfId="0">
      <alignment horizontal="left" vertical="center" wrapText="1"/>
    </xf>
    <xf numFmtId="0" fontId="16" fillId="4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6" zoomScale="55" zoomScaleNormal="55" workbookViewId="0">
      <selection activeCell="B28" sqref="B28"/>
    </sheetView>
  </sheetViews>
  <sheetFormatPr baseColWidth="8" defaultColWidth="9.140625" defaultRowHeight="15.75"/>
  <cols>
    <col width="9.140625" customWidth="1" style="189" min="1" max="2"/>
    <col width="55.5703125" customWidth="1" style="189" min="3" max="3"/>
    <col width="36.5703125" customWidth="1" style="189" min="4" max="4"/>
    <col width="37.42578125" customWidth="1" style="189" min="5" max="5"/>
    <col width="9.140625" customWidth="1" style="189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>
      <c r="B5" s="165" t="n"/>
      <c r="C5" s="165" t="n"/>
      <c r="D5" s="165" t="n"/>
    </row>
    <row r="6">
      <c r="B6" s="165" t="n"/>
      <c r="C6" s="165" t="n"/>
      <c r="D6" s="165" t="n"/>
    </row>
    <row r="7">
      <c r="B7" s="220" t="inlineStr">
        <is>
          <t>Наименование разрабатываемого показателя УНЦ — ОПН на три фазы с устройством фундамента напряжение 110 кВ</t>
        </is>
      </c>
      <c r="E7" s="164" t="n"/>
    </row>
    <row r="8" ht="31.5" customHeight="1" s="190">
      <c r="B8" s="220" t="inlineStr">
        <is>
          <t>Сопоставимый уровень цен: 3 квартал 2021 г</t>
        </is>
      </c>
    </row>
    <row r="9">
      <c r="B9" s="220" t="inlineStr">
        <is>
          <t>Единица измерения  — 1 ед.</t>
        </is>
      </c>
      <c r="E9" s="164" t="n"/>
    </row>
    <row r="10">
      <c r="B10" s="220" t="n"/>
    </row>
    <row r="11">
      <c r="B11" s="226" t="inlineStr">
        <is>
          <t>№ п/п</t>
        </is>
      </c>
      <c r="C11" s="226" t="inlineStr">
        <is>
          <t>Параметр</t>
        </is>
      </c>
      <c r="D11" s="195" t="inlineStr">
        <is>
          <t>Объект-представитель 1</t>
        </is>
      </c>
      <c r="E11" s="164" t="n"/>
    </row>
    <row r="12">
      <c r="B12" s="226" t="n">
        <v>1</v>
      </c>
      <c r="C12" s="195" t="inlineStr">
        <is>
          <t>Наименование объекта-представителя</t>
        </is>
      </c>
      <c r="D12" s="226" t="inlineStr">
        <is>
          <t>ПС Налдинская (МЭС Востока)</t>
        </is>
      </c>
    </row>
    <row r="13" ht="31.5" customHeight="1" s="190">
      <c r="B13" s="226" t="n">
        <v>2</v>
      </c>
      <c r="C13" s="195" t="inlineStr">
        <is>
          <t>Наименование субъекта Российской Федерации</t>
        </is>
      </c>
      <c r="D13" s="226" t="inlineStr">
        <is>
          <t>Республика Саха (Якутия)</t>
        </is>
      </c>
    </row>
    <row r="14">
      <c r="B14" s="226" t="n">
        <v>3</v>
      </c>
      <c r="C14" s="195" t="inlineStr">
        <is>
          <t>Климатический район и подрайон</t>
        </is>
      </c>
      <c r="D14" s="226" t="inlineStr">
        <is>
          <t>IБ</t>
        </is>
      </c>
    </row>
    <row r="15">
      <c r="B15" s="226" t="n">
        <v>4</v>
      </c>
      <c r="C15" s="195" t="inlineStr">
        <is>
          <t>Мощность объекта</t>
        </is>
      </c>
      <c r="D15" s="226" t="n">
        <v>3</v>
      </c>
    </row>
    <row r="16" ht="169.5" customHeight="1" s="190">
      <c r="B16" s="226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6" t="inlineStr">
        <is>
          <t>ОПН 110 кВ</t>
        </is>
      </c>
    </row>
    <row r="17" ht="78.75" customHeight="1" s="190">
      <c r="B17" s="226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0">
        <f>'Прил.2 Расч стоим'!J12</f>
        <v/>
      </c>
      <c r="E17" s="160" t="n"/>
    </row>
    <row r="18">
      <c r="B18" s="163" t="inlineStr">
        <is>
          <t>6.1</t>
        </is>
      </c>
      <c r="C18" s="195" t="inlineStr">
        <is>
          <t>строительно-монтажные работы</t>
        </is>
      </c>
      <c r="D18" s="200">
        <f>'Прил.2 Расч стоим'!G12</f>
        <v/>
      </c>
    </row>
    <row r="19" ht="15.75" customHeight="1" s="190">
      <c r="B19" s="163" t="inlineStr">
        <is>
          <t>6.2</t>
        </is>
      </c>
      <c r="C19" s="195" t="inlineStr">
        <is>
          <t>оборудование и инвентарь</t>
        </is>
      </c>
      <c r="D19" s="200">
        <f>'Прил.2 Расч стоим'!H12</f>
        <v/>
      </c>
    </row>
    <row r="20" ht="16.5" customHeight="1" s="190">
      <c r="B20" s="163" t="inlineStr">
        <is>
          <t>6.3</t>
        </is>
      </c>
      <c r="C20" s="195" t="inlineStr">
        <is>
          <t>пусконаладочные работы</t>
        </is>
      </c>
      <c r="D20" s="200" t="n">
        <v>0</v>
      </c>
    </row>
    <row r="21" ht="35.25" customHeight="1" s="190">
      <c r="B21" s="163" t="inlineStr">
        <is>
          <t>6.4</t>
        </is>
      </c>
      <c r="C21" s="162" t="inlineStr">
        <is>
          <t>прочие и лимитированные затраты</t>
        </is>
      </c>
      <c r="D21" s="200">
        <f>'Прил.2 Расч стоим'!I12</f>
        <v/>
      </c>
    </row>
    <row r="22">
      <c r="B22" s="226" t="n">
        <v>7</v>
      </c>
      <c r="C22" s="162" t="inlineStr">
        <is>
          <t>Сопоставимый уровень цен</t>
        </is>
      </c>
      <c r="D22" s="226" t="inlineStr">
        <is>
          <t>3 кв 2021</t>
        </is>
      </c>
      <c r="E22" s="160" t="n"/>
    </row>
    <row r="23" ht="123" customHeight="1" s="190">
      <c r="B23" s="226" t="n">
        <v>8</v>
      </c>
      <c r="C23" s="16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0">
        <f>D17</f>
        <v/>
      </c>
    </row>
    <row r="24" ht="60.75" customHeight="1" s="190">
      <c r="B24" s="226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0">
        <f>D23/D15</f>
        <v/>
      </c>
      <c r="E24" s="160" t="n"/>
    </row>
    <row r="25" ht="89.25" customHeight="1" s="190">
      <c r="B25" s="226" t="n">
        <v>10</v>
      </c>
      <c r="C25" s="195" t="inlineStr">
        <is>
          <t>Примечание</t>
        </is>
      </c>
      <c r="D25" s="226" t="n"/>
    </row>
    <row r="26">
      <c r="B26" s="159" t="n"/>
      <c r="C26" s="158" t="n"/>
      <c r="D26" s="158" t="n"/>
    </row>
    <row r="27" ht="37.5" customHeight="1" s="190">
      <c r="B27" s="157" t="n"/>
    </row>
    <row r="28">
      <c r="B28" s="189" t="inlineStr">
        <is>
          <t>Составил ______________________        Е. М. Добровольская</t>
        </is>
      </c>
    </row>
    <row r="29">
      <c r="B29" s="157" t="inlineStr">
        <is>
          <t xml:space="preserve">                         (подпись, инициалы, фамилия)</t>
        </is>
      </c>
    </row>
    <row r="31">
      <c r="B31" s="189" t="inlineStr">
        <is>
          <t>Проверил ______________________        А.В. Костянецкая</t>
        </is>
      </c>
    </row>
    <row r="32">
      <c r="B32" s="157" t="inlineStr">
        <is>
          <t xml:space="preserve">                        (подпись, инициалы, фамилия)</t>
        </is>
      </c>
    </row>
  </sheetData>
  <mergeCells count="5">
    <mergeCell ref="B3:D3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6"/>
  <sheetViews>
    <sheetView view="pageBreakPreview" zoomScale="70" zoomScaleNormal="70" workbookViewId="0">
      <selection activeCell="B22" sqref="B22"/>
    </sheetView>
  </sheetViews>
  <sheetFormatPr baseColWidth="8" defaultColWidth="9.140625" defaultRowHeight="15.75"/>
  <cols>
    <col width="5.5703125" customWidth="1" style="189" min="1" max="1"/>
    <col width="9.140625" customWidth="1" style="189" min="2" max="2"/>
    <col width="35.28515625" customWidth="1" style="189" min="3" max="3"/>
    <col width="13.85546875" customWidth="1" style="189" min="4" max="4"/>
    <col width="24.85546875" customWidth="1" style="189" min="5" max="5"/>
    <col width="15.5703125" customWidth="1" style="189" min="6" max="6"/>
    <col width="14.85546875" customWidth="1" style="189" min="7" max="7"/>
    <col width="16.7109375" customWidth="1" style="189" min="8" max="8"/>
    <col width="13" customWidth="1" style="189" min="9" max="10"/>
    <col width="18" customWidth="1" style="189" min="11" max="11"/>
    <col width="9.140625" customWidth="1" style="189" min="12" max="12"/>
  </cols>
  <sheetData>
    <row r="3">
      <c r="B3" s="218" t="inlineStr">
        <is>
          <t>Приложение № 2</t>
        </is>
      </c>
      <c r="K3" s="157" t="n"/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65" t="n"/>
      <c r="C5" s="165" t="n"/>
      <c r="D5" s="165" t="n"/>
      <c r="E5" s="165" t="n"/>
      <c r="F5" s="165" t="n"/>
      <c r="G5" s="165" t="n"/>
      <c r="H5" s="165" t="n"/>
      <c r="I5" s="165" t="n"/>
      <c r="J5" s="165" t="n"/>
      <c r="K5" s="165" t="n"/>
    </row>
    <row r="6" ht="15.75" customHeight="1" s="190">
      <c r="B6" s="225" t="inlineStr">
        <is>
          <t>Наименование разрабатываемого показателя УНЦ —   ОПН на три фазы с устройством фундамента напряжение 110 кВ</t>
        </is>
      </c>
      <c r="K6" s="157" t="n"/>
      <c r="L6" s="164" t="n"/>
    </row>
    <row r="7">
      <c r="B7" s="220">
        <f>'Прил.1 Сравнит табл'!B9:D9</f>
        <v/>
      </c>
      <c r="L7" s="164" t="n"/>
    </row>
    <row r="8">
      <c r="B8" s="220" t="n"/>
    </row>
    <row r="9" s="190">
      <c r="A9" s="189" t="n"/>
      <c r="B9" s="226" t="inlineStr">
        <is>
          <t>№ п/п</t>
        </is>
      </c>
      <c r="C9" s="2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6" t="inlineStr">
        <is>
          <t>Объект-представитель 1</t>
        </is>
      </c>
      <c r="E9" s="303" t="n"/>
      <c r="F9" s="303" t="n"/>
      <c r="G9" s="303" t="n"/>
      <c r="H9" s="303" t="n"/>
      <c r="I9" s="303" t="n"/>
      <c r="J9" s="304" t="n"/>
      <c r="K9" s="189" t="n"/>
      <c r="L9" s="189" t="n"/>
    </row>
    <row r="10" s="190">
      <c r="A10" s="189" t="n"/>
      <c r="B10" s="305" t="n"/>
      <c r="C10" s="305" t="n"/>
      <c r="D10" s="226" t="inlineStr">
        <is>
          <t>Номер сметы</t>
        </is>
      </c>
      <c r="E10" s="226" t="inlineStr">
        <is>
          <t>Наименование сметы</t>
        </is>
      </c>
      <c r="F10" s="226" t="inlineStr">
        <is>
          <t>Сметная стоимость в уровне цен 3 кв. 2021 г., тыс. руб.</t>
        </is>
      </c>
      <c r="G10" s="303" t="n"/>
      <c r="H10" s="303" t="n"/>
      <c r="I10" s="303" t="n"/>
      <c r="J10" s="304" t="n"/>
      <c r="K10" s="189" t="n"/>
      <c r="L10" s="189" t="n"/>
    </row>
    <row r="11" ht="69.75" customHeight="1" s="190">
      <c r="A11" s="189" t="n"/>
      <c r="B11" s="306" t="n"/>
      <c r="C11" s="306" t="n"/>
      <c r="D11" s="306" t="n"/>
      <c r="E11" s="306" t="n"/>
      <c r="F11" s="226" t="inlineStr">
        <is>
          <t>Строительные работы</t>
        </is>
      </c>
      <c r="G11" s="226" t="inlineStr">
        <is>
          <t>Монтажные работы</t>
        </is>
      </c>
      <c r="H11" s="226" t="inlineStr">
        <is>
          <t>Оборудование</t>
        </is>
      </c>
      <c r="I11" s="226" t="inlineStr">
        <is>
          <t>Прочее</t>
        </is>
      </c>
      <c r="J11" s="226" t="inlineStr">
        <is>
          <t>Всего</t>
        </is>
      </c>
      <c r="K11" s="189" t="n"/>
      <c r="L11" s="189" t="n"/>
    </row>
    <row r="12" ht="73.5" customHeight="1" s="190">
      <c r="A12" s="189" t="n"/>
      <c r="B12" s="192" t="n">
        <v>1</v>
      </c>
      <c r="C12" s="193" t="inlineStr">
        <is>
          <t>ОПН 10 кВ</t>
        </is>
      </c>
      <c r="D12" s="194" t="inlineStr">
        <is>
          <t>ЛС 02-01-03</t>
        </is>
      </c>
      <c r="E12" s="195" t="inlineStr">
        <is>
          <t>ОРУ 220 кВ. Электротехнические решения</t>
        </is>
      </c>
      <c r="F12" s="196" t="n"/>
      <c r="G12" s="197">
        <f>(614411+2316680)/1000</f>
        <v/>
      </c>
      <c r="H12" s="197">
        <f>14477724.28*5.56/1000</f>
        <v/>
      </c>
      <c r="I12" s="197">
        <f>ROUND((G12*3.9%)+(G12+G12*3.9%)*7%,2)</f>
        <v/>
      </c>
      <c r="J12" s="198">
        <f>SUM(F12:I12)</f>
        <v/>
      </c>
      <c r="K12" s="189" t="n"/>
      <c r="L12" s="189" t="n"/>
    </row>
    <row r="13" s="190">
      <c r="A13" s="189" t="n"/>
      <c r="B13" s="224" t="inlineStr">
        <is>
          <t>Всего по объекту:</t>
        </is>
      </c>
      <c r="C13" s="303" t="n"/>
      <c r="D13" s="303" t="n"/>
      <c r="E13" s="304" t="n"/>
      <c r="F13" s="199">
        <f>SUM(F12:F12)</f>
        <v/>
      </c>
      <c r="G13" s="199">
        <f>SUM(G12:G12)</f>
        <v/>
      </c>
      <c r="H13" s="199">
        <f>SUM(H12:H12)</f>
        <v/>
      </c>
      <c r="I13" s="199">
        <f>SUM(I12:I12)</f>
        <v/>
      </c>
      <c r="J13" s="199">
        <f>SUM(J12:J12)</f>
        <v/>
      </c>
      <c r="K13" s="189" t="n"/>
      <c r="L13" s="189" t="n"/>
    </row>
    <row r="14" ht="28.5" customHeight="1" s="190">
      <c r="A14" s="189" t="n"/>
      <c r="B14" s="224" t="inlineStr">
        <is>
          <t>Всего по объекту в сопоставимом уровне цен 3 кв. 2021 г:</t>
        </is>
      </c>
      <c r="C14" s="303" t="n"/>
      <c r="D14" s="303" t="n"/>
      <c r="E14" s="304" t="n"/>
      <c r="F14" s="199">
        <f>F13</f>
        <v/>
      </c>
      <c r="G14" s="199">
        <f>G13</f>
        <v/>
      </c>
      <c r="H14" s="199">
        <f>H13</f>
        <v/>
      </c>
      <c r="I14" s="199">
        <f>I13</f>
        <v/>
      </c>
      <c r="J14" s="199">
        <f>J13</f>
        <v/>
      </c>
      <c r="K14" s="189" t="n"/>
      <c r="L14" s="189" t="n"/>
    </row>
    <row r="15">
      <c r="B15" s="220" t="n"/>
    </row>
    <row r="18">
      <c r="B18" s="232" t="inlineStr">
        <is>
          <t>*</t>
        </is>
      </c>
      <c r="C18" s="189" t="inlineStr">
        <is>
          <t xml:space="preserve"> - стоимость с учетом исключения затрат на корректровку по транспортировке  свыше 30 км.</t>
        </is>
      </c>
    </row>
    <row r="22">
      <c r="B22" s="189" t="inlineStr">
        <is>
          <t>Составил ______________________        Е. М. Добровольская</t>
        </is>
      </c>
    </row>
    <row r="23">
      <c r="B23" s="157" t="inlineStr">
        <is>
          <t xml:space="preserve">                         (подпись, инициалы, фамилия)</t>
        </is>
      </c>
    </row>
    <row r="25">
      <c r="B25" s="189" t="inlineStr">
        <is>
          <t>Проверил ______________________        А.В. Костянецкая</t>
        </is>
      </c>
    </row>
    <row r="26">
      <c r="B26" s="157" t="inlineStr">
        <is>
          <t xml:space="preserve">                        (подпись, инициалы, фамилия)</t>
        </is>
      </c>
    </row>
  </sheetData>
  <mergeCells count="12">
    <mergeCell ref="B3:J3"/>
    <mergeCell ref="D10:D11"/>
    <mergeCell ref="B4:K4"/>
    <mergeCell ref="D9:J9"/>
    <mergeCell ref="B13:E13"/>
    <mergeCell ref="F10:J10"/>
    <mergeCell ref="B6:J6"/>
    <mergeCell ref="B7:K7"/>
    <mergeCell ref="B9:B11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K71"/>
  <sheetViews>
    <sheetView view="pageBreakPreview" topLeftCell="A55" zoomScale="85" workbookViewId="0">
      <selection activeCell="B67" sqref="B67"/>
    </sheetView>
  </sheetViews>
  <sheetFormatPr baseColWidth="8" defaultColWidth="9.140625" defaultRowHeight="15.75"/>
  <cols>
    <col width="9.140625" customWidth="1" style="189" min="1" max="1"/>
    <col width="12.5703125" customWidth="1" style="189" min="2" max="2"/>
    <col width="22.42578125" customWidth="1" style="189" min="3" max="3"/>
    <col width="49.7109375" customWidth="1" style="189" min="4" max="4"/>
    <col width="10.140625" customWidth="1" style="189" min="5" max="5"/>
    <col width="20.7109375" customWidth="1" style="189" min="6" max="6"/>
    <col width="16.140625" customWidth="1" style="189" min="7" max="7"/>
    <col width="16.7109375" customWidth="1" style="189" min="8" max="8"/>
    <col hidden="1" style="189" min="9" max="9"/>
    <col hidden="1" style="190" min="10" max="13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>
      <c r="A4" s="220" t="n"/>
    </row>
    <row r="5">
      <c r="A5" s="225" t="inlineStr">
        <is>
          <t>Наименование разрабатываемого показателя УНЦ -  ОПН на три фазы с устройством фундамента напряжение 110 кВ</t>
        </is>
      </c>
    </row>
    <row r="6">
      <c r="A6" s="225" t="n"/>
      <c r="B6" s="225" t="n"/>
      <c r="C6" s="225" t="n"/>
      <c r="D6" s="225" t="n"/>
      <c r="E6" s="225" t="n"/>
      <c r="F6" s="225" t="n"/>
      <c r="G6" s="225" t="n"/>
      <c r="H6" s="225" t="n"/>
    </row>
    <row r="7" ht="38.25" customHeight="1" s="190">
      <c r="A7" s="226" t="inlineStr">
        <is>
          <t>п/п</t>
        </is>
      </c>
      <c r="B7" s="226" t="inlineStr">
        <is>
          <t>№ЛСР</t>
        </is>
      </c>
      <c r="C7" s="226" t="inlineStr">
        <is>
          <t>Код ресурса</t>
        </is>
      </c>
      <c r="D7" s="226" t="inlineStr">
        <is>
          <t>Наименование ресурса</t>
        </is>
      </c>
      <c r="E7" s="226" t="inlineStr">
        <is>
          <t>Ед. изм.</t>
        </is>
      </c>
      <c r="F7" s="226" t="inlineStr">
        <is>
          <t>Кол-во единиц по данным объекта-представителя</t>
        </is>
      </c>
      <c r="G7" s="226" t="inlineStr">
        <is>
          <t>Сметная стоимость в ценах на 01.01.2000 (руб.)</t>
        </is>
      </c>
      <c r="H7" s="304" t="n"/>
    </row>
    <row r="8" ht="40.5" customHeight="1" s="190">
      <c r="A8" s="306" t="n"/>
      <c r="B8" s="306" t="n"/>
      <c r="C8" s="306" t="n"/>
      <c r="D8" s="306" t="n"/>
      <c r="E8" s="306" t="n"/>
      <c r="F8" s="306" t="n"/>
      <c r="G8" s="226" t="inlineStr">
        <is>
          <t>на ед.изм.</t>
        </is>
      </c>
      <c r="H8" s="226" t="inlineStr">
        <is>
          <t>общая</t>
        </is>
      </c>
    </row>
    <row r="9">
      <c r="A9" s="193" t="n">
        <v>1</v>
      </c>
      <c r="B9" s="193" t="n"/>
      <c r="C9" s="193" t="n">
        <v>2</v>
      </c>
      <c r="D9" s="193" t="inlineStr">
        <is>
          <t>З</t>
        </is>
      </c>
      <c r="E9" s="193" t="n">
        <v>4</v>
      </c>
      <c r="F9" s="193" t="n">
        <v>5</v>
      </c>
      <c r="G9" s="193" t="n">
        <v>6</v>
      </c>
      <c r="H9" s="193" t="n">
        <v>7</v>
      </c>
    </row>
    <row r="10" customFormat="1" s="171">
      <c r="A10" s="227" t="inlineStr">
        <is>
          <t>Затраты труда рабочих</t>
        </is>
      </c>
      <c r="B10" s="303" t="n"/>
      <c r="C10" s="303" t="n"/>
      <c r="D10" s="303" t="n"/>
      <c r="E10" s="304" t="n"/>
      <c r="F10" s="172">
        <f>SUM(F11:F18)</f>
        <v/>
      </c>
      <c r="G10" s="172" t="n"/>
      <c r="H10" s="172">
        <f>SUM(H11:H18)</f>
        <v/>
      </c>
    </row>
    <row r="11">
      <c r="A11" s="228" t="n">
        <v>1</v>
      </c>
      <c r="B11" s="175" t="n"/>
      <c r="C11" s="174" t="inlineStr">
        <is>
          <t>1-4-9</t>
        </is>
      </c>
      <c r="D11" s="229" t="inlineStr">
        <is>
          <t>Затраты труда рабочих (ср 4,9)</t>
        </is>
      </c>
      <c r="E11" s="228" t="inlineStr">
        <is>
          <t>чел.-ч</t>
        </is>
      </c>
      <c r="F11" s="228" t="n">
        <v>228.013812</v>
      </c>
      <c r="G11" s="168" t="n">
        <v>10.94</v>
      </c>
      <c r="H11" s="168">
        <f>ROUND(F11*G11,2)</f>
        <v/>
      </c>
      <c r="I11" s="189" t="n">
        <v>4.9</v>
      </c>
      <c r="J11" s="189">
        <f>I11*F11</f>
        <v/>
      </c>
    </row>
    <row r="12">
      <c r="A12" s="228" t="n">
        <v>2</v>
      </c>
      <c r="B12" s="175" t="n"/>
      <c r="C12" s="174" t="inlineStr">
        <is>
          <t>1-4-1</t>
        </is>
      </c>
      <c r="D12" s="229" t="inlineStr">
        <is>
          <t>Затраты труда рабочих (ср 4,1)</t>
        </is>
      </c>
      <c r="E12" s="228" t="inlineStr">
        <is>
          <t>чел.-ч</t>
        </is>
      </c>
      <c r="F12" s="228" t="n">
        <v>60.1407013</v>
      </c>
      <c r="G12" s="168" t="n">
        <v>9.76</v>
      </c>
      <c r="H12" s="168">
        <f>ROUND(F12*G12,2)</f>
        <v/>
      </c>
      <c r="I12" s="189" t="n">
        <v>4.1</v>
      </c>
      <c r="J12" s="189">
        <f>I12*F12</f>
        <v/>
      </c>
    </row>
    <row r="13">
      <c r="A13" s="228" t="n">
        <v>3</v>
      </c>
      <c r="B13" s="175" t="n"/>
      <c r="C13" s="174" t="inlineStr">
        <is>
          <t>1-4-0</t>
        </is>
      </c>
      <c r="D13" s="229" t="inlineStr">
        <is>
          <t>Затраты труда рабочих (ср 4)</t>
        </is>
      </c>
      <c r="E13" s="228" t="inlineStr">
        <is>
          <t>чел.-ч</t>
        </is>
      </c>
      <c r="F13" s="228" t="n">
        <v>40.26</v>
      </c>
      <c r="G13" s="168" t="n">
        <v>9.619999999999999</v>
      </c>
      <c r="H13" s="168">
        <f>ROUND(F13*G13,2)</f>
        <v/>
      </c>
      <c r="I13" s="189" t="n">
        <v>4</v>
      </c>
      <c r="J13" s="189">
        <f>I13*F13</f>
        <v/>
      </c>
    </row>
    <row r="14">
      <c r="A14" s="228" t="n">
        <v>4</v>
      </c>
      <c r="B14" s="175" t="n"/>
      <c r="C14" s="174" t="inlineStr">
        <is>
          <t>1-3-4</t>
        </is>
      </c>
      <c r="D14" s="229" t="inlineStr">
        <is>
          <t>Затраты труда рабочих (ср 3,4)</t>
        </is>
      </c>
      <c r="E14" s="228" t="inlineStr">
        <is>
          <t>чел.-ч</t>
        </is>
      </c>
      <c r="F14" s="228" t="n">
        <v>5.75208</v>
      </c>
      <c r="G14" s="168" t="n">
        <v>8.970000000000001</v>
      </c>
      <c r="H14" s="168">
        <f>ROUND(F14*G14,2)</f>
        <v/>
      </c>
      <c r="I14" s="189" t="n">
        <v>3.4</v>
      </c>
      <c r="J14" s="189">
        <f>I14*F14</f>
        <v/>
      </c>
    </row>
    <row r="15">
      <c r="A15" s="228" t="n">
        <v>5</v>
      </c>
      <c r="B15" s="175" t="n"/>
      <c r="C15" s="174" t="inlineStr">
        <is>
          <t>1-3-8</t>
        </is>
      </c>
      <c r="D15" s="229" t="inlineStr">
        <is>
          <t>Затраты труда рабочих (ср 3,8)</t>
        </is>
      </c>
      <c r="E15" s="228" t="inlineStr">
        <is>
          <t>чел.-ч</t>
        </is>
      </c>
      <c r="F15" s="228" t="n">
        <v>2.664</v>
      </c>
      <c r="G15" s="168" t="n">
        <v>9.4</v>
      </c>
      <c r="H15" s="168">
        <f>ROUND(F15*G15,2)</f>
        <v/>
      </c>
      <c r="I15" s="189" t="n">
        <v>3.8</v>
      </c>
      <c r="J15" s="189">
        <f>I15*F15</f>
        <v/>
      </c>
    </row>
    <row r="16">
      <c r="A16" s="228" t="n">
        <v>6</v>
      </c>
      <c r="B16" s="175" t="n"/>
      <c r="C16" s="174" t="inlineStr">
        <is>
          <t>1-3-9</t>
        </is>
      </c>
      <c r="D16" s="229" t="inlineStr">
        <is>
          <t>Затраты труда рабочих (ср 3,9)</t>
        </is>
      </c>
      <c r="E16" s="228" t="inlineStr">
        <is>
          <t>чел.-ч</t>
        </is>
      </c>
      <c r="F16" s="228" t="n">
        <v>1.0706</v>
      </c>
      <c r="G16" s="168" t="n">
        <v>9.51</v>
      </c>
      <c r="H16" s="168">
        <f>ROUND(F16*G16,2)</f>
        <v/>
      </c>
      <c r="I16" s="189" t="n">
        <v>3.9</v>
      </c>
      <c r="J16" s="189">
        <f>I16*F16</f>
        <v/>
      </c>
    </row>
    <row r="17">
      <c r="A17" s="228" t="n">
        <v>7</v>
      </c>
      <c r="B17" s="175" t="n"/>
      <c r="C17" s="174" t="inlineStr">
        <is>
          <t>1-2-2</t>
        </is>
      </c>
      <c r="D17" s="229" t="inlineStr">
        <is>
          <t>Затраты труда рабочих (ср 2,2)</t>
        </is>
      </c>
      <c r="E17" s="228" t="inlineStr">
        <is>
          <t>чел.-ч</t>
        </is>
      </c>
      <c r="F17" s="228" t="n">
        <v>0.70125</v>
      </c>
      <c r="G17" s="168" t="n">
        <v>7.94</v>
      </c>
      <c r="H17" s="168">
        <f>ROUND(F17*G17,2)</f>
        <v/>
      </c>
      <c r="I17" s="189" t="n">
        <v>2.2</v>
      </c>
      <c r="J17" s="189">
        <f>I17*F17</f>
        <v/>
      </c>
    </row>
    <row r="18">
      <c r="A18" s="228" t="n">
        <v>8</v>
      </c>
      <c r="B18" s="175" t="n"/>
      <c r="C18" s="174" t="inlineStr">
        <is>
          <t>1-3-5</t>
        </is>
      </c>
      <c r="D18" s="229" t="inlineStr">
        <is>
          <t>Затраты труда рабочих (ср 3,5)</t>
        </is>
      </c>
      <c r="E18" s="228" t="inlineStr">
        <is>
          <t>чел.-ч</t>
        </is>
      </c>
      <c r="F18" s="228" t="n">
        <v>0.035489</v>
      </c>
      <c r="G18" s="168" t="n">
        <v>9.07</v>
      </c>
      <c r="H18" s="168">
        <f>ROUND(F18*G18,2)</f>
        <v/>
      </c>
      <c r="I18" s="189" t="n">
        <v>3.5</v>
      </c>
      <c r="J18" s="189">
        <f>I18*F18</f>
        <v/>
      </c>
    </row>
    <row r="19">
      <c r="A19" s="227" t="inlineStr">
        <is>
          <t>Затраты труда машинистов</t>
        </is>
      </c>
      <c r="B19" s="303" t="n"/>
      <c r="C19" s="303" t="n"/>
      <c r="D19" s="303" t="n"/>
      <c r="E19" s="304" t="n"/>
      <c r="F19" s="227">
        <f>F20</f>
        <v/>
      </c>
      <c r="G19" s="172" t="n"/>
      <c r="H19" s="172">
        <f>H20</f>
        <v/>
      </c>
    </row>
    <row r="20">
      <c r="A20" s="228" t="n">
        <v>9</v>
      </c>
      <c r="B20" s="228" t="n"/>
      <c r="C20" s="229" t="n">
        <v>2</v>
      </c>
      <c r="D20" s="229" t="inlineStr">
        <is>
          <t>Затраты труда машинистов</t>
        </is>
      </c>
      <c r="E20" s="228" t="inlineStr">
        <is>
          <t>чел.-ч</t>
        </is>
      </c>
      <c r="F20" s="228" t="n">
        <v>191.5204407</v>
      </c>
      <c r="G20" s="168" t="n">
        <v>0</v>
      </c>
      <c r="H20" s="168" t="n">
        <v>2400.76</v>
      </c>
      <c r="J20" s="189">
        <f>SUM(J11:J18)</f>
        <v/>
      </c>
    </row>
    <row r="21" customFormat="1" s="171">
      <c r="A21" s="227" t="inlineStr">
        <is>
          <t>Машины и механизмы</t>
        </is>
      </c>
      <c r="B21" s="303" t="n"/>
      <c r="C21" s="303" t="n"/>
      <c r="D21" s="303" t="n"/>
      <c r="E21" s="304" t="n"/>
      <c r="F21" s="227" t="n"/>
      <c r="G21" s="172" t="n"/>
      <c r="H21" s="172">
        <f>SUM(H22:H35)</f>
        <v/>
      </c>
    </row>
    <row r="22">
      <c r="A22" s="228" t="n">
        <v>10</v>
      </c>
      <c r="B22" s="228" t="n"/>
      <c r="C22" s="229" t="inlineStr">
        <is>
          <t>91.21.22-447</t>
        </is>
      </c>
      <c r="D22" s="229" t="inlineStr">
        <is>
          <t>Установки электрометаллизационные</t>
        </is>
      </c>
      <c r="E22" s="228" t="inlineStr">
        <is>
          <t>маш.час</t>
        </is>
      </c>
      <c r="F22" s="228" t="n">
        <v>77.65687800000001</v>
      </c>
      <c r="G22" s="168" t="n">
        <v>74.23999999999999</v>
      </c>
      <c r="H22" s="168">
        <f>ROUND(F22*G22,2)</f>
        <v/>
      </c>
      <c r="J22" s="177">
        <f>J20/F10</f>
        <v/>
      </c>
      <c r="K22" s="183">
        <f>H22/$H$21</f>
        <v/>
      </c>
    </row>
    <row r="23" ht="31.5" customFormat="1" customHeight="1" s="171">
      <c r="A23" s="228" t="n">
        <v>11</v>
      </c>
      <c r="B23" s="228" t="n"/>
      <c r="C23" s="229" t="inlineStr">
        <is>
          <t>91.05.05-015</t>
        </is>
      </c>
      <c r="D23" s="229" t="inlineStr">
        <is>
          <t>Краны на автомобильном ходу, грузоподъемность 16 т</t>
        </is>
      </c>
      <c r="E23" s="228" t="inlineStr">
        <is>
          <t>маш.час</t>
        </is>
      </c>
      <c r="F23" s="228" t="n">
        <v>22.564032</v>
      </c>
      <c r="G23" s="168" t="n">
        <v>115.4</v>
      </c>
      <c r="H23" s="168">
        <f>ROUND(F23*G23,2)</f>
        <v/>
      </c>
      <c r="K23" s="183">
        <f>H23/$H$21</f>
        <v/>
      </c>
    </row>
    <row r="24">
      <c r="A24" s="228" t="n">
        <v>12</v>
      </c>
      <c r="B24" s="228" t="n"/>
      <c r="C24" s="229" t="inlineStr">
        <is>
          <t>91.14.02-001</t>
        </is>
      </c>
      <c r="D24" s="229" t="inlineStr">
        <is>
          <t>Автомобили бортовые, грузоподъемность до 5 т</t>
        </is>
      </c>
      <c r="E24" s="228" t="inlineStr">
        <is>
          <t>маш.час</t>
        </is>
      </c>
      <c r="F24" s="228" t="n">
        <v>6.1106168</v>
      </c>
      <c r="G24" s="168" t="n">
        <v>65.70999999999999</v>
      </c>
      <c r="H24" s="168">
        <f>ROUND(F24*G24,2)</f>
        <v/>
      </c>
      <c r="K24" s="183" t="n"/>
    </row>
    <row r="25" ht="47.25" customHeight="1" s="190">
      <c r="A25" s="228" t="n">
        <v>13</v>
      </c>
      <c r="B25" s="228" t="n"/>
      <c r="C25" s="229" t="inlineStr">
        <is>
          <t>91.17.04-036</t>
        </is>
      </c>
      <c r="D25" s="229" t="inlineStr">
        <is>
          <t>Агрегаты сварочные передвижные с дизельным двигателем, номинальный сварочный ток 250-400 А</t>
        </is>
      </c>
      <c r="E25" s="228" t="inlineStr">
        <is>
          <t>маш.час</t>
        </is>
      </c>
      <c r="F25" s="228" t="n">
        <v>14.569749</v>
      </c>
      <c r="G25" s="168" t="n">
        <v>14</v>
      </c>
      <c r="H25" s="168">
        <f>ROUND(F25*G25,2)</f>
        <v/>
      </c>
      <c r="K25" s="183" t="n"/>
    </row>
    <row r="26" ht="31.5" customHeight="1" s="190">
      <c r="A26" s="228" t="n">
        <v>14</v>
      </c>
      <c r="B26" s="228" t="n"/>
      <c r="C26" s="229" t="inlineStr">
        <is>
          <t>91.06.06-042</t>
        </is>
      </c>
      <c r="D26" s="229" t="inlineStr">
        <is>
          <t>Подъемники гидравлические, высота подъема 10 м</t>
        </is>
      </c>
      <c r="E26" s="228" t="inlineStr">
        <is>
          <t>маш.час</t>
        </is>
      </c>
      <c r="F26" s="228" t="n">
        <v>6.51</v>
      </c>
      <c r="G26" s="168" t="n">
        <v>29.6</v>
      </c>
      <c r="H26" s="168">
        <f>ROUND(F26*G26,2)</f>
        <v/>
      </c>
    </row>
    <row r="27">
      <c r="A27" s="228" t="n">
        <v>15</v>
      </c>
      <c r="B27" s="228" t="n"/>
      <c r="C27" s="229" t="inlineStr">
        <is>
          <t>91.06.05-011</t>
        </is>
      </c>
      <c r="D27" s="229" t="inlineStr">
        <is>
          <t>Погрузчики, грузоподъемность 5 т</t>
        </is>
      </c>
      <c r="E27" s="228" t="inlineStr">
        <is>
          <t>маш.час</t>
        </is>
      </c>
      <c r="F27" s="228" t="n">
        <v>0.8265681</v>
      </c>
      <c r="G27" s="168" t="n">
        <v>89.98999999999999</v>
      </c>
      <c r="H27" s="168">
        <f>ROUND(F27*G27,2)</f>
        <v/>
      </c>
    </row>
    <row r="28" ht="31.5" customHeight="1" s="190">
      <c r="A28" s="228" t="n">
        <v>16</v>
      </c>
      <c r="B28" s="228" t="n"/>
      <c r="C28" s="229" t="inlineStr">
        <is>
          <t>91.17.04-233</t>
        </is>
      </c>
      <c r="D28" s="229" t="inlineStr">
        <is>
          <t>Установки для сварки ручной дуговой (постоянного тока)</t>
        </is>
      </c>
      <c r="E28" s="228" t="inlineStr">
        <is>
          <t>маш.час</t>
        </is>
      </c>
      <c r="F28" s="228" t="n">
        <v>1.4976</v>
      </c>
      <c r="G28" s="168" t="n">
        <v>8.1</v>
      </c>
      <c r="H28" s="168">
        <f>ROUND(F28*G28,2)</f>
        <v/>
      </c>
    </row>
    <row r="29">
      <c r="A29" s="228" t="n">
        <v>17</v>
      </c>
      <c r="B29" s="228" t="n"/>
      <c r="C29" s="229" t="inlineStr">
        <is>
          <t>91.14.02-002</t>
        </is>
      </c>
      <c r="D29" s="229" t="inlineStr">
        <is>
          <t>Автомобили бортовые, грузоподъемность до 8 т</t>
        </is>
      </c>
      <c r="E29" s="228" t="inlineStr">
        <is>
          <t>маш.час</t>
        </is>
      </c>
      <c r="F29" s="228" t="n">
        <v>0.137718</v>
      </c>
      <c r="G29" s="168" t="n">
        <v>85.84</v>
      </c>
      <c r="H29" s="168">
        <f>ROUND(F29*G29,2)</f>
        <v/>
      </c>
    </row>
    <row r="30" ht="47.25" customHeight="1" s="190">
      <c r="A30" s="228" t="n">
        <v>18</v>
      </c>
      <c r="B30" s="228" t="n"/>
      <c r="C30" s="229" t="inlineStr">
        <is>
          <t>91.06.05-057</t>
        </is>
      </c>
      <c r="D30" s="229" t="inlineStr">
        <is>
          <t>Погрузчики одноковшовые универсальные фронтальные пневмоколесные, грузоподъемность 3 т</t>
        </is>
      </c>
      <c r="E30" s="228" t="inlineStr">
        <is>
          <t>маш.час</t>
        </is>
      </c>
      <c r="F30" s="228" t="n">
        <v>0.05775</v>
      </c>
      <c r="G30" s="168" t="n">
        <v>90.40000000000001</v>
      </c>
      <c r="H30" s="168">
        <f>ROUND(F30*G30,2)</f>
        <v/>
      </c>
    </row>
    <row r="31" ht="31.5" customHeight="1" s="190">
      <c r="A31" s="228" t="n">
        <v>19</v>
      </c>
      <c r="B31" s="228" t="n"/>
      <c r="C31" s="229" t="inlineStr">
        <is>
          <t>91.06.01-003</t>
        </is>
      </c>
      <c r="D31" s="229" t="inlineStr">
        <is>
          <t>Домкраты гидравлические, грузоподъемность 63-100 т</t>
        </is>
      </c>
      <c r="E31" s="228" t="inlineStr">
        <is>
          <t>маш.час</t>
        </is>
      </c>
      <c r="F31" s="228" t="n">
        <v>3.78</v>
      </c>
      <c r="G31" s="168" t="n">
        <v>0.9</v>
      </c>
      <c r="H31" s="168">
        <f>ROUND(F31*G31,2)</f>
        <v/>
      </c>
    </row>
    <row r="32">
      <c r="A32" s="228" t="n">
        <v>20</v>
      </c>
      <c r="B32" s="228" t="n"/>
      <c r="C32" s="229" t="inlineStr">
        <is>
          <t>91.08.04-021</t>
        </is>
      </c>
      <c r="D32" s="229" t="inlineStr">
        <is>
          <t>Котлы битумные передвижные 400 л</t>
        </is>
      </c>
      <c r="E32" s="228" t="inlineStr">
        <is>
          <t>маш.час</t>
        </is>
      </c>
      <c r="F32" s="228" t="n">
        <v>0.09847499999999999</v>
      </c>
      <c r="G32" s="168" t="n">
        <v>30</v>
      </c>
      <c r="H32" s="168">
        <f>ROUND(F32*G32,2)</f>
        <v/>
      </c>
    </row>
    <row r="33" ht="31.5" customHeight="1" s="190">
      <c r="A33" s="228" t="n">
        <v>21</v>
      </c>
      <c r="B33" s="228" t="n"/>
      <c r="C33" s="229" t="inlineStr">
        <is>
          <t>91.08.09-024</t>
        </is>
      </c>
      <c r="D33" s="229" t="inlineStr">
        <is>
          <t>Трамбовки пневматические при работе от стационарного компрессора</t>
        </is>
      </c>
      <c r="E33" s="228" t="inlineStr">
        <is>
          <t>маш.час</t>
        </is>
      </c>
      <c r="F33" s="228" t="n">
        <v>0.33</v>
      </c>
      <c r="G33" s="168" t="n">
        <v>4.91</v>
      </c>
      <c r="H33" s="168">
        <f>ROUND(F33*G33,2)</f>
        <v/>
      </c>
    </row>
    <row r="34" ht="47.25" customHeight="1" s="190">
      <c r="A34" s="228" t="n">
        <v>22</v>
      </c>
      <c r="B34" s="228" t="n"/>
      <c r="C34" s="229" t="inlineStr">
        <is>
          <t>91.21.01-012</t>
        </is>
      </c>
      <c r="D34" s="229" t="inlineStr">
        <is>
          <t>Агрегаты окрасочные высокого давления для окраски поверхностей конструкций, мощность 1 кВт</t>
        </is>
      </c>
      <c r="E34" s="228" t="inlineStr">
        <is>
          <t>маш.час</t>
        </is>
      </c>
      <c r="F34" s="228" t="n">
        <v>0.0696831</v>
      </c>
      <c r="G34" s="168" t="n">
        <v>6.82</v>
      </c>
      <c r="H34" s="168">
        <f>ROUND(F34*G34,2)</f>
        <v/>
      </c>
    </row>
    <row r="35" ht="31.5" customHeight="1" s="190">
      <c r="A35" s="228" t="n">
        <v>23</v>
      </c>
      <c r="B35" s="228" t="n"/>
      <c r="C35" s="229" t="inlineStr">
        <is>
          <t>91.06.03-060</t>
        </is>
      </c>
      <c r="D35" s="229" t="inlineStr">
        <is>
          <t>Лебедки электрические тяговым усилием до 5,79 кН (0,59 т)</t>
        </is>
      </c>
      <c r="E35" s="228" t="inlineStr">
        <is>
          <t>маш.час</t>
        </is>
      </c>
      <c r="F35" s="228" t="n">
        <v>0.0004311</v>
      </c>
      <c r="G35" s="168" t="n">
        <v>1.7</v>
      </c>
      <c r="H35" s="168">
        <f>ROUND(F35*G35,2)</f>
        <v/>
      </c>
    </row>
    <row r="36">
      <c r="A36" s="230" t="inlineStr">
        <is>
          <t>Оборудование</t>
        </is>
      </c>
      <c r="B36" s="303" t="n"/>
      <c r="C36" s="303" t="n"/>
      <c r="D36" s="303" t="n"/>
      <c r="E36" s="304" t="n"/>
      <c r="F36" s="227" t="n"/>
      <c r="G36" s="172" t="n"/>
      <c r="H36" s="172">
        <f>H37</f>
        <v/>
      </c>
    </row>
    <row r="37">
      <c r="A37" s="228" t="n">
        <v>24</v>
      </c>
      <c r="B37" s="228" t="n"/>
      <c r="C37" s="229" t="inlineStr">
        <is>
          <t>Прайс из СД ОП</t>
        </is>
      </c>
      <c r="D37" s="229" t="inlineStr">
        <is>
          <t>Шинная опора 220кВ ШО-220.III-1 УХЛ1</t>
        </is>
      </c>
      <c r="E37" s="228" t="inlineStr">
        <is>
          <t>шт</t>
        </is>
      </c>
      <c r="F37" s="228" t="n">
        <v>9</v>
      </c>
      <c r="G37" s="168" t="n">
        <v>20487.54</v>
      </c>
      <c r="H37" s="168" t="n">
        <v>184387.86</v>
      </c>
      <c r="J37" s="183" t="n"/>
    </row>
    <row r="38">
      <c r="A38" s="227" t="inlineStr">
        <is>
          <t>Материалы</t>
        </is>
      </c>
      <c r="B38" s="303" t="n"/>
      <c r="C38" s="303" t="n"/>
      <c r="D38" s="303" t="n"/>
      <c r="E38" s="304" t="n"/>
      <c r="F38" s="227" t="n"/>
      <c r="G38" s="172" t="n"/>
      <c r="H38" s="172">
        <f>SUM(H39:H64)</f>
        <v/>
      </c>
    </row>
    <row r="39">
      <c r="A39" s="228" t="n">
        <v>25</v>
      </c>
      <c r="B39" s="228" t="n"/>
      <c r="C39" s="229" t="inlineStr">
        <is>
          <t>22.2.02.07-0003</t>
        </is>
      </c>
      <c r="D39" s="229" t="inlineStr">
        <is>
          <t>Конструкции стальные порталов ОРУ</t>
        </is>
      </c>
      <c r="E39" s="228" t="inlineStr">
        <is>
          <t>т</t>
        </is>
      </c>
      <c r="F39" s="228" t="n">
        <v>3.699657</v>
      </c>
      <c r="G39" s="168" t="n">
        <v>12500</v>
      </c>
      <c r="H39" s="168">
        <f>ROUND(F39*G39,2)</f>
        <v/>
      </c>
      <c r="J39" s="183">
        <f>H39/$H$38</f>
        <v/>
      </c>
    </row>
    <row r="40" ht="31.5" customHeight="1" s="190">
      <c r="A40" s="228" t="n">
        <v>26</v>
      </c>
      <c r="B40" s="228" t="n"/>
      <c r="C40" s="229" t="inlineStr">
        <is>
          <t>05.1.02.05-0012</t>
        </is>
      </c>
      <c r="D40" s="229" t="inlineStr">
        <is>
          <t>Лежни железобетонные ЛЖ-1,6, бетон B15, объем 0,17 м3, расход арматуры 44,1 кг</t>
        </is>
      </c>
      <c r="E40" s="228" t="inlineStr">
        <is>
          <t>шт</t>
        </is>
      </c>
      <c r="F40" s="228" t="n">
        <v>9</v>
      </c>
      <c r="G40" s="168" t="n">
        <v>511.22</v>
      </c>
      <c r="H40" s="168">
        <f>ROUND(F40*G40,2)</f>
        <v/>
      </c>
      <c r="J40" s="183">
        <f>H40/$H$38</f>
        <v/>
      </c>
    </row>
    <row r="41" ht="31.5" customHeight="1" s="190">
      <c r="A41" s="228" t="n">
        <v>27</v>
      </c>
      <c r="B41" s="228" t="n"/>
      <c r="C41" s="229" t="inlineStr">
        <is>
          <t>10.1.02.03-0001</t>
        </is>
      </c>
      <c r="D41" s="229" t="inlineStr">
        <is>
          <t>Проволока алюминиевая, марка АМЦ, диаметр 1,4-1,8 мм</t>
        </is>
      </c>
      <c r="E41" s="228" t="inlineStr">
        <is>
          <t>т</t>
        </is>
      </c>
      <c r="F41" s="228" t="n">
        <v>0.1247467</v>
      </c>
      <c r="G41" s="168" t="n">
        <v>30090</v>
      </c>
      <c r="H41" s="168">
        <f>ROUND(F41*G41,2)</f>
        <v/>
      </c>
      <c r="J41" s="183" t="n"/>
    </row>
    <row r="42">
      <c r="A42" s="228" t="n">
        <v>28</v>
      </c>
      <c r="B42" s="228" t="n"/>
      <c r="C42" s="229" t="inlineStr">
        <is>
          <t>20.1.01.02-0066</t>
        </is>
      </c>
      <c r="D42" s="229" t="inlineStr">
        <is>
          <t>Зажим аппаратный прессуемый: А4А-300-2</t>
        </is>
      </c>
      <c r="E42" s="228" t="inlineStr">
        <is>
          <t>100 шт</t>
        </is>
      </c>
      <c r="F42" s="228" t="n">
        <v>0.18</v>
      </c>
      <c r="G42" s="168" t="n">
        <v>6080</v>
      </c>
      <c r="H42" s="168">
        <f>ROUND(F42*G42,2)</f>
        <v/>
      </c>
      <c r="J42" s="183" t="n"/>
    </row>
    <row r="43" ht="31.5" customHeight="1" s="190">
      <c r="A43" s="228" t="n">
        <v>29</v>
      </c>
      <c r="B43" s="228" t="n"/>
      <c r="C43" s="229" t="inlineStr">
        <is>
          <t>21.2.01.02-0094</t>
        </is>
      </c>
      <c r="D43" s="229" t="inlineStr">
        <is>
          <t>Провод неизолированный для воздушных линий электропередачи АС 300/39</t>
        </is>
      </c>
      <c r="E43" s="228" t="inlineStr">
        <is>
          <t>т</t>
        </is>
      </c>
      <c r="F43" s="228" t="n">
        <v>0.031175</v>
      </c>
      <c r="G43" s="168" t="n">
        <v>32758.86</v>
      </c>
      <c r="H43" s="168">
        <f>ROUND(F43*G43,2)</f>
        <v/>
      </c>
      <c r="J43" s="183" t="n"/>
    </row>
    <row r="44">
      <c r="A44" s="228" t="n">
        <v>30</v>
      </c>
      <c r="B44" s="228" t="n"/>
      <c r="C44" s="229" t="inlineStr">
        <is>
          <t>01.7.11.07-0032</t>
        </is>
      </c>
      <c r="D44" s="229" t="inlineStr">
        <is>
          <t>Электроды сварочные Э42, диаметр 4 мм</t>
        </is>
      </c>
      <c r="E44" s="228" t="inlineStr">
        <is>
          <t>т</t>
        </is>
      </c>
      <c r="F44" s="228" t="n">
        <v>0.0415032</v>
      </c>
      <c r="G44" s="168" t="n">
        <v>10315.01</v>
      </c>
      <c r="H44" s="168">
        <f>ROUND(F44*G44,2)</f>
        <v/>
      </c>
      <c r="J44" s="183" t="n"/>
    </row>
    <row r="45" ht="31.5" customHeight="1" s="190">
      <c r="A45" s="228" t="n">
        <v>31</v>
      </c>
      <c r="B45" s="228" t="n"/>
      <c r="C45" s="229" t="inlineStr">
        <is>
          <t>14.4.02.09-0301</t>
        </is>
      </c>
      <c r="D45" s="229" t="inlineStr">
        <is>
          <t>Композиция антикоррозионная цинкнаполненная</t>
        </is>
      </c>
      <c r="E45" s="228" t="inlineStr">
        <is>
          <t>кг</t>
        </is>
      </c>
      <c r="F45" s="228" t="n">
        <v>1.178143</v>
      </c>
      <c r="G45" s="168" t="n">
        <v>238.48</v>
      </c>
      <c r="H45" s="168">
        <f>ROUND(F45*G45,2)</f>
        <v/>
      </c>
      <c r="J45" s="183" t="n"/>
    </row>
    <row r="46">
      <c r="A46" s="228" t="n">
        <v>32</v>
      </c>
      <c r="B46" s="228" t="n"/>
      <c r="C46" s="229" t="inlineStr">
        <is>
          <t>14.5.09.11-0102</t>
        </is>
      </c>
      <c r="D46" s="229" t="inlineStr">
        <is>
          <t>Уайт-спирит</t>
        </is>
      </c>
      <c r="E46" s="228" t="inlineStr">
        <is>
          <t>кг</t>
        </is>
      </c>
      <c r="F46" s="228" t="n">
        <v>41.30685</v>
      </c>
      <c r="G46" s="168" t="n">
        <v>6.67</v>
      </c>
      <c r="H46" s="168">
        <f>ROUND(F46*G46,2)</f>
        <v/>
      </c>
      <c r="J46" s="183" t="n"/>
    </row>
    <row r="47">
      <c r="A47" s="228" t="n">
        <v>33</v>
      </c>
      <c r="B47" s="228" t="n"/>
      <c r="C47" s="229" t="inlineStr">
        <is>
          <t>14.4.02.09-0001</t>
        </is>
      </c>
      <c r="D47" s="229" t="inlineStr">
        <is>
          <t>Краска</t>
        </is>
      </c>
      <c r="E47" s="228" t="inlineStr">
        <is>
          <t>кг</t>
        </is>
      </c>
      <c r="F47" s="228" t="n">
        <v>9</v>
      </c>
      <c r="G47" s="168" t="n">
        <v>28.6</v>
      </c>
      <c r="H47" s="168">
        <f>ROUND(F47*G47,2)</f>
        <v/>
      </c>
      <c r="J47" s="183" t="n"/>
    </row>
    <row r="48" ht="31.5" customHeight="1" s="190">
      <c r="A48" s="228" t="n">
        <v>34</v>
      </c>
      <c r="B48" s="228" t="n"/>
      <c r="C48" s="229" t="inlineStr">
        <is>
          <t>08.3.07.01-0076</t>
        </is>
      </c>
      <c r="D48" s="229" t="inlineStr">
        <is>
          <t>Прокат полосовой, горячекатаный, марка стали Ст3сп, ширина 50-200 мм, толщина 4-5 мм</t>
        </is>
      </c>
      <c r="E48" s="228" t="inlineStr">
        <is>
          <t>т</t>
        </is>
      </c>
      <c r="F48" s="228" t="n">
        <v>0.045</v>
      </c>
      <c r="G48" s="168" t="n">
        <v>5000</v>
      </c>
      <c r="H48" s="168">
        <f>ROUND(F48*G48,2)</f>
        <v/>
      </c>
    </row>
    <row r="49">
      <c r="A49" s="228" t="n">
        <v>35</v>
      </c>
      <c r="B49" s="228" t="n"/>
      <c r="C49" s="229" t="inlineStr">
        <is>
          <t>01.7.15.03-0042</t>
        </is>
      </c>
      <c r="D49" s="229" t="inlineStr">
        <is>
          <t>Болты с гайками и шайбами строительные</t>
        </is>
      </c>
      <c r="E49" s="228" t="inlineStr">
        <is>
          <t>кг</t>
        </is>
      </c>
      <c r="F49" s="228" t="n">
        <v>21.78</v>
      </c>
      <c r="G49" s="168" t="n">
        <v>9.039999999999999</v>
      </c>
      <c r="H49" s="168">
        <f>ROUND(F49*G49,2)</f>
        <v/>
      </c>
    </row>
    <row r="50">
      <c r="A50" s="228" t="n">
        <v>36</v>
      </c>
      <c r="B50" s="228" t="n"/>
      <c r="C50" s="229" t="inlineStr">
        <is>
          <t>08.3.07.01-0042</t>
        </is>
      </c>
      <c r="D50" s="229" t="inlineStr">
        <is>
          <t>Сталь полосовая: 40х4 мм, кипящая</t>
        </is>
      </c>
      <c r="E50" s="228" t="inlineStr">
        <is>
          <t>т</t>
        </is>
      </c>
      <c r="F50" s="228" t="n">
        <v>0.018144</v>
      </c>
      <c r="G50" s="168" t="n">
        <v>6200</v>
      </c>
      <c r="H50" s="168">
        <f>ROUND(F50*G50,2)</f>
        <v/>
      </c>
    </row>
    <row r="51">
      <c r="A51" s="228" t="n">
        <v>37</v>
      </c>
      <c r="B51" s="228" t="n"/>
      <c r="C51" s="229" t="inlineStr">
        <is>
          <t>02.2.05.04-1772</t>
        </is>
      </c>
      <c r="D51" s="229" t="inlineStr">
        <is>
          <t>Щебень М 600, фракция 20-40 мм, группа 2</t>
        </is>
      </c>
      <c r="E51" s="228" t="inlineStr">
        <is>
          <t>м3</t>
        </is>
      </c>
      <c r="F51" s="228" t="n">
        <v>0.94875</v>
      </c>
      <c r="G51" s="168" t="n">
        <v>114.13</v>
      </c>
      <c r="H51" s="168">
        <f>ROUND(F51*G51,2)</f>
        <v/>
      </c>
    </row>
    <row r="52">
      <c r="A52" s="228" t="n">
        <v>38</v>
      </c>
      <c r="B52" s="228" t="n"/>
      <c r="C52" s="229" t="inlineStr">
        <is>
          <t>01.2.03.07-0001</t>
        </is>
      </c>
      <c r="D52" s="229" t="inlineStr">
        <is>
          <t>Композиция полимерно-битумная Гидроизол</t>
        </is>
      </c>
      <c r="E52" s="228" t="inlineStr">
        <is>
          <t>л</t>
        </is>
      </c>
      <c r="F52" s="228" t="n">
        <v>2.525</v>
      </c>
      <c r="G52" s="168" t="n">
        <v>42.83</v>
      </c>
      <c r="H52" s="168">
        <f>ROUND(F52*G52,2)</f>
        <v/>
      </c>
    </row>
    <row r="53" ht="31.5" customHeight="1" s="190">
      <c r="A53" s="228" t="n">
        <v>39</v>
      </c>
      <c r="B53" s="228" t="n"/>
      <c r="C53" s="229" t="inlineStr">
        <is>
          <t>14.4.02.09-0301</t>
        </is>
      </c>
      <c r="D53" s="229" t="inlineStr">
        <is>
          <t>Композиция антикоррозионная цинкнаполненная</t>
        </is>
      </c>
      <c r="E53" s="228" t="inlineStr">
        <is>
          <t>кг</t>
        </is>
      </c>
      <c r="F53" s="228" t="n">
        <v>0.3312</v>
      </c>
      <c r="G53" s="168" t="n">
        <v>238.48</v>
      </c>
      <c r="H53" s="168">
        <f>ROUND(F53*G53,2)</f>
        <v/>
      </c>
    </row>
    <row r="54" ht="63" customHeight="1" s="190">
      <c r="A54" s="228" t="n">
        <v>40</v>
      </c>
      <c r="B54" s="228" t="n"/>
      <c r="C54" s="229" t="inlineStr">
        <is>
          <t>04.1.02.05-0011</t>
        </is>
      </c>
      <c r="D54" s="229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E54" s="228" t="inlineStr">
        <is>
          <t>м3</t>
        </is>
      </c>
      <c r="F54" s="228" t="n">
        <v>1.35</v>
      </c>
      <c r="G54" s="168" t="n">
        <v>28.35</v>
      </c>
      <c r="H54" s="168">
        <f>ROUND(F54*G54,2)</f>
        <v/>
      </c>
    </row>
    <row r="55" ht="31.5" customHeight="1" s="190">
      <c r="A55" s="228" t="n">
        <v>41</v>
      </c>
      <c r="B55" s="228" t="n"/>
      <c r="C55" s="229" t="inlineStr">
        <is>
          <t>14.2.01.05-0001</t>
        </is>
      </c>
      <c r="D55" s="229" t="inlineStr">
        <is>
          <t>Композиция на основе термопластичных полимеров</t>
        </is>
      </c>
      <c r="E55" s="228" t="inlineStr">
        <is>
          <t>кг</t>
        </is>
      </c>
      <c r="F55" s="228" t="n">
        <v>0.5603359999999999</v>
      </c>
      <c r="G55" s="168" t="n">
        <v>54.99</v>
      </c>
      <c r="H55" s="168">
        <f>ROUND(F55*G55,2)</f>
        <v/>
      </c>
    </row>
    <row r="56" ht="31.5" customHeight="1" s="190">
      <c r="A56" s="228" t="n">
        <v>42</v>
      </c>
      <c r="B56" s="228" t="n"/>
      <c r="C56" s="229" t="inlineStr">
        <is>
          <t>01.2.03.05-0006</t>
        </is>
      </c>
      <c r="D56" s="229" t="inlineStr">
        <is>
          <t>Праймер битумно-полимерный ТЕХНОНИКОЛЬ №03</t>
        </is>
      </c>
      <c r="E56" s="228" t="inlineStr">
        <is>
          <t>л</t>
        </is>
      </c>
      <c r="F56" s="228" t="n">
        <v>1.515</v>
      </c>
      <c r="G56" s="168" t="n">
        <v>12.71</v>
      </c>
      <c r="H56" s="168">
        <f>ROUND(F56*G56,2)</f>
        <v/>
      </c>
    </row>
    <row r="57" ht="31.5" customHeight="1" s="190">
      <c r="A57" s="228" t="n">
        <v>43</v>
      </c>
      <c r="B57" s="228" t="n"/>
      <c r="C57" s="229" t="inlineStr">
        <is>
          <t>999-9950</t>
        </is>
      </c>
      <c r="D57" s="229" t="inlineStr">
        <is>
          <t>Вспомогательные ненормируемые ресурсы (2% от Оплаты труда рабочих)</t>
        </is>
      </c>
      <c r="E57" s="228" t="inlineStr">
        <is>
          <t>руб</t>
        </is>
      </c>
      <c r="F57" s="228" t="n">
        <v>8.27112</v>
      </c>
      <c r="G57" s="168" t="n">
        <v>1</v>
      </c>
      <c r="H57" s="168">
        <f>ROUND(F57*G57,2)</f>
        <v/>
      </c>
    </row>
    <row r="58" ht="31.5" customHeight="1" s="190">
      <c r="A58" s="228" t="n">
        <v>44</v>
      </c>
      <c r="B58" s="228" t="n"/>
      <c r="C58" s="229" t="inlineStr">
        <is>
          <t>01.3.01.06-0050</t>
        </is>
      </c>
      <c r="D58" s="229" t="inlineStr">
        <is>
          <t>Смазка универсальная тугоплавкая УТ (консталин жировой)</t>
        </is>
      </c>
      <c r="E58" s="228" t="inlineStr">
        <is>
          <t>т</t>
        </is>
      </c>
      <c r="F58" s="228" t="n">
        <v>0.00042</v>
      </c>
      <c r="G58" s="168" t="n">
        <v>17500</v>
      </c>
      <c r="H58" s="168">
        <f>ROUND(F58*G58,2)</f>
        <v/>
      </c>
    </row>
    <row r="59">
      <c r="A59" s="228" t="n">
        <v>45</v>
      </c>
      <c r="B59" s="228" t="n"/>
      <c r="C59" s="229" t="inlineStr">
        <is>
          <t>01.7.11.07-0034</t>
        </is>
      </c>
      <c r="D59" s="229" t="inlineStr">
        <is>
          <t>Электроды сварочные Э42А, диаметр 4 мм</t>
        </is>
      </c>
      <c r="E59" s="228" t="inlineStr">
        <is>
          <t>кг</t>
        </is>
      </c>
      <c r="F59" s="228" t="n">
        <v>0.6372</v>
      </c>
      <c r="G59" s="168" t="n">
        <v>10.57</v>
      </c>
      <c r="H59" s="168">
        <f>ROUND(F59*G59,2)</f>
        <v/>
      </c>
    </row>
    <row r="60" ht="31.5" customHeight="1" s="190">
      <c r="A60" s="228" t="n">
        <v>46</v>
      </c>
      <c r="B60" s="228" t="n"/>
      <c r="C60" s="229" t="inlineStr">
        <is>
          <t>08.3.05.02-0101</t>
        </is>
      </c>
      <c r="D60" s="229" t="inlineStr">
        <is>
          <t>Прокат толстолистовой горячекатаный в листах, марка стали ВСт3пс5, толщина 4-6 мм</t>
        </is>
      </c>
      <c r="E60" s="228" t="inlineStr">
        <is>
          <t>т</t>
        </is>
      </c>
      <c r="F60" s="228" t="n">
        <v>0.000576</v>
      </c>
      <c r="G60" s="168" t="n">
        <v>5763</v>
      </c>
      <c r="H60" s="168">
        <f>ROUND(F60*G60,2)</f>
        <v/>
      </c>
    </row>
    <row r="61">
      <c r="A61" s="228" t="n">
        <v>47</v>
      </c>
      <c r="B61" s="228" t="n"/>
      <c r="C61" s="229" t="inlineStr">
        <is>
          <t>01.3.01.03-0002</t>
        </is>
      </c>
      <c r="D61" s="229" t="inlineStr">
        <is>
          <t>Керосин для технических целей</t>
        </is>
      </c>
      <c r="E61" s="228" t="inlineStr">
        <is>
          <t>т</t>
        </is>
      </c>
      <c r="F61" s="228" t="n">
        <v>0.001212</v>
      </c>
      <c r="G61" s="168" t="n">
        <v>2606.9</v>
      </c>
      <c r="H61" s="168">
        <f>ROUND(F61*G61,2)</f>
        <v/>
      </c>
    </row>
    <row r="62">
      <c r="A62" s="228" t="n">
        <v>48</v>
      </c>
      <c r="B62" s="228" t="n"/>
      <c r="C62" s="229" t="inlineStr">
        <is>
          <t>14.5.09.07-0030</t>
        </is>
      </c>
      <c r="D62" s="229" t="inlineStr">
        <is>
          <t>Растворитель Р-4</t>
        </is>
      </c>
      <c r="E62" s="228" t="inlineStr">
        <is>
          <t>кг</t>
        </is>
      </c>
      <c r="F62" s="228" t="n">
        <v>0.1364954</v>
      </c>
      <c r="G62" s="168" t="n">
        <v>9.42</v>
      </c>
      <c r="H62" s="168">
        <f>ROUND(F62*G62,2)</f>
        <v/>
      </c>
    </row>
    <row r="63">
      <c r="A63" s="228" t="n">
        <v>49</v>
      </c>
      <c r="B63" s="228" t="n"/>
      <c r="C63" s="229" t="inlineStr">
        <is>
          <t>01.7.03.01-0001</t>
        </is>
      </c>
      <c r="D63" s="229" t="inlineStr">
        <is>
          <t>Вода</t>
        </is>
      </c>
      <c r="E63" s="228" t="inlineStr">
        <is>
          <t>м3</t>
        </is>
      </c>
      <c r="F63" s="228" t="n">
        <v>0.12375</v>
      </c>
      <c r="G63" s="168" t="n">
        <v>2.44</v>
      </c>
      <c r="H63" s="168">
        <f>ROUND(F63*G63,2)</f>
        <v/>
      </c>
    </row>
    <row r="64">
      <c r="A64" s="228" t="n">
        <v>50</v>
      </c>
      <c r="B64" s="228" t="n"/>
      <c r="C64" s="229" t="inlineStr">
        <is>
          <t>01.7.20.08-0051</t>
        </is>
      </c>
      <c r="D64" s="229" t="inlineStr">
        <is>
          <t>Ветошь</t>
        </is>
      </c>
      <c r="E64" s="228" t="inlineStr">
        <is>
          <t>кг</t>
        </is>
      </c>
      <c r="F64" s="228" t="n">
        <v>0.00505</v>
      </c>
      <c r="G64" s="168" t="n">
        <v>1.82</v>
      </c>
      <c r="H64" s="168">
        <f>ROUND(F64*G64,2)</f>
        <v/>
      </c>
    </row>
    <row r="67">
      <c r="B67" s="189" t="inlineStr">
        <is>
          <t>Составил ______________________        Е. М. Добровольская</t>
        </is>
      </c>
    </row>
    <row r="68">
      <c r="B68" s="157" t="inlineStr">
        <is>
          <t xml:space="preserve">                         (подпись, инициалы, фамилия)</t>
        </is>
      </c>
    </row>
    <row r="70">
      <c r="B70" s="189" t="inlineStr">
        <is>
          <t>Проверил ______________________        А.В. Костянецкая</t>
        </is>
      </c>
    </row>
    <row r="71">
      <c r="B71" s="157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38:E38"/>
    <mergeCell ref="G7:H7"/>
    <mergeCell ref="A10:E10"/>
    <mergeCell ref="A2:H2"/>
    <mergeCell ref="A19:E19"/>
    <mergeCell ref="C7:C8"/>
    <mergeCell ref="A7:A8"/>
    <mergeCell ref="B7:B8"/>
    <mergeCell ref="D7:D8"/>
    <mergeCell ref="E7:E8"/>
    <mergeCell ref="F7:F8"/>
    <mergeCell ref="A5:H5"/>
    <mergeCell ref="A36:E36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90" min="1" max="1"/>
    <col width="36.28515625" customWidth="1" style="190" min="2" max="2"/>
    <col width="18.85546875" customWidth="1" style="190" min="3" max="3"/>
    <col width="18.28515625" customWidth="1" style="190" min="4" max="4"/>
    <col width="18.85546875" customWidth="1" style="190" min="5" max="5"/>
    <col width="11.42578125" customWidth="1" style="190" min="6" max="6"/>
    <col hidden="1" width="14.42578125" customWidth="1" style="190" min="7" max="7"/>
    <col width="9.140625" customWidth="1" style="190" min="8" max="11"/>
    <col width="13.5703125" customWidth="1" style="190" min="12" max="12"/>
    <col width="9.140625" customWidth="1" style="190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1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82" t="n"/>
      <c r="C6" s="4" t="n"/>
      <c r="D6" s="4" t="n"/>
      <c r="E6" s="4" t="n"/>
    </row>
    <row r="7" ht="25.5" customHeight="1" s="190">
      <c r="B7" s="223" t="inlineStr">
        <is>
          <t>Наименование разрабатываемого показателя УНЦ — ОПН на три фазы с устройством фундамента напряжение 110 кВ</t>
        </is>
      </c>
    </row>
    <row r="8">
      <c r="B8" s="231" t="inlineStr">
        <is>
          <t>Единица измерения  — 1 ед.</t>
        </is>
      </c>
    </row>
    <row r="9">
      <c r="B9" s="182" t="n"/>
      <c r="C9" s="4" t="n"/>
      <c r="D9" s="4" t="n"/>
      <c r="E9" s="4" t="n"/>
    </row>
    <row r="10" ht="51" customHeight="1" s="190">
      <c r="B10" s="235" t="inlineStr">
        <is>
          <t>Наименование</t>
        </is>
      </c>
      <c r="C10" s="235" t="inlineStr">
        <is>
          <t>Сметная стоимость в ценах на 01.01.2023
 (руб.)</t>
        </is>
      </c>
      <c r="D10" s="235" t="inlineStr">
        <is>
          <t>Удельный вес, 
(в СМР)</t>
        </is>
      </c>
      <c r="E10" s="235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79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79">
        <f>'Прил.5 Расчет СМР и ОБ'!J22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79">
        <f>'Прил.5 Расчет СМР и ОБ'!J35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79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79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79">
        <f>'Прил.5 Расчет СМР и ОБ'!J48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79">
        <f>'Прил.5 Расчет СМР и ОБ'!J73</f>
        <v/>
      </c>
      <c r="D17" s="27">
        <f>C17/$C$24</f>
        <v/>
      </c>
      <c r="E17" s="27">
        <f>C17/$C$40</f>
        <v/>
      </c>
      <c r="G17" s="181" t="n"/>
    </row>
    <row r="18">
      <c r="B18" s="25" t="inlineStr">
        <is>
          <t>МАТЕРИАЛЫ, ВСЕГО:</t>
        </is>
      </c>
      <c r="C18" s="179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79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79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ОБ'!D77</f>
        <v/>
      </c>
      <c r="D21" s="27" t="n"/>
      <c r="E21" s="25" t="n"/>
    </row>
    <row r="22">
      <c r="B22" s="25" t="inlineStr">
        <is>
          <t>Накладные расходы, руб.</t>
        </is>
      </c>
      <c r="C22" s="179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ОБ'!D76</f>
        <v/>
      </c>
      <c r="D23" s="27" t="n"/>
      <c r="E23" s="25" t="n"/>
    </row>
    <row r="24">
      <c r="B24" s="25" t="inlineStr">
        <is>
          <t>ВСЕГО СМР с НР и СП</t>
        </is>
      </c>
      <c r="C24" s="179">
        <f>C19+C20+C22</f>
        <v/>
      </c>
      <c r="D24" s="27">
        <f>C24/$C$24</f>
        <v/>
      </c>
      <c r="E24" s="27">
        <f>C24/$C$40</f>
        <v/>
      </c>
    </row>
    <row r="25" ht="25.5" customHeight="1" s="190">
      <c r="B25" s="25" t="inlineStr">
        <is>
          <t>ВСЕГО стоимость оборудования, в том числе</t>
        </is>
      </c>
      <c r="C25" s="179">
        <f>'Прил.5 Расчет СМР и ОБ'!J42</f>
        <v/>
      </c>
      <c r="D25" s="27" t="n"/>
      <c r="E25" s="27">
        <f>C25/$C$40</f>
        <v/>
      </c>
    </row>
    <row r="26" ht="25.5" customHeight="1" s="190">
      <c r="B26" s="25" t="inlineStr">
        <is>
          <t>стоимость оборудования технологического</t>
        </is>
      </c>
      <c r="C26" s="179">
        <f>'Прил.5 Расчет СМР и ОБ'!J43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 s="190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80" t="n"/>
    </row>
    <row r="29" ht="25.5" customHeight="1" s="190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 s="190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80" t="n"/>
    </row>
    <row r="31">
      <c r="B31" s="25" t="inlineStr">
        <is>
          <t>Пусконаладочные работы</t>
        </is>
      </c>
      <c r="C31" s="26">
        <f>13982.96*9</f>
        <v/>
      </c>
      <c r="D31" s="25" t="n"/>
      <c r="E31" s="27">
        <f>C31/$C$40</f>
        <v/>
      </c>
    </row>
    <row r="32" ht="25.5" customHeight="1" s="190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 s="190">
      <c r="B33" s="25" t="inlineStr">
        <is>
          <t>Затраты, связанные с осуществлением работ вахтовым методом</t>
        </is>
      </c>
      <c r="C33" s="26">
        <f>ROUND(C27*0%,2)</f>
        <v/>
      </c>
      <c r="D33" s="25" t="n"/>
      <c r="E33" s="27">
        <f>C33/$C$40</f>
        <v/>
      </c>
    </row>
    <row r="34" ht="51" customHeight="1" s="190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ROUND(C27*0,2)</f>
        <v/>
      </c>
      <c r="D34" s="25" t="n"/>
      <c r="E34" s="27">
        <f>C34/$C$40</f>
        <v/>
      </c>
      <c r="H34" s="185" t="n"/>
    </row>
    <row r="35" ht="76.5" customHeight="1" s="190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ROUND(C27*0%,2)</f>
        <v/>
      </c>
      <c r="D35" s="25" t="n"/>
      <c r="E35" s="27">
        <f>C35/$C$40</f>
        <v/>
      </c>
    </row>
    <row r="36" ht="25.5" customHeight="1" s="190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80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80" t="n"/>
    </row>
    <row r="38" ht="38.25" customHeight="1" s="190">
      <c r="B38" s="25" t="inlineStr">
        <is>
          <t>ИТОГО (СМР+ОБОРУДОВАНИЕ+ПРОЧ. ЗАТР., УЧТЕННЫЕ ПОКАЗАТЕЛЕМ)</t>
        </is>
      </c>
      <c r="C38" s="179">
        <f>C27+C32+C33+C34+C35+C29+C31+C30+C36+C37</f>
        <v/>
      </c>
      <c r="D38" s="25" t="n"/>
      <c r="E38" s="27">
        <f>C38/$C$40</f>
        <v/>
      </c>
    </row>
    <row r="39" ht="13.5" customHeight="1" s="190">
      <c r="B39" s="25" t="inlineStr">
        <is>
          <t>Непредвиденные расходы</t>
        </is>
      </c>
      <c r="C39" s="179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79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79">
        <f>C40/'Прил.5 Расчет СМР и ОБ'!E80</f>
        <v/>
      </c>
      <c r="D41" s="25" t="n"/>
      <c r="E41" s="25" t="n"/>
    </row>
    <row r="42">
      <c r="B42" s="178" t="n"/>
      <c r="C42" s="4" t="n"/>
      <c r="D42" s="4" t="n"/>
      <c r="E42" s="4" t="n"/>
    </row>
    <row r="43">
      <c r="B43" s="4" t="inlineStr">
        <is>
          <t>Составил ______________________        Е. М. Добровольская</t>
        </is>
      </c>
      <c r="C43" s="4" t="n"/>
      <c r="D43" s="4" t="n"/>
      <c r="E43" s="4" t="n"/>
    </row>
    <row r="44">
      <c r="B44" s="178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78" t="n"/>
      <c r="C45" s="4" t="n"/>
      <c r="D45" s="4" t="n"/>
      <c r="E45" s="4" t="n"/>
    </row>
    <row r="46">
      <c r="B46" s="178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1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7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86"/>
  <sheetViews>
    <sheetView view="pageBreakPreview" topLeftCell="A41" zoomScale="85" workbookViewId="0">
      <selection activeCell="A82" sqref="A82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90">
      <c r="H2" s="232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12.75" customFormat="1" customHeight="1" s="4">
      <c r="A6" s="150" t="inlineStr">
        <is>
          <t>Наименование разрабатываемого показателя УНЦ</t>
        </is>
      </c>
      <c r="B6" s="149" t="n"/>
      <c r="C6" s="149" t="n"/>
      <c r="D6" s="238" t="inlineStr">
        <is>
          <t>ОПН на три фазы с устройством фундамента напряжение 110 кВ</t>
        </is>
      </c>
    </row>
    <row r="7" ht="12.75" customFormat="1" customHeight="1" s="4">
      <c r="A7" s="214" t="inlineStr">
        <is>
          <t>Единица измерения  — 1 ед.</t>
        </is>
      </c>
      <c r="I7" s="223" t="n"/>
      <c r="J7" s="223" t="n"/>
    </row>
    <row r="8" ht="13.5" customFormat="1" customHeight="1" s="4">
      <c r="A8" s="214" t="n"/>
    </row>
    <row r="9" ht="13.15" customFormat="1" customHeight="1" s="4"/>
    <row r="10" ht="27" customHeight="1" s="190">
      <c r="A10" s="235" t="inlineStr">
        <is>
          <t>№ пп.</t>
        </is>
      </c>
      <c r="B10" s="235" t="inlineStr">
        <is>
          <t>Код ресурса</t>
        </is>
      </c>
      <c r="C10" s="235" t="inlineStr">
        <is>
          <t>Наименование</t>
        </is>
      </c>
      <c r="D10" s="235" t="inlineStr">
        <is>
          <t>Ед. изм.</t>
        </is>
      </c>
      <c r="E10" s="235" t="inlineStr">
        <is>
          <t>Кол-во единиц по проектным данным</t>
        </is>
      </c>
      <c r="F10" s="235" t="inlineStr">
        <is>
          <t>Сметная стоимость в ценах на 01.01.2000 (руб.)</t>
        </is>
      </c>
      <c r="G10" s="304" t="n"/>
      <c r="H10" s="235" t="inlineStr">
        <is>
          <t>Удельный вес, %</t>
        </is>
      </c>
      <c r="I10" s="235" t="inlineStr">
        <is>
          <t>Сметная стоимость в ценах на 01.01.2023 (руб.)</t>
        </is>
      </c>
      <c r="J10" s="304" t="n"/>
      <c r="M10" s="12" t="n"/>
      <c r="N10" s="12" t="n"/>
    </row>
    <row r="11" ht="28.5" customHeight="1" s="190">
      <c r="A11" s="306" t="n"/>
      <c r="B11" s="306" t="n"/>
      <c r="C11" s="306" t="n"/>
      <c r="D11" s="306" t="n"/>
      <c r="E11" s="306" t="n"/>
      <c r="F11" s="235" t="inlineStr">
        <is>
          <t>на ед. изм.</t>
        </is>
      </c>
      <c r="G11" s="235" t="inlineStr">
        <is>
          <t>общая</t>
        </is>
      </c>
      <c r="H11" s="306" t="n"/>
      <c r="I11" s="235" t="inlineStr">
        <is>
          <t>на ед. изм.</t>
        </is>
      </c>
      <c r="J11" s="235" t="inlineStr">
        <is>
          <t>общая</t>
        </is>
      </c>
      <c r="M11" s="12" t="n"/>
      <c r="N11" s="12" t="n"/>
    </row>
    <row r="12">
      <c r="A12" s="235" t="n">
        <v>1</v>
      </c>
      <c r="B12" s="235" t="n">
        <v>2</v>
      </c>
      <c r="C12" s="235" t="n">
        <v>3</v>
      </c>
      <c r="D12" s="235" t="n">
        <v>4</v>
      </c>
      <c r="E12" s="235" t="n">
        <v>5</v>
      </c>
      <c r="F12" s="235" t="n">
        <v>6</v>
      </c>
      <c r="G12" s="235" t="n">
        <v>7</v>
      </c>
      <c r="H12" s="235" t="n">
        <v>8</v>
      </c>
      <c r="I12" s="236" t="n">
        <v>9</v>
      </c>
      <c r="J12" s="236" t="n">
        <v>10</v>
      </c>
      <c r="M12" s="12" t="n"/>
      <c r="N12" s="12" t="n"/>
    </row>
    <row r="13">
      <c r="A13" s="235" t="n"/>
      <c r="B13" s="230" t="inlineStr">
        <is>
          <t>Затраты труда рабочих-строителей</t>
        </is>
      </c>
      <c r="C13" s="303" t="n"/>
      <c r="D13" s="303" t="n"/>
      <c r="E13" s="303" t="n"/>
      <c r="F13" s="303" t="n"/>
      <c r="G13" s="303" t="n"/>
      <c r="H13" s="304" t="n"/>
      <c r="I13" s="138" t="n"/>
      <c r="J13" s="138" t="n"/>
    </row>
    <row r="14" ht="25.5" customHeight="1" s="190">
      <c r="A14" s="235" t="n">
        <v>1</v>
      </c>
      <c r="B14" s="148" t="inlineStr">
        <is>
          <t>1-4-6</t>
        </is>
      </c>
      <c r="C14" s="243" t="inlineStr">
        <is>
          <t>Затраты труда рабочих-строителей среднего разряда (4,6)</t>
        </is>
      </c>
      <c r="D14" s="235" t="inlineStr">
        <is>
          <t>чел.-ч.</t>
        </is>
      </c>
      <c r="E14" s="139" t="n">
        <v>339.18571428571</v>
      </c>
      <c r="F14" s="32" t="n">
        <v>10.5</v>
      </c>
      <c r="G14" s="32">
        <f>'Прил. 3'!H10</f>
        <v/>
      </c>
      <c r="H14" s="141">
        <f>G14/G15</f>
        <v/>
      </c>
      <c r="I14" s="32">
        <f>ФОТр.тек.!E13</f>
        <v/>
      </c>
      <c r="J14" s="32">
        <f>ROUND(I14*E14,2)</f>
        <v/>
      </c>
    </row>
    <row r="15" ht="25.5" customFormat="1" customHeight="1" s="12">
      <c r="A15" s="235" t="n"/>
      <c r="B15" s="235" t="n"/>
      <c r="C15" s="230" t="inlineStr">
        <is>
          <t>Итого по разделу "Затраты труда рабочих-строителей"</t>
        </is>
      </c>
      <c r="D15" s="235" t="inlineStr">
        <is>
          <t>чел.-ч.</t>
        </is>
      </c>
      <c r="E15" s="139">
        <f>SUM(E14:E14)</f>
        <v/>
      </c>
      <c r="F15" s="32" t="n"/>
      <c r="G15" s="32">
        <f>SUM(G14:G14)</f>
        <v/>
      </c>
      <c r="H15" s="246" t="n">
        <v>1</v>
      </c>
      <c r="I15" s="138" t="n"/>
      <c r="J15" s="32">
        <f>SUM(J14:J14)</f>
        <v/>
      </c>
    </row>
    <row r="16" ht="14.25" customFormat="1" customHeight="1" s="12">
      <c r="A16" s="235" t="n"/>
      <c r="B16" s="243" t="inlineStr">
        <is>
          <t>Затраты труда машинистов</t>
        </is>
      </c>
      <c r="C16" s="303" t="n"/>
      <c r="D16" s="303" t="n"/>
      <c r="E16" s="303" t="n"/>
      <c r="F16" s="303" t="n"/>
      <c r="G16" s="303" t="n"/>
      <c r="H16" s="304" t="n"/>
      <c r="I16" s="138" t="n"/>
      <c r="J16" s="138" t="n"/>
    </row>
    <row r="17" ht="14.25" customFormat="1" customHeight="1" s="12">
      <c r="A17" s="235" t="n">
        <v>2</v>
      </c>
      <c r="B17" s="235" t="n">
        <v>2</v>
      </c>
      <c r="C17" s="243" t="inlineStr">
        <is>
          <t>Затраты труда машинистов</t>
        </is>
      </c>
      <c r="D17" s="235" t="inlineStr">
        <is>
          <t>чел.-ч.</t>
        </is>
      </c>
      <c r="E17" s="139" t="n">
        <v>191.5204407</v>
      </c>
      <c r="F17" s="32">
        <f>G17/E17</f>
        <v/>
      </c>
      <c r="G17" s="32">
        <f>'Прил. 3'!H19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35" t="n"/>
      <c r="B18" s="230" t="inlineStr">
        <is>
          <t>Машины и механизмы</t>
        </is>
      </c>
      <c r="C18" s="303" t="n"/>
      <c r="D18" s="303" t="n"/>
      <c r="E18" s="303" t="n"/>
      <c r="F18" s="303" t="n"/>
      <c r="G18" s="303" t="n"/>
      <c r="H18" s="304" t="n"/>
      <c r="I18" s="138" t="n"/>
      <c r="J18" s="138" t="n"/>
    </row>
    <row r="19" ht="14.25" customFormat="1" customHeight="1" s="12">
      <c r="A19" s="235" t="n"/>
      <c r="B19" s="243" t="inlineStr">
        <is>
          <t>Основные машины и механизмы</t>
        </is>
      </c>
      <c r="C19" s="303" t="n"/>
      <c r="D19" s="303" t="n"/>
      <c r="E19" s="303" t="n"/>
      <c r="F19" s="303" t="n"/>
      <c r="G19" s="303" t="n"/>
      <c r="H19" s="304" t="n"/>
      <c r="I19" s="138" t="n"/>
      <c r="J19" s="138" t="n"/>
    </row>
    <row r="20" ht="14.25" customFormat="1" customHeight="1" s="12">
      <c r="A20" s="235" t="n">
        <v>3</v>
      </c>
      <c r="B20" s="148" t="inlineStr">
        <is>
          <t>91.21.22-447</t>
        </is>
      </c>
      <c r="C20" s="243" t="inlineStr">
        <is>
          <t>Установки электрометаллизационные</t>
        </is>
      </c>
      <c r="D20" s="235" t="inlineStr">
        <is>
          <t>маш.час</t>
        </is>
      </c>
      <c r="E20" s="139" t="n">
        <v>77.65687800000001</v>
      </c>
      <c r="F20" s="245" t="n">
        <v>74.23999999999999</v>
      </c>
      <c r="G20" s="32">
        <f>ROUND(E20*F20,2)</f>
        <v/>
      </c>
      <c r="H20" s="141">
        <f>G20/$G$36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35" t="n">
        <v>4</v>
      </c>
      <c r="B21" s="148" t="inlineStr">
        <is>
          <t>91.05.05-015</t>
        </is>
      </c>
      <c r="C21" s="243" t="inlineStr">
        <is>
          <t>Краны на автомобильном ходу, грузоподъемность 16 т</t>
        </is>
      </c>
      <c r="D21" s="235" t="inlineStr">
        <is>
          <t>маш.час</t>
        </is>
      </c>
      <c r="E21" s="139" t="n">
        <v>22.564032</v>
      </c>
      <c r="F21" s="245" t="n">
        <v>115.4</v>
      </c>
      <c r="G21" s="32">
        <f>ROUND(E21*F21,2)</f>
        <v/>
      </c>
      <c r="H21" s="141">
        <f>G21/$G$36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35" t="n"/>
      <c r="B22" s="235" t="n"/>
      <c r="C22" s="243" t="inlineStr">
        <is>
          <t>Итого основные машины и механизмы</t>
        </is>
      </c>
      <c r="D22" s="235" t="n"/>
      <c r="E22" s="139" t="n"/>
      <c r="F22" s="32" t="n"/>
      <c r="G22" s="32">
        <f>SUM(G20:G21)</f>
        <v/>
      </c>
      <c r="H22" s="246">
        <f>G22/G36</f>
        <v/>
      </c>
      <c r="I22" s="140" t="n"/>
      <c r="J22" s="32">
        <f>SUM(J20:J21)</f>
        <v/>
      </c>
    </row>
    <row r="23" hidden="1" outlineLevel="1" ht="25.5" customFormat="1" customHeight="1" s="12">
      <c r="A23" s="235" t="n">
        <v>5</v>
      </c>
      <c r="B23" s="148" t="inlineStr">
        <is>
          <t>91.14.02-001</t>
        </is>
      </c>
      <c r="C23" s="243" t="inlineStr">
        <is>
          <t>Автомобили бортовые, грузоподъемность до 5 т</t>
        </is>
      </c>
      <c r="D23" s="235" t="inlineStr">
        <is>
          <t>маш.час</t>
        </is>
      </c>
      <c r="E23" s="139" t="n">
        <v>6.1106168</v>
      </c>
      <c r="F23" s="245" t="n">
        <v>65.70999999999999</v>
      </c>
      <c r="G23" s="32">
        <f>ROUND(E23*F23,2)</f>
        <v/>
      </c>
      <c r="H23" s="141">
        <f>G23/$G$36</f>
        <v/>
      </c>
      <c r="I23" s="32">
        <f>ROUND(F23*'Прил. 10'!$D$12,2)</f>
        <v/>
      </c>
      <c r="J23" s="32">
        <f>ROUND(I23*E23,2)</f>
        <v/>
      </c>
    </row>
    <row r="24" hidden="1" outlineLevel="1" ht="38.25" customFormat="1" customHeight="1" s="12">
      <c r="A24" s="235" t="n">
        <v>6</v>
      </c>
      <c r="B24" s="148" t="inlineStr">
        <is>
          <t>91.17.04-036</t>
        </is>
      </c>
      <c r="C24" s="243" t="inlineStr">
        <is>
          <t>Агрегаты сварочные передвижные с дизельным двигателем, номинальный сварочный ток 250-400 А</t>
        </is>
      </c>
      <c r="D24" s="235" t="inlineStr">
        <is>
          <t>маш.час</t>
        </is>
      </c>
      <c r="E24" s="139" t="n">
        <v>14.569749</v>
      </c>
      <c r="F24" s="245" t="n">
        <v>14</v>
      </c>
      <c r="G24" s="32">
        <f>ROUND(E24*F24,2)</f>
        <v/>
      </c>
      <c r="H24" s="141">
        <f>G24/$G$36</f>
        <v/>
      </c>
      <c r="I24" s="32">
        <f>ROUND(F24*'Прил. 10'!$D$12,2)</f>
        <v/>
      </c>
      <c r="J24" s="32">
        <f>ROUND(I24*E24,2)</f>
        <v/>
      </c>
    </row>
    <row r="25" hidden="1" outlineLevel="1" ht="25.5" customFormat="1" customHeight="1" s="12">
      <c r="A25" s="235" t="n">
        <v>7</v>
      </c>
      <c r="B25" s="148" t="inlineStr">
        <is>
          <t>91.06.06-042</t>
        </is>
      </c>
      <c r="C25" s="243" t="inlineStr">
        <is>
          <t>Подъемники гидравлические, высота подъема 10 м</t>
        </is>
      </c>
      <c r="D25" s="235" t="inlineStr">
        <is>
          <t>маш.час</t>
        </is>
      </c>
      <c r="E25" s="139" t="n">
        <v>6.51</v>
      </c>
      <c r="F25" s="245" t="n">
        <v>29.6</v>
      </c>
      <c r="G25" s="32">
        <f>ROUND(E25*F25,2)</f>
        <v/>
      </c>
      <c r="H25" s="141">
        <f>G25/$G$36</f>
        <v/>
      </c>
      <c r="I25" s="32">
        <f>ROUND(F25*'Прил. 10'!$D$12,2)</f>
        <v/>
      </c>
      <c r="J25" s="32">
        <f>ROUND(I25*E25,2)</f>
        <v/>
      </c>
    </row>
    <row r="26" hidden="1" outlineLevel="1" ht="14.25" customFormat="1" customHeight="1" s="12">
      <c r="A26" s="235" t="n">
        <v>8</v>
      </c>
      <c r="B26" s="148" t="inlineStr">
        <is>
          <t>91.06.05-011</t>
        </is>
      </c>
      <c r="C26" s="243" t="inlineStr">
        <is>
          <t>Погрузчики, грузоподъемность 5 т</t>
        </is>
      </c>
      <c r="D26" s="235" t="inlineStr">
        <is>
          <t>маш.час</t>
        </is>
      </c>
      <c r="E26" s="139" t="n">
        <v>0.8265681</v>
      </c>
      <c r="F26" s="245" t="n">
        <v>89.98999999999999</v>
      </c>
      <c r="G26" s="32">
        <f>ROUND(E26*F26,2)</f>
        <v/>
      </c>
      <c r="H26" s="141">
        <f>G26/$G$36</f>
        <v/>
      </c>
      <c r="I26" s="32">
        <f>ROUND(F26*'Прил. 10'!$D$12,2)</f>
        <v/>
      </c>
      <c r="J26" s="32">
        <f>ROUND(I26*E26,2)</f>
        <v/>
      </c>
    </row>
    <row r="27" hidden="1" outlineLevel="1" ht="25.5" customFormat="1" customHeight="1" s="12">
      <c r="A27" s="235" t="n">
        <v>9</v>
      </c>
      <c r="B27" s="148" t="inlineStr">
        <is>
          <t>91.17.04-233</t>
        </is>
      </c>
      <c r="C27" s="243" t="inlineStr">
        <is>
          <t>Установки для сварки ручной дуговой (постоянного тока)</t>
        </is>
      </c>
      <c r="D27" s="235" t="inlineStr">
        <is>
          <t>маш.час</t>
        </is>
      </c>
      <c r="E27" s="139" t="n">
        <v>1.4976</v>
      </c>
      <c r="F27" s="245" t="n">
        <v>8.1</v>
      </c>
      <c r="G27" s="32">
        <f>ROUND(E27*F27,2)</f>
        <v/>
      </c>
      <c r="H27" s="141">
        <f>G27/$G$36</f>
        <v/>
      </c>
      <c r="I27" s="32">
        <f>ROUND(F27*'Прил. 10'!$D$12,2)</f>
        <v/>
      </c>
      <c r="J27" s="32">
        <f>ROUND(I27*E27,2)</f>
        <v/>
      </c>
    </row>
    <row r="28" hidden="1" outlineLevel="1" ht="25.5" customFormat="1" customHeight="1" s="12">
      <c r="A28" s="235" t="n">
        <v>10</v>
      </c>
      <c r="B28" s="148" t="inlineStr">
        <is>
          <t>91.14.02-002</t>
        </is>
      </c>
      <c r="C28" s="243" t="inlineStr">
        <is>
          <t>Автомобили бортовые, грузоподъемность до 8 т</t>
        </is>
      </c>
      <c r="D28" s="235" t="inlineStr">
        <is>
          <t>маш.час</t>
        </is>
      </c>
      <c r="E28" s="139" t="n">
        <v>0.137718</v>
      </c>
      <c r="F28" s="245" t="n">
        <v>85.84</v>
      </c>
      <c r="G28" s="32">
        <f>ROUND(E28*F28,2)</f>
        <v/>
      </c>
      <c r="H28" s="141">
        <f>G28/$G$36</f>
        <v/>
      </c>
      <c r="I28" s="32">
        <f>ROUND(F28*'Прил. 10'!$D$12,2)</f>
        <v/>
      </c>
      <c r="J28" s="32">
        <f>ROUND(I28*E28,2)</f>
        <v/>
      </c>
    </row>
    <row r="29" hidden="1" outlineLevel="1" ht="38.25" customFormat="1" customHeight="1" s="12">
      <c r="A29" s="235" t="n">
        <v>11</v>
      </c>
      <c r="B29" s="148" t="inlineStr">
        <is>
          <t>91.06.05-057</t>
        </is>
      </c>
      <c r="C29" s="243" t="inlineStr">
        <is>
          <t>Погрузчики одноковшовые универсальные фронтальные пневмоколесные, грузоподъемность 3 т</t>
        </is>
      </c>
      <c r="D29" s="235" t="inlineStr">
        <is>
          <t>маш.час</t>
        </is>
      </c>
      <c r="E29" s="139" t="n">
        <v>0.05775</v>
      </c>
      <c r="F29" s="245" t="n">
        <v>90.40000000000001</v>
      </c>
      <c r="G29" s="32">
        <f>ROUND(E29*F29,2)</f>
        <v/>
      </c>
      <c r="H29" s="141">
        <f>G29/$G$36</f>
        <v/>
      </c>
      <c r="I29" s="32">
        <f>ROUND(F29*'Прил. 10'!$D$12,2)</f>
        <v/>
      </c>
      <c r="J29" s="32">
        <f>ROUND(I29*E29,2)</f>
        <v/>
      </c>
    </row>
    <row r="30" hidden="1" outlineLevel="1" ht="25.5" customFormat="1" customHeight="1" s="12">
      <c r="A30" s="235" t="n">
        <v>12</v>
      </c>
      <c r="B30" s="148" t="inlineStr">
        <is>
          <t>91.06.01-003</t>
        </is>
      </c>
      <c r="C30" s="243" t="inlineStr">
        <is>
          <t>Домкраты гидравлические, грузоподъемность 63-100 т</t>
        </is>
      </c>
      <c r="D30" s="235" t="inlineStr">
        <is>
          <t>маш.час</t>
        </is>
      </c>
      <c r="E30" s="139" t="n">
        <v>3.78</v>
      </c>
      <c r="F30" s="245" t="n">
        <v>0.9</v>
      </c>
      <c r="G30" s="32">
        <f>ROUND(E30*F30,2)</f>
        <v/>
      </c>
      <c r="H30" s="141">
        <f>G30/$G$36</f>
        <v/>
      </c>
      <c r="I30" s="32">
        <f>ROUND(F30*'Прил. 10'!$D$12,2)</f>
        <v/>
      </c>
      <c r="J30" s="32">
        <f>ROUND(I30*E30,2)</f>
        <v/>
      </c>
    </row>
    <row r="31" hidden="1" outlineLevel="1" ht="14.25" customFormat="1" customHeight="1" s="12">
      <c r="A31" s="235" t="n">
        <v>13</v>
      </c>
      <c r="B31" s="148" t="inlineStr">
        <is>
          <t>91.08.04-021</t>
        </is>
      </c>
      <c r="C31" s="243" t="inlineStr">
        <is>
          <t>Котлы битумные передвижные 400 л</t>
        </is>
      </c>
      <c r="D31" s="235" t="inlineStr">
        <is>
          <t>маш.час</t>
        </is>
      </c>
      <c r="E31" s="139" t="n">
        <v>0.09847499999999999</v>
      </c>
      <c r="F31" s="245" t="n">
        <v>30</v>
      </c>
      <c r="G31" s="32">
        <f>ROUND(E31*F31,2)</f>
        <v/>
      </c>
      <c r="H31" s="141">
        <f>G31/$G$36</f>
        <v/>
      </c>
      <c r="I31" s="32">
        <f>ROUND(F31*'Прил. 10'!$D$12,2)</f>
        <v/>
      </c>
      <c r="J31" s="32">
        <f>ROUND(I31*E31,2)</f>
        <v/>
      </c>
    </row>
    <row r="32" hidden="1" outlineLevel="1" ht="25.5" customFormat="1" customHeight="1" s="12">
      <c r="A32" s="235" t="n">
        <v>14</v>
      </c>
      <c r="B32" s="148" t="inlineStr">
        <is>
          <t>91.08.09-024</t>
        </is>
      </c>
      <c r="C32" s="243" t="inlineStr">
        <is>
          <t>Трамбовки пневматические при работе от стационарного компрессора</t>
        </is>
      </c>
      <c r="D32" s="235" t="inlineStr">
        <is>
          <t>маш.час</t>
        </is>
      </c>
      <c r="E32" s="139" t="n">
        <v>0.33</v>
      </c>
      <c r="F32" s="245" t="n">
        <v>4.91</v>
      </c>
      <c r="G32" s="32">
        <f>ROUND(E32*F32,2)</f>
        <v/>
      </c>
      <c r="H32" s="141">
        <f>G32/$G$36</f>
        <v/>
      </c>
      <c r="I32" s="32">
        <f>ROUND(F32*'Прил. 10'!$D$12,2)</f>
        <v/>
      </c>
      <c r="J32" s="32">
        <f>ROUND(I32*E32,2)</f>
        <v/>
      </c>
    </row>
    <row r="33" hidden="1" outlineLevel="1" ht="38.25" customFormat="1" customHeight="1" s="12">
      <c r="A33" s="235" t="n">
        <v>15</v>
      </c>
      <c r="B33" s="148" t="inlineStr">
        <is>
          <t>91.21.01-012</t>
        </is>
      </c>
      <c r="C33" s="243" t="inlineStr">
        <is>
          <t>Агрегаты окрасочные высокого давления для окраски поверхностей конструкций, мощность 1 кВт</t>
        </is>
      </c>
      <c r="D33" s="235" t="inlineStr">
        <is>
          <t>маш.час</t>
        </is>
      </c>
      <c r="E33" s="139" t="n">
        <v>0.0696831</v>
      </c>
      <c r="F33" s="245" t="n">
        <v>6.82</v>
      </c>
      <c r="G33" s="32">
        <f>ROUND(E33*F33,2)</f>
        <v/>
      </c>
      <c r="H33" s="141">
        <f>G33/$G$36</f>
        <v/>
      </c>
      <c r="I33" s="32">
        <f>ROUND(F33*'Прил. 10'!$D$12,2)</f>
        <v/>
      </c>
      <c r="J33" s="32">
        <f>ROUND(I33*E33,2)</f>
        <v/>
      </c>
    </row>
    <row r="34" hidden="1" outlineLevel="1" ht="25.5" customFormat="1" customHeight="1" s="12">
      <c r="A34" s="235" t="n">
        <v>16</v>
      </c>
      <c r="B34" s="148" t="inlineStr">
        <is>
          <t>91.06.03-060</t>
        </is>
      </c>
      <c r="C34" s="243" t="inlineStr">
        <is>
          <t>Лебедки электрические тяговым усилием до 5,79 кН (0,59 т)</t>
        </is>
      </c>
      <c r="D34" s="235" t="inlineStr">
        <is>
          <t>маш.час</t>
        </is>
      </c>
      <c r="E34" s="139" t="n">
        <v>0.0004311</v>
      </c>
      <c r="F34" s="245" t="n">
        <v>1.7</v>
      </c>
      <c r="G34" s="32">
        <f>ROUND(E34*F34,2)</f>
        <v/>
      </c>
      <c r="H34" s="141">
        <f>G34/$G$36</f>
        <v/>
      </c>
      <c r="I34" s="32">
        <f>ROUND(F34*'Прил. 10'!$D$12,2)</f>
        <v/>
      </c>
      <c r="J34" s="32">
        <f>ROUND(I34*E34,2)</f>
        <v/>
      </c>
    </row>
    <row r="35" collapsed="1" ht="14.25" customFormat="1" customHeight="1" s="12">
      <c r="A35" s="235" t="n"/>
      <c r="B35" s="235" t="n"/>
      <c r="C35" s="243" t="inlineStr">
        <is>
          <t>Итого прочие машины и механизмы</t>
        </is>
      </c>
      <c r="D35" s="235" t="n"/>
      <c r="E35" s="244" t="n"/>
      <c r="F35" s="32" t="n"/>
      <c r="G35" s="140">
        <f>SUM(G23:G34)</f>
        <v/>
      </c>
      <c r="H35" s="141">
        <f>G35/G36</f>
        <v/>
      </c>
      <c r="I35" s="32" t="n"/>
      <c r="J35" s="32">
        <f>SUM(J23:J34)</f>
        <v/>
      </c>
    </row>
    <row r="36" ht="25.5" customFormat="1" customHeight="1" s="12">
      <c r="A36" s="235" t="n"/>
      <c r="B36" s="235" t="n"/>
      <c r="C36" s="230" t="inlineStr">
        <is>
          <t>Итого по разделу «Машины и механизмы»</t>
        </is>
      </c>
      <c r="D36" s="235" t="n"/>
      <c r="E36" s="244" t="n"/>
      <c r="F36" s="32" t="n"/>
      <c r="G36" s="32">
        <f>G35+G22</f>
        <v/>
      </c>
      <c r="H36" s="142" t="n">
        <v>1</v>
      </c>
      <c r="I36" s="143" t="n"/>
      <c r="J36" s="144">
        <f>J35+J22</f>
        <v/>
      </c>
    </row>
    <row r="37" ht="14.25" customFormat="1" customHeight="1" s="12">
      <c r="A37" s="235" t="n"/>
      <c r="B37" s="230" t="inlineStr">
        <is>
          <t>Оборудование</t>
        </is>
      </c>
      <c r="C37" s="303" t="n"/>
      <c r="D37" s="303" t="n"/>
      <c r="E37" s="303" t="n"/>
      <c r="F37" s="303" t="n"/>
      <c r="G37" s="303" t="n"/>
      <c r="H37" s="304" t="n"/>
      <c r="I37" s="138" t="n"/>
      <c r="J37" s="138" t="n"/>
    </row>
    <row r="38">
      <c r="A38" s="235" t="n"/>
      <c r="B38" s="243" t="inlineStr">
        <is>
          <t>Основное оборудование</t>
        </is>
      </c>
      <c r="C38" s="303" t="n"/>
      <c r="D38" s="303" t="n"/>
      <c r="E38" s="303" t="n"/>
      <c r="F38" s="303" t="n"/>
      <c r="G38" s="303" t="n"/>
      <c r="H38" s="304" t="n"/>
      <c r="I38" s="138" t="n"/>
      <c r="J38" s="138" t="n"/>
    </row>
    <row r="39" ht="14.25" customFormat="1" customHeight="1" s="12">
      <c r="A39" s="235" t="n">
        <v>17</v>
      </c>
      <c r="B39" s="235" t="inlineStr">
        <is>
          <t>БЦ.60.48</t>
        </is>
      </c>
      <c r="C39" s="243" t="inlineStr">
        <is>
          <t>ОПН 110 кВ</t>
        </is>
      </c>
      <c r="D39" s="235" t="inlineStr">
        <is>
          <t>шт</t>
        </is>
      </c>
      <c r="E39" s="244" t="n">
        <v>9</v>
      </c>
      <c r="F39" s="245">
        <f>ROUND(I39/'Прил. 10'!D14,2)</f>
        <v/>
      </c>
      <c r="G39" s="32">
        <f>ROUND(E39*F39,2)</f>
        <v/>
      </c>
      <c r="H39" s="141">
        <f>G39/$G$42</f>
        <v/>
      </c>
      <c r="I39" s="32" t="n">
        <v>45990</v>
      </c>
      <c r="J39" s="32">
        <f>ROUND(I39*E39,2)</f>
        <v/>
      </c>
    </row>
    <row r="40">
      <c r="A40" s="235" t="n"/>
      <c r="B40" s="235" t="n"/>
      <c r="C40" s="243" t="inlineStr">
        <is>
          <t>Итого основное оборудование</t>
        </is>
      </c>
      <c r="D40" s="235" t="n"/>
      <c r="E40" s="139" t="n"/>
      <c r="F40" s="245" t="n"/>
      <c r="G40" s="32">
        <f>G39</f>
        <v/>
      </c>
      <c r="H40" s="141">
        <f>G40/$G$42</f>
        <v/>
      </c>
      <c r="I40" s="140" t="n"/>
      <c r="J40" s="32">
        <f>J39</f>
        <v/>
      </c>
    </row>
    <row r="41">
      <c r="A41" s="235" t="n"/>
      <c r="B41" s="235" t="n"/>
      <c r="C41" s="243" t="inlineStr">
        <is>
          <t>Итого прочее оборудование</t>
        </is>
      </c>
      <c r="D41" s="235" t="n"/>
      <c r="E41" s="139" t="n"/>
      <c r="F41" s="245" t="n"/>
      <c r="G41" s="32" t="n">
        <v>0</v>
      </c>
      <c r="H41" s="141">
        <f>G41/$G$42</f>
        <v/>
      </c>
      <c r="I41" s="140" t="n"/>
      <c r="J41" s="32" t="n">
        <v>0</v>
      </c>
    </row>
    <row r="42">
      <c r="A42" s="235" t="n"/>
      <c r="B42" s="235" t="n"/>
      <c r="C42" s="230" t="inlineStr">
        <is>
          <t>Итого по разделу «Оборудование»</t>
        </is>
      </c>
      <c r="D42" s="235" t="n"/>
      <c r="E42" s="244" t="n"/>
      <c r="F42" s="245" t="n"/>
      <c r="G42" s="32">
        <f>G40+G41</f>
        <v/>
      </c>
      <c r="H42" s="141">
        <f>G42/$G$42</f>
        <v/>
      </c>
      <c r="I42" s="140" t="n"/>
      <c r="J42" s="32">
        <f>J41+J40</f>
        <v/>
      </c>
    </row>
    <row r="43" ht="25.5" customHeight="1" s="190">
      <c r="A43" s="235" t="n"/>
      <c r="B43" s="235" t="n"/>
      <c r="C43" s="243" t="inlineStr">
        <is>
          <t>в том числе технологическое оборудование</t>
        </is>
      </c>
      <c r="D43" s="235" t="n"/>
      <c r="E43" s="145" t="n"/>
      <c r="F43" s="245" t="n"/>
      <c r="G43" s="32">
        <f>G42</f>
        <v/>
      </c>
      <c r="H43" s="246" t="n"/>
      <c r="I43" s="140" t="n"/>
      <c r="J43" s="32">
        <f>J42</f>
        <v/>
      </c>
    </row>
    <row r="44" ht="14.25" customFormat="1" customHeight="1" s="12">
      <c r="A44" s="235" t="n"/>
      <c r="B44" s="230" t="inlineStr">
        <is>
          <t>Материалы</t>
        </is>
      </c>
      <c r="C44" s="303" t="n"/>
      <c r="D44" s="303" t="n"/>
      <c r="E44" s="303" t="n"/>
      <c r="F44" s="303" t="n"/>
      <c r="G44" s="303" t="n"/>
      <c r="H44" s="304" t="n"/>
      <c r="I44" s="138" t="n"/>
      <c r="J44" s="138" t="n"/>
    </row>
    <row r="45" ht="14.25" customFormat="1" customHeight="1" s="12">
      <c r="A45" s="236" t="n"/>
      <c r="B45" s="239" t="inlineStr">
        <is>
          <t>Основные материалы</t>
        </is>
      </c>
      <c r="C45" s="307" t="n"/>
      <c r="D45" s="307" t="n"/>
      <c r="E45" s="307" t="n"/>
      <c r="F45" s="307" t="n"/>
      <c r="G45" s="307" t="n"/>
      <c r="H45" s="308" t="n"/>
      <c r="I45" s="151" t="n"/>
      <c r="J45" s="151" t="n"/>
    </row>
    <row r="46" ht="14.25" customFormat="1" customHeight="1" s="12">
      <c r="A46" s="235" t="n">
        <v>18</v>
      </c>
      <c r="B46" s="235" t="inlineStr">
        <is>
          <t>22.2.02.07-0003</t>
        </is>
      </c>
      <c r="C46" s="243" t="inlineStr">
        <is>
          <t>Конструкции стальные порталов ОРУ</t>
        </is>
      </c>
      <c r="D46" s="235" t="inlineStr">
        <is>
          <t>т</t>
        </is>
      </c>
      <c r="E46" s="244" t="n">
        <v>3.699657</v>
      </c>
      <c r="F46" s="245" t="n">
        <v>12500</v>
      </c>
      <c r="G46" s="32">
        <f>ROUND(E46*F46,2)</f>
        <v/>
      </c>
      <c r="H46" s="141">
        <f>G46/$G$74</f>
        <v/>
      </c>
      <c r="I46" s="32">
        <f>ROUND(F46*'Прил. 10'!$D$13,2)</f>
        <v/>
      </c>
      <c r="J46" s="32">
        <f>ROUND(I46*E46,2)</f>
        <v/>
      </c>
    </row>
    <row r="47" ht="38.25" customFormat="1" customHeight="1" s="12">
      <c r="A47" s="235" t="n">
        <v>19</v>
      </c>
      <c r="B47" s="235" t="inlineStr">
        <is>
          <t>05.1.02.05-0012</t>
        </is>
      </c>
      <c r="C47" s="243" t="inlineStr">
        <is>
          <t>Лежни железобетонные ЛЖ-1,6, бетон B15, объем 0,17 м3, расход арматуры 44,1 кг</t>
        </is>
      </c>
      <c r="D47" s="235" t="inlineStr">
        <is>
          <t>шт</t>
        </is>
      </c>
      <c r="E47" s="244" t="n">
        <v>9</v>
      </c>
      <c r="F47" s="245" t="n">
        <v>511.22</v>
      </c>
      <c r="G47" s="32">
        <f>ROUND(E47*F47,2)</f>
        <v/>
      </c>
      <c r="H47" s="141">
        <f>G47/$G$74</f>
        <v/>
      </c>
      <c r="I47" s="32">
        <f>ROUND(F47*'Прил. 10'!$D$13,2)</f>
        <v/>
      </c>
      <c r="J47" s="32">
        <f>ROUND(I47*E47,2)</f>
        <v/>
      </c>
    </row>
    <row r="48" ht="14.25" customFormat="1" customHeight="1" s="12">
      <c r="A48" s="237" t="n"/>
      <c r="B48" s="153" t="n"/>
      <c r="C48" s="154" t="inlineStr">
        <is>
          <t>Итого основные материалы</t>
        </is>
      </c>
      <c r="D48" s="237" t="n"/>
      <c r="E48" s="155" t="n"/>
      <c r="F48" s="144" t="n"/>
      <c r="G48" s="144">
        <f>SUM(G46:G47)</f>
        <v/>
      </c>
      <c r="H48" s="141">
        <f>G48/$G$74</f>
        <v/>
      </c>
      <c r="I48" s="32" t="n"/>
      <c r="J48" s="144">
        <f>SUM(J46:J47)</f>
        <v/>
      </c>
    </row>
    <row r="49" hidden="1" outlineLevel="1" ht="25.5" customFormat="1" customHeight="1" s="12">
      <c r="A49" s="235" t="n">
        <v>20</v>
      </c>
      <c r="B49" s="235" t="inlineStr">
        <is>
          <t>10.1.02.03-0001</t>
        </is>
      </c>
      <c r="C49" s="243" t="inlineStr">
        <is>
          <t>Проволока алюминиевая, марка АМЦ, диаметр 1,4-1,8 мм</t>
        </is>
      </c>
      <c r="D49" s="235" t="inlineStr">
        <is>
          <t>т</t>
        </is>
      </c>
      <c r="E49" s="244" t="n">
        <v>0.1247467</v>
      </c>
      <c r="F49" s="245" t="n">
        <v>30090</v>
      </c>
      <c r="G49" s="32">
        <f>ROUND(E49*F49,2)</f>
        <v/>
      </c>
      <c r="H49" s="141">
        <f>G49/$G$74</f>
        <v/>
      </c>
      <c r="I49" s="32">
        <f>ROUND(F49*'Прил. 10'!$D$13,2)</f>
        <v/>
      </c>
      <c r="J49" s="32">
        <f>ROUND(I49*E49,2)</f>
        <v/>
      </c>
    </row>
    <row r="50" hidden="1" outlineLevel="1" ht="25.5" customFormat="1" customHeight="1" s="12">
      <c r="A50" s="235" t="n">
        <v>21</v>
      </c>
      <c r="B50" s="235" t="inlineStr">
        <is>
          <t>20.1.01.02-0066</t>
        </is>
      </c>
      <c r="C50" s="243" t="inlineStr">
        <is>
          <t>Зажим аппаратный прессуемый: А4А-300-2</t>
        </is>
      </c>
      <c r="D50" s="235" t="inlineStr">
        <is>
          <t>100 шт</t>
        </is>
      </c>
      <c r="E50" s="244" t="n">
        <v>0.18</v>
      </c>
      <c r="F50" s="245" t="n">
        <v>6080</v>
      </c>
      <c r="G50" s="32">
        <f>ROUND(E50*F50,2)</f>
        <v/>
      </c>
      <c r="H50" s="141">
        <f>G50/$G$74</f>
        <v/>
      </c>
      <c r="I50" s="32">
        <f>ROUND(F50*'Прил. 10'!$D$13,2)</f>
        <v/>
      </c>
      <c r="J50" s="32">
        <f>ROUND(I50*E50,2)</f>
        <v/>
      </c>
    </row>
    <row r="51" hidden="1" outlineLevel="1" ht="25.5" customFormat="1" customHeight="1" s="12">
      <c r="A51" s="235" t="n">
        <v>22</v>
      </c>
      <c r="B51" s="235" t="inlineStr">
        <is>
          <t>21.2.01.02-0094</t>
        </is>
      </c>
      <c r="C51" s="243" t="inlineStr">
        <is>
          <t>Провод неизолированный для воздушных линий электропередачи АС 300/39</t>
        </is>
      </c>
      <c r="D51" s="235" t="inlineStr">
        <is>
          <t>т</t>
        </is>
      </c>
      <c r="E51" s="244" t="n">
        <v>0.031175</v>
      </c>
      <c r="F51" s="245" t="n">
        <v>32758.86</v>
      </c>
      <c r="G51" s="32">
        <f>ROUND(E51*F51,2)</f>
        <v/>
      </c>
      <c r="H51" s="141">
        <f>G51/$G$74</f>
        <v/>
      </c>
      <c r="I51" s="32">
        <f>ROUND(F51*'Прил. 10'!$D$13,2)</f>
        <v/>
      </c>
      <c r="J51" s="32">
        <f>ROUND(I51*E51,2)</f>
        <v/>
      </c>
    </row>
    <row r="52" hidden="1" outlineLevel="1" ht="14.25" customFormat="1" customHeight="1" s="12">
      <c r="A52" s="235" t="n">
        <v>23</v>
      </c>
      <c r="B52" s="235" t="inlineStr">
        <is>
          <t>01.7.11.07-0032</t>
        </is>
      </c>
      <c r="C52" s="243" t="inlineStr">
        <is>
          <t>Электроды сварочные Э42, диаметр 4 мм</t>
        </is>
      </c>
      <c r="D52" s="235" t="inlineStr">
        <is>
          <t>т</t>
        </is>
      </c>
      <c r="E52" s="244" t="n">
        <v>0.0415032</v>
      </c>
      <c r="F52" s="245" t="n">
        <v>10315.01</v>
      </c>
      <c r="G52" s="32">
        <f>ROUND(E52*F52,2)</f>
        <v/>
      </c>
      <c r="H52" s="141">
        <f>G52/$G$74</f>
        <v/>
      </c>
      <c r="I52" s="32">
        <f>ROUND(F52*'Прил. 10'!$D$13,2)</f>
        <v/>
      </c>
      <c r="J52" s="32">
        <f>ROUND(I52*E52,2)</f>
        <v/>
      </c>
    </row>
    <row r="53" hidden="1" outlineLevel="1" ht="25.5" customFormat="1" customHeight="1" s="12">
      <c r="A53" s="235" t="n">
        <v>24</v>
      </c>
      <c r="B53" s="235" t="inlineStr">
        <is>
          <t>14.4.02.09-0301</t>
        </is>
      </c>
      <c r="C53" s="243" t="inlineStr">
        <is>
          <t>Композиция антикоррозионная цинкнаполненная</t>
        </is>
      </c>
      <c r="D53" s="235" t="inlineStr">
        <is>
          <t>кг</t>
        </is>
      </c>
      <c r="E53" s="244" t="n">
        <v>1.178143</v>
      </c>
      <c r="F53" s="245" t="n">
        <v>238.48</v>
      </c>
      <c r="G53" s="32">
        <f>ROUND(E53*F53,2)</f>
        <v/>
      </c>
      <c r="H53" s="141">
        <f>G53/$G$74</f>
        <v/>
      </c>
      <c r="I53" s="32">
        <f>ROUND(F53*'Прил. 10'!$D$13,2)</f>
        <v/>
      </c>
      <c r="J53" s="32">
        <f>ROUND(I53*E53,2)</f>
        <v/>
      </c>
    </row>
    <row r="54" hidden="1" outlineLevel="1" ht="14.25" customFormat="1" customHeight="1" s="12">
      <c r="A54" s="235" t="n">
        <v>25</v>
      </c>
      <c r="B54" s="235" t="inlineStr">
        <is>
          <t>14.5.09.11-0102</t>
        </is>
      </c>
      <c r="C54" s="243" t="inlineStr">
        <is>
          <t>Уайт-спирит</t>
        </is>
      </c>
      <c r="D54" s="235" t="inlineStr">
        <is>
          <t>кг</t>
        </is>
      </c>
      <c r="E54" s="244" t="n">
        <v>41.30685</v>
      </c>
      <c r="F54" s="245" t="n">
        <v>6.67</v>
      </c>
      <c r="G54" s="32">
        <f>ROUND(E54*F54,2)</f>
        <v/>
      </c>
      <c r="H54" s="141">
        <f>G54/$G$74</f>
        <v/>
      </c>
      <c r="I54" s="32">
        <f>ROUND(F54*'Прил. 10'!$D$13,2)</f>
        <v/>
      </c>
      <c r="J54" s="32">
        <f>ROUND(I54*E54,2)</f>
        <v/>
      </c>
    </row>
    <row r="55" hidden="1" outlineLevel="1" ht="14.25" customFormat="1" customHeight="1" s="12">
      <c r="A55" s="235" t="n">
        <v>26</v>
      </c>
      <c r="B55" s="235" t="inlineStr">
        <is>
          <t>14.4.02.09-0001</t>
        </is>
      </c>
      <c r="C55" s="243" t="inlineStr">
        <is>
          <t>Краска</t>
        </is>
      </c>
      <c r="D55" s="235" t="inlineStr">
        <is>
          <t>кг</t>
        </is>
      </c>
      <c r="E55" s="244" t="n">
        <v>9</v>
      </c>
      <c r="F55" s="245" t="n">
        <v>28.6</v>
      </c>
      <c r="G55" s="32">
        <f>ROUND(E55*F55,2)</f>
        <v/>
      </c>
      <c r="H55" s="141">
        <f>G55/$G$74</f>
        <v/>
      </c>
      <c r="I55" s="32">
        <f>ROUND(F55*'Прил. 10'!$D$13,2)</f>
        <v/>
      </c>
      <c r="J55" s="32">
        <f>ROUND(I55*E55,2)</f>
        <v/>
      </c>
    </row>
    <row r="56" hidden="1" outlineLevel="1" ht="38.25" customFormat="1" customHeight="1" s="12">
      <c r="A56" s="235" t="n">
        <v>27</v>
      </c>
      <c r="B56" s="235" t="inlineStr">
        <is>
          <t>08.3.07.01-0076</t>
        </is>
      </c>
      <c r="C56" s="243" t="inlineStr">
        <is>
          <t>Прокат полосовой, горячекатаный, марка стали Ст3сп, ширина 50-200 мм, толщина 4-5 мм</t>
        </is>
      </c>
      <c r="D56" s="235" t="inlineStr">
        <is>
          <t>т</t>
        </is>
      </c>
      <c r="E56" s="244" t="n">
        <v>0.045</v>
      </c>
      <c r="F56" s="245" t="n">
        <v>5000</v>
      </c>
      <c r="G56" s="32">
        <f>ROUND(E56*F56,2)</f>
        <v/>
      </c>
      <c r="H56" s="141">
        <f>G56/$G$74</f>
        <v/>
      </c>
      <c r="I56" s="32">
        <f>ROUND(F56*'Прил. 10'!$D$13,2)</f>
        <v/>
      </c>
      <c r="J56" s="32">
        <f>ROUND(I56*E56,2)</f>
        <v/>
      </c>
    </row>
    <row r="57" hidden="1" outlineLevel="1" ht="14.25" customFormat="1" customHeight="1" s="12">
      <c r="A57" s="235" t="n">
        <v>28</v>
      </c>
      <c r="B57" s="235" t="inlineStr">
        <is>
          <t>01.7.15.03-0042</t>
        </is>
      </c>
      <c r="C57" s="243" t="inlineStr">
        <is>
          <t>Болты с гайками и шайбами строительные</t>
        </is>
      </c>
      <c r="D57" s="235" t="inlineStr">
        <is>
          <t>кг</t>
        </is>
      </c>
      <c r="E57" s="244" t="n">
        <v>21.78</v>
      </c>
      <c r="F57" s="245" t="n">
        <v>9.039999999999999</v>
      </c>
      <c r="G57" s="32">
        <f>ROUND(E57*F57,2)</f>
        <v/>
      </c>
      <c r="H57" s="141">
        <f>G57/$G$74</f>
        <v/>
      </c>
      <c r="I57" s="32">
        <f>ROUND(F57*'Прил. 10'!$D$13,2)</f>
        <v/>
      </c>
      <c r="J57" s="32">
        <f>ROUND(I57*E57,2)</f>
        <v/>
      </c>
    </row>
    <row r="58" hidden="1" outlineLevel="1" ht="14.25" customFormat="1" customHeight="1" s="12">
      <c r="A58" s="235" t="n">
        <v>29</v>
      </c>
      <c r="B58" s="235" t="inlineStr">
        <is>
          <t>08.3.07.01-0042</t>
        </is>
      </c>
      <c r="C58" s="243" t="inlineStr">
        <is>
          <t>Сталь полосовая: 40х4 мм, кипящая</t>
        </is>
      </c>
      <c r="D58" s="235" t="inlineStr">
        <is>
          <t>т</t>
        </is>
      </c>
      <c r="E58" s="244" t="n">
        <v>0.018144</v>
      </c>
      <c r="F58" s="245" t="n">
        <v>6200</v>
      </c>
      <c r="G58" s="32">
        <f>ROUND(E58*F58,2)</f>
        <v/>
      </c>
      <c r="H58" s="141">
        <f>G58/$G$74</f>
        <v/>
      </c>
      <c r="I58" s="32">
        <f>ROUND(F58*'Прил. 10'!$D$13,2)</f>
        <v/>
      </c>
      <c r="J58" s="32">
        <f>ROUND(I58*E58,2)</f>
        <v/>
      </c>
    </row>
    <row r="59" hidden="1" outlineLevel="1" ht="25.5" customFormat="1" customHeight="1" s="12">
      <c r="A59" s="235" t="n">
        <v>30</v>
      </c>
      <c r="B59" s="235" t="inlineStr">
        <is>
          <t>02.2.05.04-1772</t>
        </is>
      </c>
      <c r="C59" s="243" t="inlineStr">
        <is>
          <t>Щебень М 600, фракция 20-40 мм, группа 2</t>
        </is>
      </c>
      <c r="D59" s="235" t="inlineStr">
        <is>
          <t>м3</t>
        </is>
      </c>
      <c r="E59" s="244" t="n">
        <v>0.94875</v>
      </c>
      <c r="F59" s="245" t="n">
        <v>114.13</v>
      </c>
      <c r="G59" s="32">
        <f>ROUND(E59*F59,2)</f>
        <v/>
      </c>
      <c r="H59" s="141">
        <f>G59/$G$74</f>
        <v/>
      </c>
      <c r="I59" s="32">
        <f>ROUND(F59*'Прил. 10'!$D$13,2)</f>
        <v/>
      </c>
      <c r="J59" s="32">
        <f>ROUND(I59*E59,2)</f>
        <v/>
      </c>
    </row>
    <row r="60" hidden="1" outlineLevel="1" ht="25.5" customFormat="1" customHeight="1" s="12">
      <c r="A60" s="235" t="n">
        <v>31</v>
      </c>
      <c r="B60" s="235" t="inlineStr">
        <is>
          <t>01.2.03.07-0001</t>
        </is>
      </c>
      <c r="C60" s="243" t="inlineStr">
        <is>
          <t>Композиция полимерно-битумная Гидроизол</t>
        </is>
      </c>
      <c r="D60" s="235" t="inlineStr">
        <is>
          <t>л</t>
        </is>
      </c>
      <c r="E60" s="244" t="n">
        <v>2.525</v>
      </c>
      <c r="F60" s="245" t="n">
        <v>42.83</v>
      </c>
      <c r="G60" s="32">
        <f>ROUND(E60*F60,2)</f>
        <v/>
      </c>
      <c r="H60" s="141">
        <f>G60/$G$74</f>
        <v/>
      </c>
      <c r="I60" s="32">
        <f>ROUND(F60*'Прил. 10'!$D$13,2)</f>
        <v/>
      </c>
      <c r="J60" s="32">
        <f>ROUND(I60*E60,2)</f>
        <v/>
      </c>
    </row>
    <row r="61" hidden="1" outlineLevel="1" ht="25.5" customFormat="1" customHeight="1" s="12">
      <c r="A61" s="235" t="n">
        <v>32</v>
      </c>
      <c r="B61" s="235" t="inlineStr">
        <is>
          <t>14.4.02.09-0301</t>
        </is>
      </c>
      <c r="C61" s="243" t="inlineStr">
        <is>
          <t>Композиция антикоррозионная цинкнаполненная</t>
        </is>
      </c>
      <c r="D61" s="235" t="inlineStr">
        <is>
          <t>кг</t>
        </is>
      </c>
      <c r="E61" s="244" t="n">
        <v>0.3312</v>
      </c>
      <c r="F61" s="245" t="n">
        <v>238.48</v>
      </c>
      <c r="G61" s="32">
        <f>ROUND(E61*F61,2)</f>
        <v/>
      </c>
      <c r="H61" s="141">
        <f>G61/$G$74</f>
        <v/>
      </c>
      <c r="I61" s="32">
        <f>ROUND(F61*'Прил. 10'!$D$13,2)</f>
        <v/>
      </c>
      <c r="J61" s="32">
        <f>ROUND(I61*E61,2)</f>
        <v/>
      </c>
    </row>
    <row r="62" hidden="1" outlineLevel="1" ht="63.75" customFormat="1" customHeight="1" s="12">
      <c r="A62" s="235" t="n">
        <v>33</v>
      </c>
      <c r="B62" s="235" t="inlineStr">
        <is>
          <t>04.1.02.05-0011</t>
        </is>
      </c>
      <c r="C62" s="243" t="inlineStr">
        <is>
          <t>Смеси бетонные тяжелого бетона (БСТ), класс В30 (М400) {Надбавка по морозостойкости F300 W6  2*2=4%, ФССЦ ПР прил.15 таб.2}_x000D_
еМР = 28.35 = 708.80*0.04</t>
        </is>
      </c>
      <c r="D62" s="235" t="inlineStr">
        <is>
          <t>м3</t>
        </is>
      </c>
      <c r="E62" s="244" t="n">
        <v>1.35</v>
      </c>
      <c r="F62" s="245" t="n">
        <v>28.35</v>
      </c>
      <c r="G62" s="32">
        <f>ROUND(E62*F62,2)</f>
        <v/>
      </c>
      <c r="H62" s="141">
        <f>G62/$G$74</f>
        <v/>
      </c>
      <c r="I62" s="32">
        <f>ROUND(F62*'Прил. 10'!$D$13,2)</f>
        <v/>
      </c>
      <c r="J62" s="32">
        <f>ROUND(I62*E62,2)</f>
        <v/>
      </c>
    </row>
    <row r="63" hidden="1" outlineLevel="1" ht="25.5" customFormat="1" customHeight="1" s="12">
      <c r="A63" s="235" t="n">
        <v>34</v>
      </c>
      <c r="B63" s="235" t="inlineStr">
        <is>
          <t>14.2.01.05-0001</t>
        </is>
      </c>
      <c r="C63" s="243" t="inlineStr">
        <is>
          <t>Композиция на основе термопластичных полимеров</t>
        </is>
      </c>
      <c r="D63" s="235" t="inlineStr">
        <is>
          <t>кг</t>
        </is>
      </c>
      <c r="E63" s="244" t="n">
        <v>0.5603359999999999</v>
      </c>
      <c r="F63" s="245" t="n">
        <v>54.99</v>
      </c>
      <c r="G63" s="32">
        <f>ROUND(E63*F63,2)</f>
        <v/>
      </c>
      <c r="H63" s="141">
        <f>G63/$G$74</f>
        <v/>
      </c>
      <c r="I63" s="32">
        <f>ROUND(F63*'Прил. 10'!$D$13,2)</f>
        <v/>
      </c>
      <c r="J63" s="32">
        <f>ROUND(I63*E63,2)</f>
        <v/>
      </c>
    </row>
    <row r="64" hidden="1" outlineLevel="1" ht="25.5" customFormat="1" customHeight="1" s="12">
      <c r="A64" s="235" t="n">
        <v>35</v>
      </c>
      <c r="B64" s="235" t="inlineStr">
        <is>
          <t>01.2.03.05-0006</t>
        </is>
      </c>
      <c r="C64" s="243" t="inlineStr">
        <is>
          <t>Праймер битумно-полимерный ТЕХНОНИКОЛЬ №03</t>
        </is>
      </c>
      <c r="D64" s="235" t="inlineStr">
        <is>
          <t>л</t>
        </is>
      </c>
      <c r="E64" s="244" t="n">
        <v>1.515</v>
      </c>
      <c r="F64" s="245" t="n">
        <v>12.71</v>
      </c>
      <c r="G64" s="32">
        <f>ROUND(E64*F64,2)</f>
        <v/>
      </c>
      <c r="H64" s="141">
        <f>G64/$G$74</f>
        <v/>
      </c>
      <c r="I64" s="32">
        <f>ROUND(F64*'Прил. 10'!$D$13,2)</f>
        <v/>
      </c>
      <c r="J64" s="32">
        <f>ROUND(I64*E64,2)</f>
        <v/>
      </c>
    </row>
    <row r="65" hidden="1" outlineLevel="1" ht="25.5" customFormat="1" customHeight="1" s="12">
      <c r="A65" s="235" t="n">
        <v>36</v>
      </c>
      <c r="B65" s="235" t="inlineStr">
        <is>
          <t>999-9950</t>
        </is>
      </c>
      <c r="C65" s="243" t="inlineStr">
        <is>
          <t>Вспомогательные ненормируемые ресурсы (2% от Оплаты труда рабочих)</t>
        </is>
      </c>
      <c r="D65" s="235" t="inlineStr">
        <is>
          <t>руб</t>
        </is>
      </c>
      <c r="E65" s="244" t="n">
        <v>8.27112</v>
      </c>
      <c r="F65" s="245" t="n">
        <v>1</v>
      </c>
      <c r="G65" s="32">
        <f>ROUND(E65*F65,2)</f>
        <v/>
      </c>
      <c r="H65" s="141">
        <f>G65/$G$74</f>
        <v/>
      </c>
      <c r="I65" s="32">
        <f>ROUND(F65*'Прил. 10'!$D$13,2)</f>
        <v/>
      </c>
      <c r="J65" s="32">
        <f>ROUND(I65*E65,2)</f>
        <v/>
      </c>
    </row>
    <row r="66" hidden="1" outlineLevel="1" ht="25.5" customFormat="1" customHeight="1" s="12">
      <c r="A66" s="235" t="n">
        <v>37</v>
      </c>
      <c r="B66" s="235" t="inlineStr">
        <is>
          <t>01.3.01.06-0050</t>
        </is>
      </c>
      <c r="C66" s="243" t="inlineStr">
        <is>
          <t>Смазка универсальная тугоплавкая УТ (консталин жировой)</t>
        </is>
      </c>
      <c r="D66" s="235" t="inlineStr">
        <is>
          <t>т</t>
        </is>
      </c>
      <c r="E66" s="244" t="n">
        <v>0.00042</v>
      </c>
      <c r="F66" s="245" t="n">
        <v>17500</v>
      </c>
      <c r="G66" s="32">
        <f>ROUND(E66*F66,2)</f>
        <v/>
      </c>
      <c r="H66" s="141">
        <f>G66/$G$74</f>
        <v/>
      </c>
      <c r="I66" s="32">
        <f>ROUND(F66*'Прил. 10'!$D$13,2)</f>
        <v/>
      </c>
      <c r="J66" s="32">
        <f>ROUND(I66*E66,2)</f>
        <v/>
      </c>
    </row>
    <row r="67" hidden="1" outlineLevel="1" ht="25.5" customFormat="1" customHeight="1" s="12">
      <c r="A67" s="235" t="n">
        <v>38</v>
      </c>
      <c r="B67" s="235" t="inlineStr">
        <is>
          <t>01.7.11.07-0034</t>
        </is>
      </c>
      <c r="C67" s="243" t="inlineStr">
        <is>
          <t>Электроды сварочные Э42А, диаметр 4 мм</t>
        </is>
      </c>
      <c r="D67" s="235" t="inlineStr">
        <is>
          <t>кг</t>
        </is>
      </c>
      <c r="E67" s="244" t="n">
        <v>0.6372</v>
      </c>
      <c r="F67" s="245" t="n">
        <v>10.57</v>
      </c>
      <c r="G67" s="32">
        <f>ROUND(E67*F67,2)</f>
        <v/>
      </c>
      <c r="H67" s="141">
        <f>G67/$G$74</f>
        <v/>
      </c>
      <c r="I67" s="32">
        <f>ROUND(F67*'Прил. 10'!$D$13,2)</f>
        <v/>
      </c>
      <c r="J67" s="32">
        <f>ROUND(I67*E67,2)</f>
        <v/>
      </c>
    </row>
    <row r="68" hidden="1" outlineLevel="1" ht="38.25" customFormat="1" customHeight="1" s="12">
      <c r="A68" s="235" t="n">
        <v>39</v>
      </c>
      <c r="B68" s="235" t="inlineStr">
        <is>
          <t>08.3.05.02-0101</t>
        </is>
      </c>
      <c r="C68" s="243" t="inlineStr">
        <is>
          <t>Прокат толстолистовой горячекатаный в листах, марка стали ВСт3пс5, толщина 4-6 мм</t>
        </is>
      </c>
      <c r="D68" s="235" t="inlineStr">
        <is>
          <t>т</t>
        </is>
      </c>
      <c r="E68" s="244" t="n">
        <v>0.000576</v>
      </c>
      <c r="F68" s="245" t="n">
        <v>5763</v>
      </c>
      <c r="G68" s="32">
        <f>ROUND(E68*F68,2)</f>
        <v/>
      </c>
      <c r="H68" s="141">
        <f>G68/$G$74</f>
        <v/>
      </c>
      <c r="I68" s="32">
        <f>ROUND(F68*'Прил. 10'!$D$13,2)</f>
        <v/>
      </c>
      <c r="J68" s="32">
        <f>ROUND(I68*E68,2)</f>
        <v/>
      </c>
    </row>
    <row r="69" hidden="1" outlineLevel="1" ht="14.25" customFormat="1" customHeight="1" s="12">
      <c r="A69" s="235" t="n">
        <v>40</v>
      </c>
      <c r="B69" s="235" t="inlineStr">
        <is>
          <t>01.3.01.03-0002</t>
        </is>
      </c>
      <c r="C69" s="243" t="inlineStr">
        <is>
          <t>Керосин для технических целей</t>
        </is>
      </c>
      <c r="D69" s="235" t="inlineStr">
        <is>
          <t>т</t>
        </is>
      </c>
      <c r="E69" s="244" t="n">
        <v>0.001212</v>
      </c>
      <c r="F69" s="245" t="n">
        <v>2606.9</v>
      </c>
      <c r="G69" s="32">
        <f>ROUND(E69*F69,2)</f>
        <v/>
      </c>
      <c r="H69" s="141">
        <f>G69/$G$74</f>
        <v/>
      </c>
      <c r="I69" s="32">
        <f>ROUND(F69*'Прил. 10'!$D$13,2)</f>
        <v/>
      </c>
      <c r="J69" s="32">
        <f>ROUND(I69*E69,2)</f>
        <v/>
      </c>
    </row>
    <row r="70" hidden="1" outlineLevel="1" ht="14.25" customFormat="1" customHeight="1" s="12">
      <c r="A70" s="235" t="n">
        <v>41</v>
      </c>
      <c r="B70" s="235" t="inlineStr">
        <is>
          <t>14.5.09.07-0030</t>
        </is>
      </c>
      <c r="C70" s="243" t="inlineStr">
        <is>
          <t>Растворитель Р-4</t>
        </is>
      </c>
      <c r="D70" s="235" t="inlineStr">
        <is>
          <t>кг</t>
        </is>
      </c>
      <c r="E70" s="244" t="n">
        <v>0.1364954</v>
      </c>
      <c r="F70" s="245" t="n">
        <v>9.42</v>
      </c>
      <c r="G70" s="32">
        <f>ROUND(E70*F70,2)</f>
        <v/>
      </c>
      <c r="H70" s="141">
        <f>G70/$G$74</f>
        <v/>
      </c>
      <c r="I70" s="32">
        <f>ROUND(F70*'Прил. 10'!$D$13,2)</f>
        <v/>
      </c>
      <c r="J70" s="32">
        <f>ROUND(I70*E70,2)</f>
        <v/>
      </c>
    </row>
    <row r="71" hidden="1" outlineLevel="1" ht="14.25" customFormat="1" customHeight="1" s="12">
      <c r="A71" s="235" t="n">
        <v>42</v>
      </c>
      <c r="B71" s="235" t="inlineStr">
        <is>
          <t>01.7.03.01-0001</t>
        </is>
      </c>
      <c r="C71" s="243" t="inlineStr">
        <is>
          <t>Вода</t>
        </is>
      </c>
      <c r="D71" s="235" t="inlineStr">
        <is>
          <t>м3</t>
        </is>
      </c>
      <c r="E71" s="244" t="n">
        <v>0.12375</v>
      </c>
      <c r="F71" s="245" t="n">
        <v>2.44</v>
      </c>
      <c r="G71" s="32">
        <f>ROUND(E71*F71,2)</f>
        <v/>
      </c>
      <c r="H71" s="141">
        <f>G71/$G$74</f>
        <v/>
      </c>
      <c r="I71" s="32">
        <f>ROUND(F71*'Прил. 10'!$D$13,2)</f>
        <v/>
      </c>
      <c r="J71" s="32">
        <f>ROUND(I71*E71,2)</f>
        <v/>
      </c>
    </row>
    <row r="72" hidden="1" outlineLevel="1" ht="14.25" customFormat="1" customHeight="1" s="12">
      <c r="A72" s="235" t="n">
        <v>43</v>
      </c>
      <c r="B72" s="235" t="inlineStr">
        <is>
          <t>01.7.20.08-0051</t>
        </is>
      </c>
      <c r="C72" s="243" t="inlineStr">
        <is>
          <t>Ветошь</t>
        </is>
      </c>
      <c r="D72" s="235" t="inlineStr">
        <is>
          <t>кг</t>
        </is>
      </c>
      <c r="E72" s="244" t="n">
        <v>0.00505</v>
      </c>
      <c r="F72" s="245" t="n">
        <v>1.82</v>
      </c>
      <c r="G72" s="32">
        <f>ROUND(E72*F72,2)</f>
        <v/>
      </c>
      <c r="H72" s="141">
        <f>G72/$G$74</f>
        <v/>
      </c>
      <c r="I72" s="32">
        <f>ROUND(F72*'Прил. 10'!$D$13,2)</f>
        <v/>
      </c>
      <c r="J72" s="32">
        <f>ROUND(I72*E72,2)</f>
        <v/>
      </c>
    </row>
    <row r="73" collapsed="1" ht="14.25" customFormat="1" customHeight="1" s="12">
      <c r="A73" s="235" t="n"/>
      <c r="B73" s="235" t="n"/>
      <c r="C73" s="243" t="inlineStr">
        <is>
          <t>Итого прочие материалы</t>
        </is>
      </c>
      <c r="D73" s="235" t="n"/>
      <c r="E73" s="244" t="n"/>
      <c r="F73" s="245" t="n"/>
      <c r="G73" s="32">
        <f>SUM(G49:G72)</f>
        <v/>
      </c>
      <c r="H73" s="141">
        <f>G73/$G$74</f>
        <v/>
      </c>
      <c r="I73" s="32" t="n"/>
      <c r="J73" s="32">
        <f>SUM(J49:J72)</f>
        <v/>
      </c>
    </row>
    <row r="74" ht="14.25" customFormat="1" customHeight="1" s="12">
      <c r="A74" s="235" t="n"/>
      <c r="B74" s="235" t="n"/>
      <c r="C74" s="230" t="inlineStr">
        <is>
          <t>Итого по разделу «Материалы»</t>
        </is>
      </c>
      <c r="D74" s="235" t="n"/>
      <c r="E74" s="244" t="n"/>
      <c r="F74" s="245" t="n"/>
      <c r="G74" s="32">
        <f>G48+G73</f>
        <v/>
      </c>
      <c r="H74" s="246">
        <f>G74/$G$74</f>
        <v/>
      </c>
      <c r="I74" s="32" t="n"/>
      <c r="J74" s="32">
        <f>J48+J73</f>
        <v/>
      </c>
    </row>
    <row r="75" ht="14.25" customFormat="1" customHeight="1" s="12">
      <c r="A75" s="235" t="n"/>
      <c r="B75" s="235" t="n"/>
      <c r="C75" s="243" t="inlineStr">
        <is>
          <t>ИТОГО ПО РМ</t>
        </is>
      </c>
      <c r="D75" s="235" t="n"/>
      <c r="E75" s="244" t="n"/>
      <c r="F75" s="245" t="n"/>
      <c r="G75" s="32">
        <f>G15+G36+G74</f>
        <v/>
      </c>
      <c r="H75" s="246" t="n"/>
      <c r="I75" s="32" t="n"/>
      <c r="J75" s="32">
        <f>J15+J36+J74</f>
        <v/>
      </c>
    </row>
    <row r="76" ht="14.25" customFormat="1" customHeight="1" s="12">
      <c r="A76" s="235" t="n"/>
      <c r="B76" s="235" t="n"/>
      <c r="C76" s="243" t="inlineStr">
        <is>
          <t>Накладные расходы</t>
        </is>
      </c>
      <c r="D76" s="146">
        <f>ROUND(G76/(G$17+$G$15),2)</f>
        <v/>
      </c>
      <c r="E76" s="244" t="n"/>
      <c r="F76" s="245" t="n"/>
      <c r="G76" s="32" t="n">
        <v>5701.87</v>
      </c>
      <c r="H76" s="246" t="n"/>
      <c r="I76" s="32" t="n"/>
      <c r="J76" s="32">
        <f>ROUND(D76*(J15+J17),2)</f>
        <v/>
      </c>
    </row>
    <row r="77" ht="14.25" customFormat="1" customHeight="1" s="12">
      <c r="A77" s="235" t="n"/>
      <c r="B77" s="235" t="n"/>
      <c r="C77" s="243" t="inlineStr">
        <is>
          <t>Сметная прибыль</t>
        </is>
      </c>
      <c r="D77" s="146">
        <f>ROUND(G77/(G$15+G$17),2)</f>
        <v/>
      </c>
      <c r="E77" s="244" t="n"/>
      <c r="F77" s="245" t="n"/>
      <c r="G77" s="32" t="n">
        <v>3121.66</v>
      </c>
      <c r="H77" s="246" t="n"/>
      <c r="I77" s="32" t="n"/>
      <c r="J77" s="32">
        <f>ROUND(D77*(J15+J17),2)</f>
        <v/>
      </c>
    </row>
    <row r="78" ht="14.25" customFormat="1" customHeight="1" s="12">
      <c r="A78" s="235" t="n"/>
      <c r="B78" s="235" t="n"/>
      <c r="C78" s="243" t="inlineStr">
        <is>
          <t>Итого СМР (с НР и СП)</t>
        </is>
      </c>
      <c r="D78" s="235" t="n"/>
      <c r="E78" s="244" t="n"/>
      <c r="F78" s="245" t="n"/>
      <c r="G78" s="32">
        <f>G15+G36+G74+G76+G77</f>
        <v/>
      </c>
      <c r="H78" s="246" t="n"/>
      <c r="I78" s="32" t="n"/>
      <c r="J78" s="32">
        <f>J15+J36+J74+J76+J77</f>
        <v/>
      </c>
    </row>
    <row r="79" ht="14.25" customFormat="1" customHeight="1" s="12">
      <c r="A79" s="235" t="n"/>
      <c r="B79" s="235" t="n"/>
      <c r="C79" s="243" t="inlineStr">
        <is>
          <t>ВСЕГО СМР + ОБОРУДОВАНИЕ</t>
        </is>
      </c>
      <c r="D79" s="235" t="n"/>
      <c r="E79" s="244" t="n"/>
      <c r="F79" s="245" t="n"/>
      <c r="G79" s="32">
        <f>G78+G42</f>
        <v/>
      </c>
      <c r="H79" s="246" t="n"/>
      <c r="I79" s="32" t="n"/>
      <c r="J79" s="32">
        <f>J78+J42</f>
        <v/>
      </c>
    </row>
    <row r="80" ht="34.5" customFormat="1" customHeight="1" s="12">
      <c r="A80" s="235" t="n"/>
      <c r="B80" s="235" t="n"/>
      <c r="C80" s="243" t="inlineStr">
        <is>
          <t>ИТОГО ПОКАЗАТЕЛЬ НА ЕД. ИЗМ.</t>
        </is>
      </c>
      <c r="D80" s="235" t="inlineStr">
        <is>
          <t>ед</t>
        </is>
      </c>
      <c r="E80" s="244" t="n">
        <v>3</v>
      </c>
      <c r="F80" s="245" t="n"/>
      <c r="G80" s="32">
        <f>G79/E80</f>
        <v/>
      </c>
      <c r="H80" s="246" t="n"/>
      <c r="I80" s="32" t="n"/>
      <c r="J80" s="32">
        <f>J79/E80</f>
        <v/>
      </c>
    </row>
    <row r="82" ht="14.25" customFormat="1" customHeight="1" s="12">
      <c r="A82" s="4" t="inlineStr">
        <is>
          <t>Составил ______________________        Е. М. Добровольская</t>
        </is>
      </c>
    </row>
    <row r="83" ht="14.25" customFormat="1" customHeight="1" s="12">
      <c r="A83" s="33" t="inlineStr">
        <is>
          <t xml:space="preserve">                         (подпись, инициалы, фамилия)</t>
        </is>
      </c>
    </row>
    <row r="84" ht="14.25" customFormat="1" customHeight="1" s="12">
      <c r="A84" s="4" t="n"/>
    </row>
    <row r="85" ht="14.25" customFormat="1" customHeight="1" s="12">
      <c r="A85" s="4" t="inlineStr">
        <is>
          <t>Проверил ______________________        А.В. Костянецкая</t>
        </is>
      </c>
    </row>
    <row r="86" ht="14.25" customFormat="1" customHeight="1" s="12">
      <c r="A86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B45:H45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B44:H44"/>
    <mergeCell ref="I10:J10"/>
    <mergeCell ref="B38:H38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A16" sqref="A16"/>
    </sheetView>
  </sheetViews>
  <sheetFormatPr baseColWidth="8" defaultRowHeight="15"/>
  <cols>
    <col width="5.7109375" customWidth="1" style="190" min="1" max="1"/>
    <col width="17.5703125" customWidth="1" style="190" min="2" max="2"/>
    <col width="39.140625" customWidth="1" style="190" min="3" max="3"/>
    <col width="10.7109375" customWidth="1" style="190" min="4" max="4"/>
    <col width="13.85546875" customWidth="1" style="190" min="5" max="5"/>
    <col width="13.28515625" customWidth="1" style="190" min="6" max="6"/>
    <col width="14.140625" customWidth="1" style="190" min="7" max="7"/>
  </cols>
  <sheetData>
    <row r="1">
      <c r="A1" s="251" t="inlineStr">
        <is>
          <t>Приложение №6</t>
        </is>
      </c>
    </row>
    <row r="2" ht="21.75" customHeight="1" s="190">
      <c r="A2" s="251" t="n"/>
      <c r="B2" s="251" t="n"/>
      <c r="C2" s="251" t="n"/>
      <c r="D2" s="251" t="n"/>
      <c r="E2" s="251" t="n"/>
      <c r="F2" s="251" t="n"/>
      <c r="G2" s="251" t="n"/>
    </row>
    <row r="3">
      <c r="A3" s="211" t="inlineStr">
        <is>
          <t>Расчет стоимости оборудования</t>
        </is>
      </c>
    </row>
    <row r="4" ht="25.5" customHeight="1" s="190">
      <c r="A4" s="214" t="inlineStr">
        <is>
          <t>Наименование разрабатываемого показателя УНЦ — ОПН на три фазы с устройством фундамента напряжение 110 кВ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0">
      <c r="A6" s="256" t="inlineStr">
        <is>
          <t>№ пп.</t>
        </is>
      </c>
      <c r="B6" s="256" t="inlineStr">
        <is>
          <t>Код ресурса</t>
        </is>
      </c>
      <c r="C6" s="256" t="inlineStr">
        <is>
          <t>Наименование</t>
        </is>
      </c>
      <c r="D6" s="256" t="inlineStr">
        <is>
          <t>Ед. изм.</t>
        </is>
      </c>
      <c r="E6" s="235" t="inlineStr">
        <is>
          <t>Кол-во единиц по проектным данным</t>
        </is>
      </c>
      <c r="F6" s="256" t="inlineStr">
        <is>
          <t>Сметная стоимость в ценах на 01.01.2000 (руб.)</t>
        </is>
      </c>
      <c r="G6" s="304" t="n"/>
    </row>
    <row r="7">
      <c r="A7" s="306" t="n"/>
      <c r="B7" s="306" t="n"/>
      <c r="C7" s="306" t="n"/>
      <c r="D7" s="306" t="n"/>
      <c r="E7" s="306" t="n"/>
      <c r="F7" s="235" t="inlineStr">
        <is>
          <t>на ед. изм.</t>
        </is>
      </c>
      <c r="G7" s="235" t="inlineStr">
        <is>
          <t>общая</t>
        </is>
      </c>
    </row>
    <row r="8">
      <c r="A8" s="235" t="n">
        <v>1</v>
      </c>
      <c r="B8" s="235" t="n">
        <v>2</v>
      </c>
      <c r="C8" s="235" t="n">
        <v>3</v>
      </c>
      <c r="D8" s="235" t="n">
        <v>4</v>
      </c>
      <c r="E8" s="235" t="n">
        <v>5</v>
      </c>
      <c r="F8" s="235" t="n">
        <v>6</v>
      </c>
      <c r="G8" s="235" t="n">
        <v>7</v>
      </c>
    </row>
    <row r="9" ht="15" customHeight="1" s="190">
      <c r="A9" s="25" t="n"/>
      <c r="B9" s="243" t="inlineStr">
        <is>
          <t>ИНЖЕНЕРНОЕ ОБОРУДОВАНИЕ</t>
        </is>
      </c>
      <c r="C9" s="303" t="n"/>
      <c r="D9" s="303" t="n"/>
      <c r="E9" s="303" t="n"/>
      <c r="F9" s="303" t="n"/>
      <c r="G9" s="304" t="n"/>
    </row>
    <row r="10" ht="27" customHeight="1" s="190">
      <c r="A10" s="235" t="n"/>
      <c r="B10" s="230" t="n"/>
      <c r="C10" s="243" t="inlineStr">
        <is>
          <t>ИТОГО ИНЖЕНЕРНОЕ ОБОРУДОВАНИЕ</t>
        </is>
      </c>
      <c r="D10" s="230" t="n"/>
      <c r="E10" s="105" t="n"/>
      <c r="F10" s="245" t="n"/>
      <c r="G10" s="245" t="n">
        <v>0</v>
      </c>
    </row>
    <row r="11">
      <c r="A11" s="235" t="n"/>
      <c r="B11" s="243" t="inlineStr">
        <is>
          <t>ТЕХНОЛОГИЧЕСКОЕ ОБОРУДОВАНИЕ</t>
        </is>
      </c>
      <c r="C11" s="303" t="n"/>
      <c r="D11" s="303" t="n"/>
      <c r="E11" s="303" t="n"/>
      <c r="F11" s="303" t="n"/>
      <c r="G11" s="304" t="n"/>
    </row>
    <row r="12">
      <c r="A12" s="235" t="n">
        <v>1</v>
      </c>
      <c r="B12" s="243">
        <f>'Прил.5 Расчет СМР и ОБ'!B39</f>
        <v/>
      </c>
      <c r="C12" s="243">
        <f>'Прил.5 Расчет СМР и ОБ'!C39</f>
        <v/>
      </c>
      <c r="D12" s="235">
        <f>'Прил.5 Расчет СМР и ОБ'!D39</f>
        <v/>
      </c>
      <c r="E12" s="244">
        <f>'Прил.5 Расчет СМР и ОБ'!E39</f>
        <v/>
      </c>
      <c r="F12" s="245">
        <f>'Прил.5 Расчет СМР и ОБ'!F39</f>
        <v/>
      </c>
      <c r="G12" s="32">
        <f>ROUND(E12*F12,2)</f>
        <v/>
      </c>
    </row>
    <row r="13" ht="25.5" customHeight="1" s="190">
      <c r="A13" s="235" t="n"/>
      <c r="B13" s="243" t="n"/>
      <c r="C13" s="243" t="inlineStr">
        <is>
          <t>ИТОГО ТЕХНОЛОГИЧЕСКОЕ ОБОРУДОВАНИЕ</t>
        </is>
      </c>
      <c r="D13" s="243" t="n"/>
      <c r="E13" s="255" t="n"/>
      <c r="F13" s="245" t="n"/>
      <c r="G13" s="32">
        <f>SUM(G12:G12)</f>
        <v/>
      </c>
    </row>
    <row r="14" ht="19.5" customHeight="1" s="190">
      <c r="A14" s="235" t="n"/>
      <c r="B14" s="243" t="n"/>
      <c r="C14" s="243" t="inlineStr">
        <is>
          <t>Всего по разделу «Оборудование»</t>
        </is>
      </c>
      <c r="D14" s="243" t="n"/>
      <c r="E14" s="255" t="n"/>
      <c r="F14" s="245" t="n"/>
      <c r="G14" s="32">
        <f>G10+G13</f>
        <v/>
      </c>
    </row>
    <row r="15">
      <c r="A15" s="30" t="n"/>
      <c r="B15" s="106" t="n"/>
      <c r="C15" s="30" t="n"/>
      <c r="D15" s="30" t="n"/>
      <c r="E15" s="30" t="n"/>
      <c r="F15" s="30" t="n"/>
      <c r="G15" s="30" t="n"/>
    </row>
    <row r="16">
      <c r="A16" s="4" t="inlineStr">
        <is>
          <t>Составил ______________________        Е. М. Добровольская</t>
        </is>
      </c>
      <c r="B16" s="12" t="n"/>
      <c r="C16" s="12" t="n"/>
      <c r="D16" s="30" t="n"/>
      <c r="E16" s="30" t="n"/>
      <c r="F16" s="30" t="n"/>
      <c r="G16" s="30" t="n"/>
    </row>
    <row r="17">
      <c r="A17" s="33" t="inlineStr">
        <is>
          <t xml:space="preserve">                         (подпись, инициалы, фамилия)</t>
        </is>
      </c>
      <c r="B17" s="12" t="n"/>
      <c r="C17" s="12" t="n"/>
      <c r="D17" s="30" t="n"/>
      <c r="E17" s="30" t="n"/>
      <c r="F17" s="30" t="n"/>
      <c r="G17" s="30" t="n"/>
    </row>
    <row r="18">
      <c r="A18" s="4" t="n"/>
      <c r="B18" s="12" t="n"/>
      <c r="C18" s="12" t="n"/>
      <c r="D18" s="30" t="n"/>
      <c r="E18" s="30" t="n"/>
      <c r="F18" s="30" t="n"/>
      <c r="G18" s="30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30" t="n"/>
      <c r="E19" s="30" t="n"/>
      <c r="F19" s="30" t="n"/>
      <c r="G19" s="30" t="n"/>
    </row>
    <row r="20">
      <c r="A20" s="33" t="inlineStr">
        <is>
          <t xml:space="preserve">                        (подпись, инициалы, фамилия)</t>
        </is>
      </c>
      <c r="B20" s="12" t="n"/>
      <c r="C20" s="12" t="n"/>
      <c r="D20" s="30" t="n"/>
      <c r="E20" s="30" t="n"/>
      <c r="F20" s="30" t="n"/>
      <c r="G20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A13" sqref="A13"/>
    </sheetView>
  </sheetViews>
  <sheetFormatPr baseColWidth="8" defaultColWidth="8.85546875" defaultRowHeight="15"/>
  <cols>
    <col width="14.42578125" customWidth="1" style="190" min="1" max="1"/>
    <col width="29.7109375" customWidth="1" style="190" min="2" max="2"/>
    <col width="39.140625" customWidth="1" style="190" min="3" max="3"/>
    <col width="24.5703125" customWidth="1" style="190" min="4" max="4"/>
    <col width="24.85546875" customWidth="1" style="190" min="5" max="5"/>
  </cols>
  <sheetData>
    <row r="1">
      <c r="B1" s="4" t="n"/>
      <c r="C1" s="4" t="n"/>
      <c r="D1" s="251" t="inlineStr">
        <is>
          <t>Приложение №7</t>
        </is>
      </c>
    </row>
    <row r="2">
      <c r="A2" s="251" t="n"/>
      <c r="B2" s="251" t="n"/>
      <c r="C2" s="251" t="n"/>
      <c r="D2" s="251" t="n"/>
    </row>
    <row r="3" ht="24.75" customHeight="1" s="190">
      <c r="A3" s="211" t="inlineStr">
        <is>
          <t>Расчет показателя УНЦ</t>
        </is>
      </c>
    </row>
    <row r="4" ht="24.75" customHeight="1" s="190">
      <c r="A4" s="201" t="n"/>
      <c r="B4" s="201" t="n"/>
      <c r="C4" s="201" t="n"/>
      <c r="D4" s="201" t="n"/>
    </row>
    <row r="5" ht="47.25" customHeight="1" s="190">
      <c r="A5" s="257" t="inlineStr">
        <is>
          <t xml:space="preserve">Наименование разрабатываемого показателя УНЦ - </t>
        </is>
      </c>
      <c r="D5" s="257">
        <f>'Прил.5 Расчет СМР и ОБ'!D6:J6</f>
        <v/>
      </c>
    </row>
    <row r="6" ht="19.9" customHeight="1" s="190">
      <c r="A6" s="257" t="inlineStr">
        <is>
          <t>Единица измерения  — 1 ед</t>
        </is>
      </c>
      <c r="D6" s="257" t="n"/>
    </row>
    <row r="7">
      <c r="A7" s="203" t="n"/>
      <c r="B7" s="203" t="n"/>
      <c r="C7" s="203" t="n"/>
      <c r="D7" s="203" t="n"/>
    </row>
    <row r="8" ht="14.45" customHeight="1" s="190">
      <c r="A8" s="258" t="inlineStr">
        <is>
          <t>Код показателя</t>
        </is>
      </c>
      <c r="B8" s="258" t="inlineStr">
        <is>
          <t>Наименование показателя</t>
        </is>
      </c>
      <c r="C8" s="258" t="inlineStr">
        <is>
          <t>Наименование РМ, входящих в состав показателя</t>
        </is>
      </c>
      <c r="D8" s="258" t="inlineStr">
        <is>
          <t>Норматив цены на 01.01.2023, тыс.руб.</t>
        </is>
      </c>
    </row>
    <row r="9" ht="15" customHeight="1" s="190">
      <c r="A9" s="306" t="n"/>
      <c r="B9" s="306" t="n"/>
      <c r="C9" s="306" t="n"/>
      <c r="D9" s="306" t="n"/>
    </row>
    <row r="10">
      <c r="A10" s="204" t="n">
        <v>1</v>
      </c>
      <c r="B10" s="204" t="n">
        <v>2</v>
      </c>
      <c r="C10" s="204" t="n">
        <v>3</v>
      </c>
      <c r="D10" s="204" t="n">
        <v>4</v>
      </c>
    </row>
    <row r="11" ht="41.45" customHeight="1" s="190">
      <c r="A11" s="204" t="inlineStr">
        <is>
          <t>И5-04-3</t>
        </is>
      </c>
      <c r="B11" s="204" t="inlineStr">
        <is>
          <t xml:space="preserve">УНЦ элементов ПС с устройством фундаментов </t>
        </is>
      </c>
      <c r="C11" s="205">
        <f>D5</f>
        <v/>
      </c>
      <c r="D11" s="206">
        <f>'Прил.4 РМ'!C41/1000</f>
        <v/>
      </c>
      <c r="E11" s="178" t="n"/>
    </row>
    <row r="12">
      <c r="A12" s="207" t="n"/>
      <c r="B12" s="208" t="n"/>
      <c r="C12" s="207" t="n"/>
      <c r="D12" s="207" t="n"/>
    </row>
    <row r="13">
      <c r="A13" s="203" t="inlineStr">
        <is>
          <t>Составил ______________________      Е. М. Добровольская</t>
        </is>
      </c>
      <c r="B13" s="209" t="n"/>
      <c r="C13" s="209" t="n"/>
      <c r="D13" s="207" t="n"/>
    </row>
    <row r="14">
      <c r="A14" s="210" t="inlineStr">
        <is>
          <t xml:space="preserve">                         (подпись, инициалы, фамилия)</t>
        </is>
      </c>
      <c r="B14" s="209" t="n"/>
      <c r="C14" s="209" t="n"/>
      <c r="D14" s="207" t="n"/>
    </row>
    <row r="15">
      <c r="A15" s="203" t="n"/>
      <c r="B15" s="209" t="n"/>
      <c r="C15" s="209" t="n"/>
      <c r="D15" s="207" t="n"/>
    </row>
    <row r="16">
      <c r="A16" s="203" t="inlineStr">
        <is>
          <t>Проверил ______________________        А.В. Костянецкая</t>
        </is>
      </c>
      <c r="B16" s="209" t="n"/>
      <c r="C16" s="209" t="n"/>
      <c r="D16" s="207" t="n"/>
    </row>
    <row r="17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topLeftCell="A16" zoomScale="85" zoomScaleNormal="85" workbookViewId="0">
      <selection activeCell="B27" sqref="B27"/>
    </sheetView>
  </sheetViews>
  <sheetFormatPr baseColWidth="8" defaultRowHeight="15"/>
  <cols>
    <col width="9.140625" customWidth="1" style="190" min="1" max="1"/>
    <col width="40.7109375" customWidth="1" style="190" min="2" max="2"/>
    <col width="37" customWidth="1" style="190" min="3" max="3"/>
    <col width="32" customWidth="1" style="190" min="4" max="4"/>
    <col width="9.140625" customWidth="1" style="190" min="5" max="5"/>
  </cols>
  <sheetData>
    <row r="4" ht="15.75" customHeight="1" s="190">
      <c r="B4" s="218" t="inlineStr">
        <is>
          <t>Приложение № 10</t>
        </is>
      </c>
    </row>
    <row r="5" ht="18.75" customHeight="1" s="190">
      <c r="B5" s="131" t="n"/>
    </row>
    <row r="6" ht="15.75" customHeight="1" s="190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90">
      <c r="B9" s="226" t="inlineStr">
        <is>
          <t>Наименование индекса / норм сопутствующих затрат</t>
        </is>
      </c>
      <c r="C9" s="226" t="inlineStr">
        <is>
          <t>Дата применения и обоснование индекса / норм сопутствующих затрат</t>
        </is>
      </c>
      <c r="D9" s="226" t="inlineStr">
        <is>
          <t>Размер индекса / норма сопутствующих затрат</t>
        </is>
      </c>
    </row>
    <row r="10" ht="15.75" customHeight="1" s="190">
      <c r="B10" s="226" t="n">
        <v>1</v>
      </c>
      <c r="C10" s="226" t="n">
        <v>2</v>
      </c>
      <c r="D10" s="226" t="n">
        <v>3</v>
      </c>
    </row>
    <row r="11" ht="45" customHeight="1" s="190">
      <c r="B11" s="226" t="inlineStr">
        <is>
          <t xml:space="preserve">Индекс изменения сметной стоимости на 1 квартал 2023 года. ОЗП </t>
        </is>
      </c>
      <c r="C11" s="226" t="inlineStr">
        <is>
          <t>Письмо Минстроя России от 30.03.2023г. №17106-ИФ/09  прил.1</t>
        </is>
      </c>
      <c r="D11" s="226" t="n">
        <v>44.29</v>
      </c>
    </row>
    <row r="12" ht="29.25" customHeight="1" s="190">
      <c r="B12" s="226" t="inlineStr">
        <is>
          <t>Индекс изменения сметной стоимости на 1 квартал 2023 года. ЭМ</t>
        </is>
      </c>
      <c r="C12" s="226" t="inlineStr">
        <is>
          <t>Письмо Минстроя России от 30.03.2023г. №17106-ИФ/09  прил.1</t>
        </is>
      </c>
      <c r="D12" s="226" t="n">
        <v>13.47</v>
      </c>
    </row>
    <row r="13" ht="29.25" customHeight="1" s="190">
      <c r="B13" s="226" t="inlineStr">
        <is>
          <t>Индекс изменения сметной стоимости на 1 квартал 2023 года. МАТ</t>
        </is>
      </c>
      <c r="C13" s="226" t="inlineStr">
        <is>
          <t>Письмо Минстроя России от 30.03.2023г. №17106-ИФ/09  прил.1</t>
        </is>
      </c>
      <c r="D13" s="226" t="n">
        <v>8.039999999999999</v>
      </c>
    </row>
    <row r="14" ht="30.75" customHeight="1" s="190">
      <c r="B14" s="226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6" t="n">
        <v>6.26</v>
      </c>
    </row>
    <row r="15" ht="89.25" customHeight="1" s="190">
      <c r="B15" s="226" t="inlineStr">
        <is>
          <t>Временные здания и сооружения</t>
        </is>
      </c>
      <c r="C15" s="22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33" t="n">
        <v>0.039</v>
      </c>
    </row>
    <row r="16" ht="78.75" customHeight="1" s="190">
      <c r="B16" s="226" t="inlineStr">
        <is>
          <t>Дополнительные затраты при производстве строительно-монтажных работ в зимнее время</t>
        </is>
      </c>
      <c r="C16" s="2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33" t="n">
        <v>0.021</v>
      </c>
    </row>
    <row r="17" ht="34.5" customHeight="1" s="190">
      <c r="B17" s="226" t="inlineStr">
        <is>
          <t>Пусконаладочные работы</t>
        </is>
      </c>
      <c r="C17" s="226" t="n"/>
      <c r="D17" s="226" t="inlineStr">
        <is>
          <t>Расчет</t>
        </is>
      </c>
    </row>
    <row r="18" ht="31.5" customHeight="1" s="190">
      <c r="B18" s="226" t="inlineStr">
        <is>
          <t>Строительный контроль</t>
        </is>
      </c>
      <c r="C18" s="226" t="inlineStr">
        <is>
          <t>Постановление Правительства РФ от 21.06.10 г. № 468</t>
        </is>
      </c>
      <c r="D18" s="133" t="n">
        <v>0.0214</v>
      </c>
    </row>
    <row r="19" ht="31.5" customHeight="1" s="190">
      <c r="B19" s="226" t="inlineStr">
        <is>
          <t>Авторский надзор - 0,2%</t>
        </is>
      </c>
      <c r="C19" s="226" t="inlineStr">
        <is>
          <t>Приказ от 4.08.2020 № 421/пр п.173</t>
        </is>
      </c>
      <c r="D19" s="133" t="n">
        <v>0.002</v>
      </c>
    </row>
    <row r="20" ht="24" customHeight="1" s="190">
      <c r="B20" s="226" t="inlineStr">
        <is>
          <t>Непредвиденные расходы</t>
        </is>
      </c>
      <c r="C20" s="226" t="inlineStr">
        <is>
          <t>Приказ от 4.08.2020 № 421/пр п.179</t>
        </is>
      </c>
      <c r="D20" s="133" t="n">
        <v>0.03</v>
      </c>
    </row>
    <row r="21" ht="18.75" customHeight="1" s="190">
      <c r="B21" s="132" t="n"/>
    </row>
    <row r="22" ht="18.75" customHeight="1" s="190">
      <c r="B22" s="132" t="n"/>
    </row>
    <row r="23" ht="18.75" customHeight="1" s="190">
      <c r="B23" s="132" t="n"/>
    </row>
    <row r="24" ht="18.75" customHeight="1" s="190">
      <c r="B24" s="132" t="n"/>
    </row>
    <row r="27">
      <c r="B27" s="4" t="inlineStr">
        <is>
          <t>Составил ______________________        Е. М. Добровольская</t>
        </is>
      </c>
      <c r="C27" s="12" t="n"/>
    </row>
    <row r="28">
      <c r="B28" s="33" t="inlineStr">
        <is>
          <t xml:space="preserve">                         (подпись, инициалы, фамилия)</t>
        </is>
      </c>
      <c r="C28" s="12" t="n"/>
    </row>
    <row r="29">
      <c r="B29" s="4" t="n"/>
      <c r="C29" s="12" t="n"/>
    </row>
    <row r="30">
      <c r="B30" s="4" t="inlineStr">
        <is>
          <t>Проверил ______________________        А.В. Костянецкая</t>
        </is>
      </c>
      <c r="C30" s="12" t="n"/>
    </row>
    <row r="31">
      <c r="B31" s="33" t="inlineStr">
        <is>
          <t xml:space="preserve">                        (подпись, инициалы, фамилия)</t>
        </is>
      </c>
      <c r="C31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 horizontalDpi="0" verticalDpi="0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4" sqref="D24"/>
    </sheetView>
  </sheetViews>
  <sheetFormatPr baseColWidth="8" defaultRowHeight="15"/>
  <cols>
    <col width="9.140625" customWidth="1" style="190" min="1" max="1"/>
    <col width="44.85546875" customWidth="1" style="190" min="2" max="2"/>
    <col width="13" customWidth="1" style="190" min="3" max="3"/>
    <col width="22.85546875" customWidth="1" style="190" min="4" max="4"/>
    <col width="21.5703125" customWidth="1" style="190" min="5" max="5"/>
    <col width="43.85546875" customWidth="1" style="190" min="6" max="6"/>
    <col width="9.140625" customWidth="1" style="190" min="7" max="7"/>
  </cols>
  <sheetData>
    <row r="2" ht="17.25" customHeight="1" s="190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0">
      <c r="A4" s="117" t="inlineStr">
        <is>
          <t>Составлен в уровне цен на 01.01.2023 г.</t>
        </is>
      </c>
      <c r="B4" s="189" t="n"/>
      <c r="C4" s="189" t="n"/>
      <c r="D4" s="189" t="n"/>
      <c r="E4" s="189" t="n"/>
      <c r="F4" s="189" t="n"/>
      <c r="G4" s="189" t="n"/>
    </row>
    <row r="5" ht="15.75" customHeight="1" s="190">
      <c r="A5" s="119" t="inlineStr">
        <is>
          <t>№ пп.</t>
        </is>
      </c>
      <c r="B5" s="119" t="inlineStr">
        <is>
          <t>Наименование элемента</t>
        </is>
      </c>
      <c r="C5" s="119" t="inlineStr">
        <is>
          <t>Обозначение</t>
        </is>
      </c>
      <c r="D5" s="119" t="inlineStr">
        <is>
          <t>Формула</t>
        </is>
      </c>
      <c r="E5" s="119" t="inlineStr">
        <is>
          <t>Величина элемента</t>
        </is>
      </c>
      <c r="F5" s="119" t="inlineStr">
        <is>
          <t>Наименования обосновывающих документов</t>
        </is>
      </c>
      <c r="G5" s="189" t="n"/>
    </row>
    <row r="6" ht="15.75" customHeight="1" s="190">
      <c r="A6" s="119" t="n">
        <v>1</v>
      </c>
      <c r="B6" s="119" t="n">
        <v>2</v>
      </c>
      <c r="C6" s="119" t="n">
        <v>3</v>
      </c>
      <c r="D6" s="119" t="n">
        <v>4</v>
      </c>
      <c r="E6" s="119" t="n">
        <v>5</v>
      </c>
      <c r="F6" s="119" t="n">
        <v>6</v>
      </c>
      <c r="G6" s="189" t="n"/>
    </row>
    <row r="7" ht="110.25" customHeight="1" s="190">
      <c r="A7" s="120" t="inlineStr">
        <is>
          <t>1.1</t>
        </is>
      </c>
      <c r="B7" s="12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6" t="inlineStr">
        <is>
          <t>С1ср</t>
        </is>
      </c>
      <c r="D7" s="226" t="inlineStr">
        <is>
          <t>-</t>
        </is>
      </c>
      <c r="E7" s="61" t="n">
        <v>47872.94</v>
      </c>
      <c r="F7" s="12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9" t="n"/>
    </row>
    <row r="8" ht="31.5" customHeight="1" s="190">
      <c r="A8" s="120" t="inlineStr">
        <is>
          <t>1.2</t>
        </is>
      </c>
      <c r="B8" s="121" t="inlineStr">
        <is>
          <t>Среднегодовое нормативное число часов работы одного рабочего в месяц, часы (ч.)</t>
        </is>
      </c>
      <c r="C8" s="226" t="inlineStr">
        <is>
          <t>tср</t>
        </is>
      </c>
      <c r="D8" s="226" t="inlineStr">
        <is>
          <t>1973ч/12мес.</t>
        </is>
      </c>
      <c r="E8" s="123">
        <f>1973/12</f>
        <v/>
      </c>
      <c r="F8" s="121" t="inlineStr">
        <is>
          <t>Производственный календарь 2023 год
(40-часов.неделя)</t>
        </is>
      </c>
      <c r="G8" s="124" t="n"/>
    </row>
    <row r="9" ht="15.75" customHeight="1" s="190">
      <c r="A9" s="120" t="inlineStr">
        <is>
          <t>1.3</t>
        </is>
      </c>
      <c r="B9" s="121" t="inlineStr">
        <is>
          <t>Коэффициент увеличения</t>
        </is>
      </c>
      <c r="C9" s="226" t="inlineStr">
        <is>
          <t>Кув</t>
        </is>
      </c>
      <c r="D9" s="226" t="inlineStr">
        <is>
          <t>-</t>
        </is>
      </c>
      <c r="E9" s="123" t="n">
        <v>1</v>
      </c>
      <c r="F9" s="121" t="n"/>
      <c r="G9" s="124" t="n"/>
    </row>
    <row r="10" ht="15.75" customHeight="1" s="190">
      <c r="A10" s="120" t="inlineStr">
        <is>
          <t>1.4</t>
        </is>
      </c>
      <c r="B10" s="121" t="inlineStr">
        <is>
          <t>Средний разряд работ</t>
        </is>
      </c>
      <c r="C10" s="226" t="n"/>
      <c r="D10" s="226" t="n"/>
      <c r="E10" s="125" t="n">
        <v>4.6</v>
      </c>
      <c r="F10" s="121" t="inlineStr">
        <is>
          <t>РТМ</t>
        </is>
      </c>
      <c r="G10" s="124" t="n"/>
    </row>
    <row r="11" ht="78.75" customHeight="1" s="190">
      <c r="A11" s="120" t="inlineStr">
        <is>
          <t>1.5</t>
        </is>
      </c>
      <c r="B11" s="121" t="inlineStr">
        <is>
          <t>Тарифный коэффициент среднего разряда работ</t>
        </is>
      </c>
      <c r="C11" s="226" t="inlineStr">
        <is>
          <t>КТ</t>
        </is>
      </c>
      <c r="D11" s="226" t="inlineStr">
        <is>
          <t>-</t>
        </is>
      </c>
      <c r="E11" s="184" t="n">
        <v>1.461</v>
      </c>
      <c r="F11" s="12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9" t="n"/>
    </row>
    <row r="12" ht="78.75" customHeight="1" s="190">
      <c r="A12" s="120" t="inlineStr">
        <is>
          <t>1.6</t>
        </is>
      </c>
      <c r="B12" s="195" t="inlineStr">
        <is>
          <t>Коэффициент инфляции, определяемый поквартально</t>
        </is>
      </c>
      <c r="C12" s="226" t="inlineStr">
        <is>
          <t>Кинф</t>
        </is>
      </c>
      <c r="D12" s="226" t="inlineStr">
        <is>
          <t>-</t>
        </is>
      </c>
      <c r="E12" s="127" t="n">
        <v>1.139</v>
      </c>
      <c r="F12" s="12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24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0">
      <c r="A13" s="120" t="inlineStr">
        <is>
          <t>1.7</t>
        </is>
      </c>
      <c r="B13" s="129" t="inlineStr">
        <is>
          <t>Размер средств на оплату труда рабочих-строителей в текущем уровне цен (ФОТр.тек.), руб/чел.-ч</t>
        </is>
      </c>
      <c r="C13" s="226" t="inlineStr">
        <is>
          <t>ФОТр.тек.</t>
        </is>
      </c>
      <c r="D13" s="226" t="inlineStr">
        <is>
          <t>(С1ср/tср*КТ*Т*Кув)*Кинф</t>
        </is>
      </c>
      <c r="E13" s="130">
        <f>((E7*E9/E8)*E11)*E12</f>
        <v/>
      </c>
      <c r="F13" s="12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2025-01-24T12:02:13Z</dcterms:modified>
  <cp:lastModifiedBy>Danil</cp:lastModifiedBy>
  <cp:lastPrinted>2023-11-28T06:18:33Z</cp:lastPrinted>
</cp:coreProperties>
</file>