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9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5" t="n"/>
      <c r="C6" s="165" t="n"/>
      <c r="D6" s="165" t="n"/>
    </row>
    <row r="7" ht="64.5" customHeight="1" s="199">
      <c r="B7" s="228" t="inlineStr">
        <is>
          <t>Наименование разрабатываемого показателя УНЦ - ОПН на три фазы с устройством фундамента напряжение 500 кВ</t>
        </is>
      </c>
    </row>
    <row r="8" ht="31.5" customHeight="1" s="199">
      <c r="B8" s="228" t="inlineStr">
        <is>
          <t>Сопоставимый уровень цен: 3 квартал 2021 г</t>
        </is>
      </c>
    </row>
    <row r="9" ht="15.75" customHeight="1" s="199">
      <c r="B9" s="228" t="inlineStr">
        <is>
          <t>Единица измерения  — 1 ед</t>
        </is>
      </c>
    </row>
    <row r="10">
      <c r="B10" s="228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48" t="n"/>
    </row>
    <row r="12" ht="96.75" customHeight="1" s="199">
      <c r="B12" s="234" t="n">
        <v>1</v>
      </c>
      <c r="C12" s="204" t="inlineStr">
        <is>
          <t>Наименование объекта-представителя</t>
        </is>
      </c>
      <c r="D12" s="234" t="inlineStr">
        <is>
          <t>ПС Налдинская (МЭС Востока)</t>
        </is>
      </c>
    </row>
    <row r="13">
      <c r="B13" s="234" t="n">
        <v>2</v>
      </c>
      <c r="C13" s="204" t="inlineStr">
        <is>
          <t>Наименование субъекта Российской Федерации</t>
        </is>
      </c>
      <c r="D13" s="234" t="inlineStr">
        <is>
          <t>Республика Саха (Якутия)</t>
        </is>
      </c>
    </row>
    <row r="14">
      <c r="B14" s="234" t="n">
        <v>3</v>
      </c>
      <c r="C14" s="204" t="inlineStr">
        <is>
          <t>Климатический район и подрайон</t>
        </is>
      </c>
      <c r="D14" s="178" t="inlineStr">
        <is>
          <t>IБ</t>
        </is>
      </c>
    </row>
    <row r="15">
      <c r="B15" s="234" t="n">
        <v>4</v>
      </c>
      <c r="C15" s="204" t="inlineStr">
        <is>
          <t>Мощность объекта</t>
        </is>
      </c>
      <c r="D15" s="234" t="n">
        <v>3</v>
      </c>
    </row>
    <row r="16" ht="116.25" customHeight="1" s="199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ОПН 500 кВ</t>
        </is>
      </c>
    </row>
    <row r="17" ht="79.5" customHeight="1" s="199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'Прил.2 Расч стоим'!J12</f>
        <v/>
      </c>
      <c r="E17" s="164" t="n"/>
    </row>
    <row r="18">
      <c r="B18" s="147" t="inlineStr">
        <is>
          <t>6.1</t>
        </is>
      </c>
      <c r="C18" s="204" t="inlineStr">
        <is>
          <t>строительно-монтажные работы</t>
        </is>
      </c>
      <c r="D18" s="209">
        <f>'Прил.2 Расч стоим'!G12</f>
        <v/>
      </c>
    </row>
    <row r="19" ht="15.75" customHeight="1" s="199">
      <c r="B19" s="147" t="inlineStr">
        <is>
          <t>6.2</t>
        </is>
      </c>
      <c r="C19" s="204" t="inlineStr">
        <is>
          <t>оборудование и инвентарь</t>
        </is>
      </c>
      <c r="D19" s="209">
        <f>'Прил.2 Расч стоим'!H12</f>
        <v/>
      </c>
    </row>
    <row r="20" ht="16.5" customHeight="1" s="199">
      <c r="B20" s="147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199">
      <c r="B21" s="147" t="inlineStr">
        <is>
          <t>6.4</t>
        </is>
      </c>
      <c r="C21" s="146" t="inlineStr">
        <is>
          <t>прочие и лимитированные затраты</t>
        </is>
      </c>
      <c r="D21" s="209">
        <f>'Прил.2 Расч стоим'!I12</f>
        <v/>
      </c>
    </row>
    <row r="22">
      <c r="B22" s="234" t="n">
        <v>7</v>
      </c>
      <c r="C22" s="146" t="inlineStr">
        <is>
          <t>Сопоставимый уровень цен</t>
        </is>
      </c>
      <c r="D22" s="234" t="inlineStr">
        <is>
          <t>3 кв 2021</t>
        </is>
      </c>
      <c r="E22" s="144" t="n"/>
    </row>
    <row r="23" ht="123" customHeight="1" s="199">
      <c r="B23" s="234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64" t="n"/>
    </row>
    <row r="24" ht="60.75" customHeight="1" s="199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4" t="n"/>
    </row>
    <row r="25" ht="48" customHeight="1" s="199">
      <c r="B25" s="234" t="n">
        <v>10</v>
      </c>
      <c r="C25" s="204" t="inlineStr">
        <is>
          <t>Примечание</t>
        </is>
      </c>
      <c r="D25" s="234" t="n"/>
    </row>
    <row r="26">
      <c r="B26" s="143" t="n"/>
      <c r="C26" s="142" t="n"/>
      <c r="D26" s="142" t="n"/>
    </row>
    <row r="27" ht="37.5" customHeight="1" s="199">
      <c r="B27" s="141" t="n"/>
    </row>
    <row r="28">
      <c r="B28" s="198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26" t="inlineStr">
        <is>
          <t>Приложение № 2</t>
        </is>
      </c>
      <c r="K3" s="141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9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199">
      <c r="B8" s="133" t="n"/>
    </row>
    <row r="9" s="199">
      <c r="A9" s="198" t="n"/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  <c r="K9" s="198" t="n"/>
      <c r="L9" s="198" t="n"/>
    </row>
    <row r="10" s="199">
      <c r="A10" s="198" t="n"/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3 кв. 2021 г., тыс. руб.</t>
        </is>
      </c>
      <c r="G10" s="312" t="n"/>
      <c r="H10" s="312" t="n"/>
      <c r="I10" s="312" t="n"/>
      <c r="J10" s="313" t="n"/>
      <c r="K10" s="198" t="n"/>
      <c r="L10" s="198" t="n"/>
    </row>
    <row r="11" ht="73.5" customHeight="1" s="199">
      <c r="A11" s="198" t="n"/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  <c r="K11" s="198" t="n"/>
      <c r="L11" s="198" t="n"/>
    </row>
    <row r="12" ht="73.5" customHeight="1" s="199">
      <c r="A12" s="198" t="n"/>
      <c r="B12" s="201" t="n">
        <v>1</v>
      </c>
      <c r="C12" s="202" t="inlineStr">
        <is>
          <t>ОПН 10 кВ</t>
        </is>
      </c>
      <c r="D12" s="203" t="inlineStr">
        <is>
          <t>ЛС 02-01-03</t>
        </is>
      </c>
      <c r="E12" s="204" t="inlineStr">
        <is>
          <t>ОРУ 220 кВ. Электротехнические решения</t>
        </is>
      </c>
      <c r="F12" s="205" t="n"/>
      <c r="G12" s="206">
        <f>(614411+2316680)/1000</f>
        <v/>
      </c>
      <c r="H12" s="206">
        <f>14477724.28*5.56/1000</f>
        <v/>
      </c>
      <c r="I12" s="206">
        <f>ROUND((G12*3.9%)+(G12+G12*3.9%)*7%,2)</f>
        <v/>
      </c>
      <c r="J12" s="207">
        <f>SUM(F12:I12)</f>
        <v/>
      </c>
      <c r="K12" s="198" t="n"/>
      <c r="L12" s="198" t="n"/>
    </row>
    <row r="13" s="199">
      <c r="A13" s="198" t="n"/>
      <c r="B13" s="233" t="inlineStr">
        <is>
          <t>Всего по объекту:</t>
        </is>
      </c>
      <c r="C13" s="312" t="n"/>
      <c r="D13" s="312" t="n"/>
      <c r="E13" s="313" t="n"/>
      <c r="F13" s="208">
        <f>SUM(F12:F12)</f>
        <v/>
      </c>
      <c r="G13" s="208">
        <f>SUM(G12:G12)</f>
        <v/>
      </c>
      <c r="H13" s="208">
        <f>SUM(H12:H12)</f>
        <v/>
      </c>
      <c r="I13" s="208">
        <f>SUM(I12:I12)</f>
        <v/>
      </c>
      <c r="J13" s="208">
        <f>SUM(J12:J12)</f>
        <v/>
      </c>
      <c r="K13" s="198" t="n"/>
      <c r="L13" s="198" t="n"/>
    </row>
    <row r="14" ht="28.5" customHeight="1" s="199">
      <c r="A14" s="198" t="n"/>
      <c r="B14" s="233" t="inlineStr">
        <is>
          <t>Всего по объекту в сопоставимом уровне цен 3 кв. 2021 г:</t>
        </is>
      </c>
      <c r="C14" s="312" t="n"/>
      <c r="D14" s="312" t="n"/>
      <c r="E14" s="313" t="n"/>
      <c r="F14" s="208">
        <f>F13</f>
        <v/>
      </c>
      <c r="G14" s="208">
        <f>G13</f>
        <v/>
      </c>
      <c r="H14" s="208">
        <f>H13</f>
        <v/>
      </c>
      <c r="I14" s="208">
        <f>I13</f>
        <v/>
      </c>
      <c r="J14" s="208">
        <f>J13</f>
        <v/>
      </c>
      <c r="K14" s="198" t="n"/>
      <c r="L14" s="198" t="n"/>
    </row>
    <row r="15" ht="15" customHeight="1" s="199"/>
    <row r="16" ht="15" customHeight="1" s="199"/>
    <row r="17" ht="15" customHeight="1" s="199"/>
    <row r="18" ht="15" customHeight="1" s="199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9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9">
      <c r="C20" s="4" t="n"/>
      <c r="D20" s="12" t="n"/>
      <c r="E20" s="12" t="n"/>
    </row>
    <row r="21" ht="15" customHeight="1" s="199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9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3"/>
  <sheetViews>
    <sheetView view="pageBreakPreview" topLeftCell="A49" zoomScale="70" workbookViewId="0">
      <selection activeCell="C71" sqref="C71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hidden="1" style="198" min="9" max="10"/>
    <col hidden="1" width="15" customWidth="1" style="198" min="11" max="11"/>
    <col hidden="1" style="198" min="12" max="12"/>
    <col hidden="1" style="199" min="13" max="13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9">
      <c r="A4" s="175" t="n"/>
      <c r="B4" s="175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9" t="inlineStr">
        <is>
          <t>Наименование разрабатываемого показателя УНЦ -  ОПН на три фазы с устройством фундамента напряжение 500 кВ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 s="199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3" t="n"/>
    </row>
    <row r="9" ht="40.5" customHeight="1" s="199">
      <c r="A9" s="315" t="n"/>
      <c r="B9" s="315" t="n"/>
      <c r="C9" s="315" t="n"/>
      <c r="D9" s="315" t="n"/>
      <c r="E9" s="315" t="n"/>
      <c r="F9" s="315" t="n"/>
      <c r="G9" s="234" t="inlineStr">
        <is>
          <t>на ед.изм.</t>
        </is>
      </c>
      <c r="H9" s="234" t="inlineStr">
        <is>
          <t>общая</t>
        </is>
      </c>
    </row>
    <row r="10">
      <c r="A10" s="202" t="n">
        <v>1</v>
      </c>
      <c r="B10" s="202" t="n"/>
      <c r="C10" s="202" t="n">
        <v>2</v>
      </c>
      <c r="D10" s="202" t="inlineStr">
        <is>
          <t>З</t>
        </is>
      </c>
      <c r="E10" s="202" t="n">
        <v>4</v>
      </c>
      <c r="F10" s="202" t="n">
        <v>5</v>
      </c>
      <c r="G10" s="202" t="n">
        <v>6</v>
      </c>
      <c r="H10" s="202" t="n">
        <v>7</v>
      </c>
    </row>
    <row r="11" customFormat="1" s="152">
      <c r="A11" s="236" t="inlineStr">
        <is>
          <t>Затраты труда рабочих</t>
        </is>
      </c>
      <c r="B11" s="312" t="n"/>
      <c r="C11" s="312" t="n"/>
      <c r="D11" s="312" t="n"/>
      <c r="E11" s="313" t="n"/>
      <c r="F11" s="171">
        <f>SUM(F12:F19)</f>
        <v/>
      </c>
      <c r="G11" s="10" t="n"/>
      <c r="H11" s="171">
        <f>SUM(H12:H19)</f>
        <v/>
      </c>
    </row>
    <row r="12">
      <c r="A12" s="174" t="n">
        <v>1</v>
      </c>
      <c r="B12" s="155" t="n"/>
      <c r="C12" s="166" t="inlineStr">
        <is>
          <t>1-4-9</t>
        </is>
      </c>
      <c r="D12" s="167" t="inlineStr">
        <is>
          <t>Затраты труда рабочих (ср 4,9)</t>
        </is>
      </c>
      <c r="E12" s="265" t="inlineStr">
        <is>
          <t>чел.-ч</t>
        </is>
      </c>
      <c r="F12" s="169" t="n">
        <v>887.83</v>
      </c>
      <c r="G12" s="170" t="n">
        <v>10.94</v>
      </c>
      <c r="H12" s="170">
        <f>ROUND(F12*G12,2)</f>
        <v/>
      </c>
      <c r="I12" s="198" t="n">
        <v>4.9</v>
      </c>
      <c r="J12" s="198">
        <f>I12*F12</f>
        <v/>
      </c>
    </row>
    <row r="13">
      <c r="A13" s="174" t="n">
        <v>2</v>
      </c>
      <c r="B13" s="155" t="n"/>
      <c r="C13" s="166" t="inlineStr">
        <is>
          <t>1-4-1</t>
        </is>
      </c>
      <c r="D13" s="167" t="inlineStr">
        <is>
          <t>Затраты труда рабочих (ср 4,1)</t>
        </is>
      </c>
      <c r="E13" s="265" t="inlineStr">
        <is>
          <t>чел.-ч</t>
        </is>
      </c>
      <c r="F13" s="169" t="n">
        <v>234.21</v>
      </c>
      <c r="G13" s="170" t="n">
        <v>9.76</v>
      </c>
      <c r="H13" s="170">
        <f>ROUND(F13*G13,2)</f>
        <v/>
      </c>
      <c r="I13" s="198" t="n">
        <v>4.1</v>
      </c>
      <c r="J13" s="198">
        <f>I13*F13</f>
        <v/>
      </c>
    </row>
    <row r="14">
      <c r="A14" s="174" t="n">
        <v>3</v>
      </c>
      <c r="B14" s="155" t="n"/>
      <c r="C14" s="166" t="inlineStr">
        <is>
          <t>1-4-0</t>
        </is>
      </c>
      <c r="D14" s="167" t="inlineStr">
        <is>
          <t>Затраты труда рабочих (ср 4)</t>
        </is>
      </c>
      <c r="E14" s="265" t="inlineStr">
        <is>
          <t>чел.-ч</t>
        </is>
      </c>
      <c r="F14" s="169" t="n">
        <v>216.66</v>
      </c>
      <c r="G14" s="170" t="n">
        <v>9.619999999999999</v>
      </c>
      <c r="H14" s="170">
        <f>ROUND(F14*G14,2)</f>
        <v/>
      </c>
      <c r="I14" s="198" t="n">
        <v>4</v>
      </c>
      <c r="J14" s="198">
        <f>I14*F14</f>
        <v/>
      </c>
    </row>
    <row r="15">
      <c r="A15" s="174" t="n">
        <v>4</v>
      </c>
      <c r="B15" s="155" t="n"/>
      <c r="C15" s="166" t="inlineStr">
        <is>
          <t>1-3-4</t>
        </is>
      </c>
      <c r="D15" s="167" t="inlineStr">
        <is>
          <t>Затраты труда рабочих (ср 3,4)</t>
        </is>
      </c>
      <c r="E15" s="265" t="inlineStr">
        <is>
          <t>чел.-ч</t>
        </is>
      </c>
      <c r="F15" s="169" t="n">
        <v>34.9</v>
      </c>
      <c r="G15" s="170" t="n">
        <v>8.970000000000001</v>
      </c>
      <c r="H15" s="170">
        <f>ROUND(F15*G15,2)</f>
        <v/>
      </c>
      <c r="I15" s="198" t="n">
        <v>3.4</v>
      </c>
      <c r="J15" s="198">
        <f>I15*F15</f>
        <v/>
      </c>
    </row>
    <row r="16">
      <c r="A16" s="174" t="n">
        <v>5</v>
      </c>
      <c r="B16" s="155" t="n"/>
      <c r="C16" s="166" t="inlineStr">
        <is>
          <t>1-3-9</t>
        </is>
      </c>
      <c r="D16" s="167" t="inlineStr">
        <is>
          <t>Затраты труда рабочих (ср 3,9)</t>
        </is>
      </c>
      <c r="E16" s="265" t="inlineStr">
        <is>
          <t>чел.-ч</t>
        </is>
      </c>
      <c r="F16" s="169" t="n">
        <v>6.42</v>
      </c>
      <c r="G16" s="170" t="n">
        <v>9.51</v>
      </c>
      <c r="H16" s="170">
        <f>ROUND(F16*G16,2)</f>
        <v/>
      </c>
      <c r="I16" s="198" t="n">
        <v>3.9</v>
      </c>
      <c r="J16" s="198">
        <f>I16*F16</f>
        <v/>
      </c>
    </row>
    <row r="17">
      <c r="A17" s="174" t="n">
        <v>6</v>
      </c>
      <c r="B17" s="155" t="n"/>
      <c r="C17" s="166" t="inlineStr">
        <is>
          <t>1-2-2</t>
        </is>
      </c>
      <c r="D17" s="167" t="inlineStr">
        <is>
          <t>Затраты труда рабочих (ср 2,2)</t>
        </is>
      </c>
      <c r="E17" s="265" t="inlineStr">
        <is>
          <t>чел.-ч</t>
        </is>
      </c>
      <c r="F17" s="169" t="n">
        <v>4.21</v>
      </c>
      <c r="G17" s="170" t="n">
        <v>7.94</v>
      </c>
      <c r="H17" s="170">
        <f>ROUND(F17*G17,2)</f>
        <v/>
      </c>
      <c r="I17" s="198" t="n">
        <v>2.2</v>
      </c>
      <c r="J17" s="198">
        <f>I17*F17</f>
        <v/>
      </c>
    </row>
    <row r="18">
      <c r="A18" s="174" t="n">
        <v>7</v>
      </c>
      <c r="B18" s="155" t="n"/>
      <c r="C18" s="166" t="inlineStr">
        <is>
          <t>1-3-8</t>
        </is>
      </c>
      <c r="D18" s="167" t="inlineStr">
        <is>
          <t>Затраты труда рабочих (ср 3,8)</t>
        </is>
      </c>
      <c r="E18" s="265" t="inlineStr">
        <is>
          <t>чел.-ч</t>
        </is>
      </c>
      <c r="F18" s="169" t="n">
        <v>2.66</v>
      </c>
      <c r="G18" s="170" t="n">
        <v>9.4</v>
      </c>
      <c r="H18" s="170">
        <f>ROUND(F18*G18,2)</f>
        <v/>
      </c>
      <c r="I18" s="198" t="n">
        <v>3.8</v>
      </c>
      <c r="J18" s="198">
        <f>I18*F18</f>
        <v/>
      </c>
    </row>
    <row r="19">
      <c r="A19" s="174" t="n">
        <v>8</v>
      </c>
      <c r="B19" s="155" t="n"/>
      <c r="C19" s="166" t="inlineStr">
        <is>
          <t>1-3-5</t>
        </is>
      </c>
      <c r="D19" s="167" t="inlineStr">
        <is>
          <t>Затраты труда рабочих (ср 3,5)</t>
        </is>
      </c>
      <c r="E19" s="265" t="inlineStr">
        <is>
          <t>чел.-ч</t>
        </is>
      </c>
      <c r="F19" s="169" t="n">
        <v>0.14</v>
      </c>
      <c r="G19" s="170" t="n">
        <v>9.07</v>
      </c>
      <c r="H19" s="170">
        <f>ROUND(F19*G19,2)</f>
        <v/>
      </c>
      <c r="I19" s="198" t="n">
        <v>3.5</v>
      </c>
      <c r="J19" s="198">
        <f>I19*F19</f>
        <v/>
      </c>
    </row>
    <row r="20">
      <c r="A20" s="235" t="inlineStr">
        <is>
          <t>Затраты труда машинистов</t>
        </is>
      </c>
      <c r="B20" s="312" t="n"/>
      <c r="C20" s="312" t="n"/>
      <c r="D20" s="312" t="n"/>
      <c r="E20" s="313" t="n"/>
      <c r="F20" s="236" t="n"/>
      <c r="G20" s="153" t="n"/>
      <c r="H20" s="171">
        <f>H21</f>
        <v/>
      </c>
    </row>
    <row r="21">
      <c r="A21" s="265" t="n">
        <v>9</v>
      </c>
      <c r="B21" s="237" t="n"/>
      <c r="C21" s="166" t="n">
        <v>2</v>
      </c>
      <c r="D21" s="167" t="inlineStr">
        <is>
          <t>Затраты труда машинистов</t>
        </is>
      </c>
      <c r="E21" s="265" t="inlineStr">
        <is>
          <t>чел.-ч</t>
        </is>
      </c>
      <c r="F21" s="169" t="n">
        <v>789.87</v>
      </c>
      <c r="G21" s="170" t="n"/>
      <c r="H21" s="172" t="n">
        <v>9931.780000000001</v>
      </c>
      <c r="J21" s="198">
        <f>SUM(J12:J19)</f>
        <v/>
      </c>
    </row>
    <row r="22" customFormat="1" s="152">
      <c r="A22" s="236" t="inlineStr">
        <is>
          <t>Машины и механизмы</t>
        </is>
      </c>
      <c r="B22" s="312" t="n"/>
      <c r="C22" s="312" t="n"/>
      <c r="D22" s="312" t="n"/>
      <c r="E22" s="313" t="n"/>
      <c r="F22" s="236" t="n"/>
      <c r="G22" s="153" t="n"/>
      <c r="H22" s="171">
        <f>SUM(H23:H35)</f>
        <v/>
      </c>
    </row>
    <row r="23">
      <c r="A23" s="265" t="n">
        <v>10</v>
      </c>
      <c r="B23" s="237" t="n"/>
      <c r="C23" s="166" t="inlineStr">
        <is>
          <t>91.21.22-447</t>
        </is>
      </c>
      <c r="D23" s="167" t="inlineStr">
        <is>
          <t>Установки электрометаллизационные</t>
        </is>
      </c>
      <c r="E23" s="265" t="inlineStr">
        <is>
          <t>маш.час</t>
        </is>
      </c>
      <c r="F23" s="265" t="n">
        <v>302.38</v>
      </c>
      <c r="G23" s="173" t="n">
        <v>74.23999999999999</v>
      </c>
      <c r="H23" s="170">
        <f>ROUND(F23*G23,2)</f>
        <v/>
      </c>
      <c r="I23" s="158">
        <f>H23/$H$22</f>
        <v/>
      </c>
      <c r="J23" s="176">
        <f>J21/F11</f>
        <v/>
      </c>
      <c r="L23" s="158">
        <f>H23/$H$22</f>
        <v/>
      </c>
    </row>
    <row r="24" ht="25.5" customFormat="1" customHeight="1" s="152">
      <c r="A24" s="265" t="n">
        <v>11</v>
      </c>
      <c r="B24" s="237" t="n"/>
      <c r="C24" s="166" t="inlineStr">
        <is>
          <t>91.05.05-015</t>
        </is>
      </c>
      <c r="D24" s="167" t="inlineStr">
        <is>
          <t>Краны на автомобильном ходу, грузоподъемность 16 т</t>
        </is>
      </c>
      <c r="E24" s="265" t="inlineStr">
        <is>
          <t>маш.час</t>
        </is>
      </c>
      <c r="F24" s="265" t="n">
        <v>120.47</v>
      </c>
      <c r="G24" s="173" t="n">
        <v>115.4</v>
      </c>
      <c r="H24" s="170">
        <f>ROUND(F24*G24,2)</f>
        <v/>
      </c>
      <c r="I24" s="158">
        <f>H24/$H$22</f>
        <v/>
      </c>
      <c r="L24" s="158">
        <f>H24/$H$22</f>
        <v/>
      </c>
    </row>
    <row r="25">
      <c r="A25" s="265" t="n">
        <v>12</v>
      </c>
      <c r="B25" s="237" t="n"/>
      <c r="C25" s="166" t="inlineStr">
        <is>
          <t>91.14.02-001</t>
        </is>
      </c>
      <c r="D25" s="167" t="inlineStr">
        <is>
          <t>Автомобили бортовые, грузоподъемность до 5 т</t>
        </is>
      </c>
      <c r="E25" s="265" t="inlineStr">
        <is>
          <t>маш.час</t>
        </is>
      </c>
      <c r="F25" s="265" t="n">
        <v>41.38</v>
      </c>
      <c r="G25" s="173" t="n">
        <v>65.70999999999999</v>
      </c>
      <c r="H25" s="170">
        <f>ROUND(F25*G25,2)</f>
        <v/>
      </c>
      <c r="I25" s="158">
        <f>H25/$H$22</f>
        <v/>
      </c>
      <c r="L25" s="158" t="n"/>
    </row>
    <row r="26" ht="25.5" customHeight="1" s="199">
      <c r="A26" s="265" t="n">
        <v>13</v>
      </c>
      <c r="B26" s="237" t="n"/>
      <c r="C26" s="166" t="inlineStr">
        <is>
          <t>91.17.04-036</t>
        </is>
      </c>
      <c r="D26" s="167" t="inlineStr">
        <is>
          <t>Агрегаты сварочные передвижные с дизельным двигателем, номинальный сварочный ток 250-400 А</t>
        </is>
      </c>
      <c r="E26" s="265" t="inlineStr">
        <is>
          <t>маш.час</t>
        </is>
      </c>
      <c r="F26" s="265" t="n">
        <v>56.73</v>
      </c>
      <c r="G26" s="173" t="n">
        <v>14</v>
      </c>
      <c r="H26" s="170">
        <f>ROUND(F26*G26,2)</f>
        <v/>
      </c>
      <c r="I26" s="158">
        <f>H26/$H$22</f>
        <v/>
      </c>
      <c r="L26" s="158" t="n"/>
    </row>
    <row r="27">
      <c r="A27" s="265" t="n">
        <v>14</v>
      </c>
      <c r="B27" s="237" t="n"/>
      <c r="C27" s="166" t="inlineStr">
        <is>
          <t>91.06.06-042</t>
        </is>
      </c>
      <c r="D27" s="167" t="inlineStr">
        <is>
          <t>Подъемники гидравлические, высота подъема 10 м</t>
        </is>
      </c>
      <c r="E27" s="265" t="inlineStr">
        <is>
          <t>маш.час</t>
        </is>
      </c>
      <c r="F27" s="265" t="n">
        <v>19.02</v>
      </c>
      <c r="G27" s="173" t="n">
        <v>29.6</v>
      </c>
      <c r="H27" s="170">
        <f>ROUND(F27*G27,2)</f>
        <v/>
      </c>
      <c r="I27" s="158">
        <f>H27/$H$22</f>
        <v/>
      </c>
      <c r="L27" s="158" t="n"/>
    </row>
    <row r="28">
      <c r="A28" s="265" t="n">
        <v>15</v>
      </c>
      <c r="B28" s="237" t="n"/>
      <c r="C28" s="166" t="inlineStr">
        <is>
          <t>91.06.05-011</t>
        </is>
      </c>
      <c r="D28" s="167" t="inlineStr">
        <is>
          <t>Погрузчики, грузоподъемность 5 т</t>
        </is>
      </c>
      <c r="E28" s="265" t="inlineStr">
        <is>
          <t>маш.час</t>
        </is>
      </c>
      <c r="F28" s="265" t="n">
        <v>3.22</v>
      </c>
      <c r="G28" s="173" t="n">
        <v>89.98999999999999</v>
      </c>
      <c r="H28" s="170">
        <f>ROUND(F28*G28,2)</f>
        <v/>
      </c>
      <c r="I28" s="158">
        <f>H28/$H$22</f>
        <v/>
      </c>
      <c r="L28" s="158" t="n"/>
    </row>
    <row r="29" ht="25.5" customHeight="1" s="199">
      <c r="A29" s="265" t="n">
        <v>16</v>
      </c>
      <c r="B29" s="237" t="n"/>
      <c r="C29" s="166" t="inlineStr">
        <is>
          <t>91.17.04-233</t>
        </is>
      </c>
      <c r="D29" s="167" t="inlineStr">
        <is>
          <t>Установки для сварки ручной дуговой (постоянного тока)</t>
        </is>
      </c>
      <c r="E29" s="265" t="inlineStr">
        <is>
          <t>маш.час</t>
        </is>
      </c>
      <c r="F29" s="265" t="n">
        <v>23.1</v>
      </c>
      <c r="G29" s="173" t="n">
        <v>8.1</v>
      </c>
      <c r="H29" s="170">
        <f>ROUND(F29*G29,2)</f>
        <v/>
      </c>
      <c r="I29" s="158">
        <f>H29/$H$22</f>
        <v/>
      </c>
    </row>
    <row r="30">
      <c r="A30" s="265" t="n">
        <v>17</v>
      </c>
      <c r="B30" s="237" t="n"/>
      <c r="C30" s="166" t="inlineStr">
        <is>
          <t>91.14.02-002</t>
        </is>
      </c>
      <c r="D30" s="167" t="inlineStr">
        <is>
          <t>Автомобили бортовые, грузоподъемность до 8 т</t>
        </is>
      </c>
      <c r="E30" s="265" t="inlineStr">
        <is>
          <t>маш.час</t>
        </is>
      </c>
      <c r="F30" s="265" t="n">
        <v>0.68</v>
      </c>
      <c r="G30" s="173" t="n">
        <v>85.84</v>
      </c>
      <c r="H30" s="170">
        <f>ROUND(F30*G30,2)</f>
        <v/>
      </c>
    </row>
    <row r="31" ht="25.5" customHeight="1" s="199">
      <c r="A31" s="265" t="n">
        <v>18</v>
      </c>
      <c r="B31" s="237" t="n"/>
      <c r="C31" s="166" t="inlineStr">
        <is>
          <t>91.06.05-057</t>
        </is>
      </c>
      <c r="D31" s="167" t="inlineStr">
        <is>
          <t>Погрузчики одноковшовые универсальные фронтальные пневмоколесные, грузоподъемность 3 т</t>
        </is>
      </c>
      <c r="E31" s="265" t="inlineStr">
        <is>
          <t>маш.час</t>
        </is>
      </c>
      <c r="F31" s="265" t="n">
        <v>0.35</v>
      </c>
      <c r="G31" s="173" t="n">
        <v>90.40000000000001</v>
      </c>
      <c r="H31" s="170">
        <f>ROUND(F31*G31,2)</f>
        <v/>
      </c>
    </row>
    <row r="32">
      <c r="A32" s="265" t="n">
        <v>19</v>
      </c>
      <c r="B32" s="237" t="n"/>
      <c r="C32" s="166" t="inlineStr">
        <is>
          <t>91.08.04-021</t>
        </is>
      </c>
      <c r="D32" s="167" t="inlineStr">
        <is>
          <t>Котлы битумные передвижные 400 л</t>
        </is>
      </c>
      <c r="E32" s="265" t="inlineStr">
        <is>
          <t>маш.час</t>
        </is>
      </c>
      <c r="F32" s="265" t="n">
        <v>0.59</v>
      </c>
      <c r="G32" s="173" t="n">
        <v>30</v>
      </c>
      <c r="H32" s="170">
        <f>ROUND(F32*G32,2)</f>
        <v/>
      </c>
    </row>
    <row r="33" ht="25.5" customHeight="1" s="199">
      <c r="A33" s="265" t="n">
        <v>20</v>
      </c>
      <c r="B33" s="237" t="n"/>
      <c r="C33" s="166" t="inlineStr">
        <is>
          <t>91.08.09-024</t>
        </is>
      </c>
      <c r="D33" s="167" t="inlineStr">
        <is>
          <t>Трамбовки пневматические при работе от стационарного компрессора</t>
        </is>
      </c>
      <c r="E33" s="265" t="inlineStr">
        <is>
          <t>маш.час</t>
        </is>
      </c>
      <c r="F33" s="265" t="n">
        <v>1.98</v>
      </c>
      <c r="G33" s="173" t="n">
        <v>4.91</v>
      </c>
      <c r="H33" s="170">
        <f>ROUND(F33*G33,2)</f>
        <v/>
      </c>
    </row>
    <row r="34" ht="25.5" customHeight="1" s="199">
      <c r="A34" s="265" t="n">
        <v>21</v>
      </c>
      <c r="B34" s="237" t="n"/>
      <c r="C34" s="166" t="inlineStr">
        <is>
          <t>91.06.01-003</t>
        </is>
      </c>
      <c r="D34" s="167" t="inlineStr">
        <is>
          <t>Домкраты гидравлические, грузоподъемность 63-100 т</t>
        </is>
      </c>
      <c r="E34" s="265" t="inlineStr">
        <is>
          <t>маш.час</t>
        </is>
      </c>
      <c r="F34" s="265" t="n">
        <v>3.78</v>
      </c>
      <c r="G34" s="173" t="n">
        <v>0.9</v>
      </c>
      <c r="H34" s="170">
        <f>ROUND(F34*G34,2)</f>
        <v/>
      </c>
    </row>
    <row r="35" ht="25.5" customHeight="1" s="199">
      <c r="A35" s="265" t="n">
        <v>22</v>
      </c>
      <c r="B35" s="237" t="n"/>
      <c r="C35" s="166" t="inlineStr">
        <is>
          <t>91.21.01-012</t>
        </is>
      </c>
      <c r="D35" s="167" t="inlineStr">
        <is>
          <t>Агрегаты окрасочные высокого давления для окраски поверхностей конструкций, мощность 1 кВт</t>
        </is>
      </c>
      <c r="E35" s="265" t="inlineStr">
        <is>
          <t>маш.час</t>
        </is>
      </c>
      <c r="F35" s="265" t="n">
        <v>0.27</v>
      </c>
      <c r="G35" s="173" t="n">
        <v>6.82</v>
      </c>
      <c r="H35" s="170">
        <f>ROUND(F35*G35,2)</f>
        <v/>
      </c>
    </row>
    <row r="36" ht="15" customHeight="1" s="199">
      <c r="A36" s="235" t="inlineStr">
        <is>
          <t>Оборудование</t>
        </is>
      </c>
      <c r="B36" s="312" t="n"/>
      <c r="C36" s="312" t="n"/>
      <c r="D36" s="312" t="n"/>
      <c r="E36" s="313" t="n"/>
      <c r="F36" s="10" t="n"/>
      <c r="G36" s="10" t="n"/>
      <c r="H36" s="171">
        <f>SUM(H37:H37)</f>
        <v/>
      </c>
    </row>
    <row r="37" ht="15" customHeight="1" s="199">
      <c r="A37" s="174" t="n">
        <v>23</v>
      </c>
      <c r="B37" s="235" t="n"/>
      <c r="C37" s="166" t="inlineStr">
        <is>
          <t>Прайс из СД ОП</t>
        </is>
      </c>
      <c r="D37" s="167" t="inlineStr">
        <is>
          <t>ОПН 500кВ</t>
        </is>
      </c>
      <c r="E37" s="265" t="inlineStr">
        <is>
          <t>шт</t>
        </is>
      </c>
      <c r="F37" s="265" t="n">
        <v>9</v>
      </c>
      <c r="G37" s="170" t="n">
        <v>207665.18</v>
      </c>
      <c r="H37" s="170" t="n">
        <v>1868986.62</v>
      </c>
      <c r="I37" s="177">
        <f>H37/H36</f>
        <v/>
      </c>
      <c r="K37" t="n">
        <v>5842962.7438</v>
      </c>
    </row>
    <row r="38">
      <c r="A38" s="236" t="inlineStr">
        <is>
          <t>Материалы</t>
        </is>
      </c>
      <c r="B38" s="312" t="n"/>
      <c r="C38" s="312" t="n"/>
      <c r="D38" s="312" t="n"/>
      <c r="E38" s="313" t="n"/>
      <c r="F38" s="236" t="n"/>
      <c r="G38" s="153" t="n"/>
      <c r="H38" s="171">
        <f>SUM(H39:H66)</f>
        <v/>
      </c>
    </row>
    <row r="39" ht="25.5" customHeight="1" s="199">
      <c r="A39" s="174" t="n">
        <v>24</v>
      </c>
      <c r="B39" s="237" t="n"/>
      <c r="C39" s="166" t="inlineStr">
        <is>
          <t>07.2.07.04-0004</t>
        </is>
      </c>
      <c r="D39" s="167" t="inlineStr">
        <is>
          <t>Конструкции стальные индивидуальные решетчатые сварные, масса 0,5-1 т</t>
        </is>
      </c>
      <c r="E39" s="265" t="inlineStr">
        <is>
          <t>т</t>
        </is>
      </c>
      <c r="F39" s="265" t="n">
        <v>14.40558</v>
      </c>
      <c r="G39" s="170" t="n">
        <v>10480</v>
      </c>
      <c r="H39" s="170">
        <f>ROUND(F39*G39,2)</f>
        <v/>
      </c>
      <c r="I39" s="177">
        <f>H39/$H$38</f>
        <v/>
      </c>
      <c r="K39" s="158">
        <f>H39/$H$38</f>
        <v/>
      </c>
    </row>
    <row r="40" ht="25.5" customHeight="1" s="199">
      <c r="A40" s="174" t="n">
        <v>25</v>
      </c>
      <c r="B40" s="237" t="n"/>
      <c r="C40" s="166" t="inlineStr">
        <is>
          <t>05.1.02.05-0016</t>
        </is>
      </c>
      <c r="D40" s="167" t="inlineStr">
        <is>
          <t>Лежни железобетонные ЛЖ-8,4, бетон B15, объем 0,91 м3, расход арматуры 234,8 кг</t>
        </is>
      </c>
      <c r="E40" s="265" t="inlineStr">
        <is>
          <t>шт</t>
        </is>
      </c>
      <c r="F40" s="265" t="n">
        <v>9</v>
      </c>
      <c r="G40" s="170" t="n">
        <v>2738.54</v>
      </c>
      <c r="H40" s="170">
        <f>ROUND(F40*G40,2)</f>
        <v/>
      </c>
      <c r="I40" s="177">
        <f>H40/$H$38</f>
        <v/>
      </c>
      <c r="K40" s="158">
        <f>H40/$H$38</f>
        <v/>
      </c>
    </row>
    <row r="41" ht="25.5" customHeight="1" s="199">
      <c r="A41" s="174" t="n">
        <v>26</v>
      </c>
      <c r="B41" s="237" t="n"/>
      <c r="C41" s="166" t="inlineStr">
        <is>
          <t>10.1.02.03-0001</t>
        </is>
      </c>
      <c r="D41" s="167" t="inlineStr">
        <is>
          <t>Проволока алюминиевая, марка АМЦ, диаметр 1,4-1,8 мм</t>
        </is>
      </c>
      <c r="E41" s="265" t="inlineStr">
        <is>
          <t>т</t>
        </is>
      </c>
      <c r="F41" s="265" t="n">
        <v>0.4857338</v>
      </c>
      <c r="G41" s="170" t="n">
        <v>30090</v>
      </c>
      <c r="H41" s="170">
        <f>ROUND(F41*G41,2)</f>
        <v/>
      </c>
      <c r="I41" s="177">
        <f>H41/$H$38</f>
        <v/>
      </c>
    </row>
    <row r="42" ht="25.5" customHeight="1" s="199">
      <c r="A42" s="174" t="n">
        <v>27</v>
      </c>
      <c r="B42" s="237" t="n"/>
      <c r="C42" s="166" t="inlineStr">
        <is>
          <t>21.2.01.02-0094</t>
        </is>
      </c>
      <c r="D42" s="167" t="inlineStr">
        <is>
          <t>Провод неизолированный для воздушных линий электропередачи АС 300/39</t>
        </is>
      </c>
      <c r="E42" s="265" t="inlineStr">
        <is>
          <t>т</t>
        </is>
      </c>
      <c r="F42" s="265" t="n">
        <v>0.062351</v>
      </c>
      <c r="G42" s="170" t="n">
        <v>32758.86</v>
      </c>
      <c r="H42" s="170">
        <f>ROUND(F42*G42,2)</f>
        <v/>
      </c>
      <c r="I42" s="177">
        <f>H42/$H$38</f>
        <v/>
      </c>
    </row>
    <row r="43" ht="25.5" customHeight="1" s="199">
      <c r="A43" s="174" t="n">
        <v>28</v>
      </c>
      <c r="B43" s="237" t="n"/>
      <c r="C43" s="166" t="inlineStr">
        <is>
          <t>08.3.07.01-0076</t>
        </is>
      </c>
      <c r="D43" s="167" t="inlineStr">
        <is>
          <t>Прокат полосовой, горячекатаный, марка стали Ст3сп, ширина 50-200 мм, толщина 4-5 мм</t>
        </is>
      </c>
      <c r="E43" s="265" t="inlineStr">
        <is>
          <t>т</t>
        </is>
      </c>
      <c r="F43" s="265" t="n">
        <v>0.405</v>
      </c>
      <c r="G43" s="170" t="n">
        <v>5000</v>
      </c>
      <c r="H43" s="170">
        <f>ROUND(F43*G43,2)</f>
        <v/>
      </c>
      <c r="I43" s="177">
        <f>H43/$H$38</f>
        <v/>
      </c>
    </row>
    <row r="44">
      <c r="A44" s="174" t="n">
        <v>29</v>
      </c>
      <c r="B44" s="237" t="n"/>
      <c r="C44" s="166" t="inlineStr">
        <is>
          <t>01.7.11.07-0032</t>
        </is>
      </c>
      <c r="D44" s="167" t="inlineStr">
        <is>
          <t>Электроды сварочные Э42, диаметр 4 мм</t>
        </is>
      </c>
      <c r="E44" s="265" t="inlineStr">
        <is>
          <t>т</t>
        </is>
      </c>
      <c r="F44" s="265" t="n">
        <v>0.161622</v>
      </c>
      <c r="G44" s="170" t="n">
        <v>10315.01</v>
      </c>
      <c r="H44" s="170">
        <f>ROUND(F44*G44,2)</f>
        <v/>
      </c>
      <c r="I44" s="177">
        <f>H44/$H$38</f>
        <v/>
      </c>
    </row>
    <row r="45">
      <c r="A45" s="174" t="n">
        <v>30</v>
      </c>
      <c r="B45" s="237" t="n"/>
      <c r="C45" s="166" t="inlineStr">
        <is>
          <t>20.1.01.02-0066</t>
        </is>
      </c>
      <c r="D45" s="167" t="inlineStr">
        <is>
          <t>Зажим аппаратный прессуемый: А4А-300-2</t>
        </is>
      </c>
      <c r="E45" s="265" t="inlineStr">
        <is>
          <t>100 шт</t>
        </is>
      </c>
      <c r="F45" s="265" t="n">
        <v>0.18</v>
      </c>
      <c r="G45" s="170" t="n">
        <v>6080</v>
      </c>
      <c r="H45" s="170">
        <f>ROUND(F45*G45,2)</f>
        <v/>
      </c>
      <c r="I45" s="177">
        <f>H45/$H$38</f>
        <v/>
      </c>
    </row>
    <row r="46">
      <c r="A46" s="174" t="n">
        <v>31</v>
      </c>
      <c r="B46" s="237" t="n"/>
      <c r="C46" s="166" t="inlineStr">
        <is>
          <t>14.4.02.09-0301</t>
        </is>
      </c>
      <c r="D46" s="167" t="inlineStr">
        <is>
          <t>Композиция антикоррозионная цинкнаполненная</t>
        </is>
      </c>
      <c r="E46" s="265" t="inlineStr">
        <is>
          <t>кг</t>
        </is>
      </c>
      <c r="F46" s="265" t="n">
        <v>4.587408</v>
      </c>
      <c r="G46" s="170" t="n">
        <v>238.48</v>
      </c>
      <c r="H46" s="170">
        <f>ROUND(F46*G46,2)</f>
        <v/>
      </c>
      <c r="I46" s="177">
        <f>H46/$H$38</f>
        <v/>
      </c>
    </row>
    <row r="47">
      <c r="A47" s="174" t="n">
        <v>32</v>
      </c>
      <c r="B47" s="237" t="n"/>
      <c r="C47" s="166" t="inlineStr">
        <is>
          <t>14.5.09.11-0102</t>
        </is>
      </c>
      <c r="D47" s="167" t="inlineStr">
        <is>
          <t>Уайт-спирит</t>
        </is>
      </c>
      <c r="E47" s="265" t="inlineStr">
        <is>
          <t>кг</t>
        </is>
      </c>
      <c r="F47" s="265" t="n">
        <v>160.839</v>
      </c>
      <c r="G47" s="170" t="n">
        <v>6.67</v>
      </c>
      <c r="H47" s="170">
        <f>ROUND(F47*G47,2)</f>
        <v/>
      </c>
      <c r="I47" s="177">
        <f>H47/$H$38</f>
        <v/>
      </c>
    </row>
    <row r="48">
      <c r="A48" s="174" t="n">
        <v>33</v>
      </c>
      <c r="B48" s="237" t="n"/>
      <c r="C48" s="166" t="inlineStr">
        <is>
          <t>01.7.15.03-0042</t>
        </is>
      </c>
      <c r="D48" s="167" t="inlineStr">
        <is>
          <t>Болты с гайками и шайбами строительные</t>
        </is>
      </c>
      <c r="E48" s="265" t="inlineStr">
        <is>
          <t>кг</t>
        </is>
      </c>
      <c r="F48" s="265" t="n">
        <v>72.90000000000001</v>
      </c>
      <c r="G48" s="170" t="n">
        <v>9.039999999999999</v>
      </c>
      <c r="H48" s="170">
        <f>ROUND(F48*G48,2)</f>
        <v/>
      </c>
      <c r="I48" s="177">
        <f>H48/$H$38</f>
        <v/>
      </c>
    </row>
    <row r="49">
      <c r="A49" s="174" t="n">
        <v>34</v>
      </c>
      <c r="B49" s="237" t="n"/>
      <c r="C49" s="166" t="inlineStr">
        <is>
          <t>02.2.05.04-1772</t>
        </is>
      </c>
      <c r="D49" s="167" t="inlineStr">
        <is>
          <t>Щебень М 600, фракция 20-40 мм, группа 2</t>
        </is>
      </c>
      <c r="E49" s="265" t="inlineStr">
        <is>
          <t>м3</t>
        </is>
      </c>
      <c r="F49" s="265" t="n">
        <v>5.6925</v>
      </c>
      <c r="G49" s="170" t="n">
        <v>114.13</v>
      </c>
      <c r="H49" s="170">
        <f>ROUND(F49*G49,2)</f>
        <v/>
      </c>
      <c r="I49" s="177">
        <f>H49/$H$38</f>
        <v/>
      </c>
    </row>
    <row r="50">
      <c r="A50" s="174" t="n">
        <v>35</v>
      </c>
      <c r="B50" s="237" t="n"/>
      <c r="C50" s="166" t="inlineStr">
        <is>
          <t>01.2.03.07-0001</t>
        </is>
      </c>
      <c r="D50" s="167" t="inlineStr">
        <is>
          <t>Композиция полимерно-битумная Гидроизол</t>
        </is>
      </c>
      <c r="E50" s="265" t="inlineStr">
        <is>
          <t>л</t>
        </is>
      </c>
      <c r="F50" s="265" t="n">
        <v>15.15</v>
      </c>
      <c r="G50" s="170" t="n">
        <v>42.83</v>
      </c>
      <c r="H50" s="170">
        <f>ROUND(F50*G50,2)</f>
        <v/>
      </c>
      <c r="I50" s="177">
        <f>H50/$H$38</f>
        <v/>
      </c>
    </row>
    <row r="51" ht="38.25" customHeight="1" s="199">
      <c r="A51" s="174" t="n">
        <v>36</v>
      </c>
      <c r="B51" s="237" t="n"/>
      <c r="C51" s="166" t="inlineStr">
        <is>
          <t>04.1.02.05-0011</t>
        </is>
      </c>
      <c r="D51" s="167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1" s="265" t="inlineStr">
        <is>
          <t>м3</t>
        </is>
      </c>
      <c r="F51" s="265" t="n">
        <v>8.19</v>
      </c>
      <c r="G51" s="170" t="n">
        <v>28.35</v>
      </c>
      <c r="H51" s="170">
        <f>ROUND(F51*G51,2)</f>
        <v/>
      </c>
      <c r="I51" s="177">
        <f>H51/$H$38</f>
        <v/>
      </c>
    </row>
    <row r="52">
      <c r="A52" s="174" t="n">
        <v>37</v>
      </c>
      <c r="B52" s="237" t="n"/>
      <c r="C52" s="166" t="inlineStr">
        <is>
          <t>08.3.07.01-0042</t>
        </is>
      </c>
      <c r="D52" s="167" t="inlineStr">
        <is>
          <t>Сталь полосовая: 40х4 мм, кипящая</t>
        </is>
      </c>
      <c r="E52" s="265" t="inlineStr">
        <is>
          <t>т</t>
        </is>
      </c>
      <c r="F52" s="265" t="n">
        <v>0.036288</v>
      </c>
      <c r="G52" s="170" t="n">
        <v>6200</v>
      </c>
      <c r="H52" s="170">
        <f>ROUND(F52*G52,2)</f>
        <v/>
      </c>
      <c r="I52" s="177">
        <f>H52/$H$38</f>
        <v/>
      </c>
    </row>
    <row r="53">
      <c r="A53" s="174" t="n">
        <v>38</v>
      </c>
      <c r="B53" s="237" t="n"/>
      <c r="C53" s="166" t="inlineStr">
        <is>
          <t>01.7.11.07-0034</t>
        </is>
      </c>
      <c r="D53" s="167" t="inlineStr">
        <is>
          <t>Электроды сварочные Э42А, диаметр 4 мм</t>
        </is>
      </c>
      <c r="E53" s="265" t="inlineStr">
        <is>
          <t>кг</t>
        </is>
      </c>
      <c r="F53" s="265" t="n">
        <v>19.9872</v>
      </c>
      <c r="G53" s="170" t="n">
        <v>10.57</v>
      </c>
      <c r="H53" s="170">
        <f>ROUND(F53*G53,2)</f>
        <v/>
      </c>
      <c r="I53" s="177">
        <f>H53/$H$38</f>
        <v/>
      </c>
    </row>
    <row r="54">
      <c r="A54" s="174" t="n">
        <v>39</v>
      </c>
      <c r="B54" s="237" t="n"/>
      <c r="C54" s="166" t="inlineStr">
        <is>
          <t>01.7.17.11-0003</t>
        </is>
      </c>
      <c r="D54" s="167" t="inlineStr">
        <is>
          <t>Бумага шлифовальная</t>
        </is>
      </c>
      <c r="E54" s="265" t="inlineStr">
        <is>
          <t>10 листов</t>
        </is>
      </c>
      <c r="F54" s="265" t="n">
        <v>4.5</v>
      </c>
      <c r="G54" s="170" t="n">
        <v>37.5</v>
      </c>
      <c r="H54" s="170">
        <f>ROUND(F54*G54,2)</f>
        <v/>
      </c>
      <c r="I54" s="177">
        <f>H54/$H$38</f>
        <v/>
      </c>
    </row>
    <row r="55">
      <c r="A55" s="174" t="n">
        <v>40</v>
      </c>
      <c r="B55" s="237" t="n"/>
      <c r="C55" s="166" t="inlineStr">
        <is>
          <t>14.2.01.05-0001</t>
        </is>
      </c>
      <c r="D55" s="167" t="inlineStr">
        <is>
          <t>Композиция на основе термопластичных полимеров</t>
        </is>
      </c>
      <c r="E55" s="265" t="inlineStr">
        <is>
          <t>кг</t>
        </is>
      </c>
      <c r="F55" s="265" t="n">
        <v>2.181816</v>
      </c>
      <c r="G55" s="170" t="n">
        <v>54.99</v>
      </c>
      <c r="H55" s="170">
        <f>ROUND(F55*G55,2)</f>
        <v/>
      </c>
      <c r="I55" s="177">
        <f>H55/$H$38</f>
        <v/>
      </c>
    </row>
    <row r="56">
      <c r="A56" s="174" t="n">
        <v>41</v>
      </c>
      <c r="B56" s="237" t="n"/>
      <c r="C56" s="166" t="inlineStr">
        <is>
          <t>01.2.03.05-0006</t>
        </is>
      </c>
      <c r="D56" s="167" t="inlineStr">
        <is>
          <t>Праймер битумно-полимерный ТЕХНОНИКОЛЬ №03</t>
        </is>
      </c>
      <c r="E56" s="265" t="inlineStr">
        <is>
          <t>л</t>
        </is>
      </c>
      <c r="F56" s="265" t="n">
        <v>9.09</v>
      </c>
      <c r="G56" s="170" t="n">
        <v>12.71</v>
      </c>
      <c r="H56" s="170">
        <f>ROUND(F56*G56,2)</f>
        <v/>
      </c>
      <c r="I56" s="177">
        <f>H56/$H$38</f>
        <v/>
      </c>
    </row>
    <row r="57">
      <c r="A57" s="174" t="n">
        <v>42</v>
      </c>
      <c r="B57" s="237" t="n"/>
      <c r="C57" s="166" t="inlineStr">
        <is>
          <t>01.7.20.08-0031</t>
        </is>
      </c>
      <c r="D57" s="167" t="inlineStr">
        <is>
          <t>Бязь суровая</t>
        </is>
      </c>
      <c r="E57" s="265" t="inlineStr">
        <is>
          <t>10 м2</t>
        </is>
      </c>
      <c r="F57" s="265" t="n">
        <v>1.377</v>
      </c>
      <c r="G57" s="170" t="n">
        <v>79.09999999999999</v>
      </c>
      <c r="H57" s="170">
        <f>ROUND(F57*G57,2)</f>
        <v/>
      </c>
      <c r="I57" s="177">
        <f>H57/$H$38</f>
        <v/>
      </c>
    </row>
    <row r="58">
      <c r="A58" s="174" t="n">
        <v>43</v>
      </c>
      <c r="B58" s="237" t="n"/>
      <c r="C58" s="166" t="inlineStr">
        <is>
          <t>14.4.02.09-0301</t>
        </is>
      </c>
      <c r="D58" s="167" t="inlineStr">
        <is>
          <t>Композиция антикоррозионная цинкнаполненная</t>
        </is>
      </c>
      <c r="E58" s="265" t="inlineStr">
        <is>
          <t>кг</t>
        </is>
      </c>
      <c r="F58" s="265" t="n">
        <v>0.3312</v>
      </c>
      <c r="G58" s="170" t="n">
        <v>238.48</v>
      </c>
      <c r="H58" s="170">
        <f>ROUND(F58*G58,2)</f>
        <v/>
      </c>
      <c r="I58" s="177">
        <f>H58/$H$38</f>
        <v/>
      </c>
    </row>
    <row r="59">
      <c r="A59" s="174" t="n">
        <v>44</v>
      </c>
      <c r="B59" s="237" t="n"/>
      <c r="C59" s="166" t="inlineStr">
        <is>
          <t>14.4.02.09-0001</t>
        </is>
      </c>
      <c r="D59" s="167" t="inlineStr">
        <is>
          <t>Краска</t>
        </is>
      </c>
      <c r="E59" s="265" t="inlineStr">
        <is>
          <t>кг</t>
        </is>
      </c>
      <c r="F59" s="265" t="n">
        <v>1.62</v>
      </c>
      <c r="G59" s="170" t="n">
        <v>28.6</v>
      </c>
      <c r="H59" s="170">
        <f>ROUND(F59*G59,2)</f>
        <v/>
      </c>
      <c r="I59" s="177">
        <f>H59/$H$38</f>
        <v/>
      </c>
    </row>
    <row r="60" ht="25.5" customHeight="1" s="199">
      <c r="A60" s="174" t="n">
        <v>45</v>
      </c>
      <c r="B60" s="237" t="n"/>
      <c r="C60" s="166" t="inlineStr">
        <is>
          <t>999-9950</t>
        </is>
      </c>
      <c r="D60" s="167" t="inlineStr">
        <is>
          <t>Вспомогательные ненормируемые ресурсы (2% от Оплаты труда рабочих)</t>
        </is>
      </c>
      <c r="E60" s="265" t="inlineStr">
        <is>
          <t>руб</t>
        </is>
      </c>
      <c r="F60" s="265" t="n">
        <v>42.20112</v>
      </c>
      <c r="G60" s="170" t="n">
        <v>1</v>
      </c>
      <c r="H60" s="170">
        <f>ROUND(F60*G60,2)</f>
        <v/>
      </c>
      <c r="I60" s="177">
        <f>H60/$H$38</f>
        <v/>
      </c>
    </row>
    <row r="61">
      <c r="A61" s="174" t="n">
        <v>46</v>
      </c>
      <c r="B61" s="237" t="n"/>
      <c r="C61" s="166" t="inlineStr">
        <is>
          <t>01.3.01.03-0002</t>
        </is>
      </c>
      <c r="D61" s="167" t="inlineStr">
        <is>
          <t>Керосин для технических целей</t>
        </is>
      </c>
      <c r="E61" s="265" t="inlineStr">
        <is>
          <t>т</t>
        </is>
      </c>
      <c r="F61" s="265" t="n">
        <v>0.007272</v>
      </c>
      <c r="G61" s="170" t="n">
        <v>2606.9</v>
      </c>
      <c r="H61" s="170">
        <f>ROUND(F61*G61,2)</f>
        <v/>
      </c>
      <c r="I61" s="177">
        <f>H61/$H$38</f>
        <v/>
      </c>
    </row>
    <row r="62">
      <c r="A62" s="174" t="n">
        <v>47</v>
      </c>
      <c r="B62" s="237" t="n"/>
      <c r="C62" s="166" t="inlineStr">
        <is>
          <t>14.5.09.07-0030</t>
        </is>
      </c>
      <c r="D62" s="167" t="inlineStr">
        <is>
          <t>Растворитель Р-4</t>
        </is>
      </c>
      <c r="E62" s="265" t="inlineStr">
        <is>
          <t>кг</t>
        </is>
      </c>
      <c r="F62" s="265" t="n">
        <v>0.5314680000000001</v>
      </c>
      <c r="G62" s="170" t="n">
        <v>9.42</v>
      </c>
      <c r="H62" s="170">
        <f>ROUND(F62*G62,2)</f>
        <v/>
      </c>
      <c r="I62" s="177">
        <f>H62/$H$38</f>
        <v/>
      </c>
    </row>
    <row r="63" ht="25.5" customHeight="1" s="199">
      <c r="A63" s="174" t="n">
        <v>48</v>
      </c>
      <c r="B63" s="237" t="n"/>
      <c r="C63" s="166" t="inlineStr">
        <is>
          <t>01.3.01.06-0050</t>
        </is>
      </c>
      <c r="D63" s="167" t="inlineStr">
        <is>
          <t>Смазка универсальная тугоплавкая УТ (консталин жировой)</t>
        </is>
      </c>
      <c r="E63" s="265" t="inlineStr">
        <is>
          <t>т</t>
        </is>
      </c>
      <c r="F63" s="265" t="n">
        <v>0.00024</v>
      </c>
      <c r="G63" s="170" t="n">
        <v>17500</v>
      </c>
      <c r="H63" s="170">
        <f>ROUND(F63*G63,2)</f>
        <v/>
      </c>
      <c r="I63" s="177">
        <f>H63/$H$38</f>
        <v/>
      </c>
    </row>
    <row r="64" ht="25.5" customFormat="1" customHeight="1" s="152">
      <c r="A64" s="174" t="n">
        <v>49</v>
      </c>
      <c r="B64" s="237" t="n"/>
      <c r="C64" s="166" t="inlineStr">
        <is>
          <t>08.3.05.02-0101</t>
        </is>
      </c>
      <c r="D64" s="167" t="inlineStr">
        <is>
          <t>Прокат толстолистовой горячекатаный в листах, марка стали ВСт3пс5, толщина 4-6 мм</t>
        </is>
      </c>
      <c r="E64" s="265" t="inlineStr">
        <is>
          <t>т</t>
        </is>
      </c>
      <c r="F64" s="265" t="n">
        <v>0.000576</v>
      </c>
      <c r="G64" s="170" t="n">
        <v>5763</v>
      </c>
      <c r="H64" s="170">
        <f>ROUND(F64*G64,2)</f>
        <v/>
      </c>
      <c r="I64" s="177">
        <f>H64/$H$38</f>
        <v/>
      </c>
    </row>
    <row r="65">
      <c r="A65" s="174" t="n">
        <v>50</v>
      </c>
      <c r="B65" s="237" t="n"/>
      <c r="C65" s="166" t="inlineStr">
        <is>
          <t>01.7.03.01-0001</t>
        </is>
      </c>
      <c r="D65" s="167" t="inlineStr">
        <is>
          <t>Вода</t>
        </is>
      </c>
      <c r="E65" s="265" t="inlineStr">
        <is>
          <t>м3</t>
        </is>
      </c>
      <c r="F65" s="265" t="n">
        <v>0.7425</v>
      </c>
      <c r="G65" s="170" t="n">
        <v>2.44</v>
      </c>
      <c r="H65" s="170">
        <f>ROUND(F65*G65,2)</f>
        <v/>
      </c>
      <c r="I65" s="177">
        <f>H65/$H$38</f>
        <v/>
      </c>
    </row>
    <row r="66">
      <c r="A66" s="174" t="n">
        <v>51</v>
      </c>
      <c r="B66" s="237" t="n"/>
      <c r="C66" s="166" t="inlineStr">
        <is>
          <t>01.7.20.08-0051</t>
        </is>
      </c>
      <c r="D66" s="167" t="inlineStr">
        <is>
          <t>Ветошь</t>
        </is>
      </c>
      <c r="E66" s="265" t="inlineStr">
        <is>
          <t>кг</t>
        </is>
      </c>
      <c r="F66" s="265" t="n">
        <v>0.0303</v>
      </c>
      <c r="G66" s="170" t="n">
        <v>1.82</v>
      </c>
      <c r="H66" s="170">
        <f>ROUND(F66*G66,2)</f>
        <v/>
      </c>
      <c r="I66" s="177">
        <f>H66/$H$38</f>
        <v/>
      </c>
      <c r="K66" s="158">
        <f>H66/$H$38</f>
        <v/>
      </c>
    </row>
    <row r="69">
      <c r="B69" s="198" t="inlineStr">
        <is>
          <t>Составил ______________________     Е. М. Добровольская</t>
        </is>
      </c>
    </row>
    <row r="70">
      <c r="B70" s="141" t="inlineStr">
        <is>
          <t xml:space="preserve">                         (подпись, инициалы, фамилия)</t>
        </is>
      </c>
    </row>
    <row r="72">
      <c r="B72" s="198" t="inlineStr">
        <is>
          <t>Проверил ______________________        А.В. Костянецкая</t>
        </is>
      </c>
    </row>
    <row r="73">
      <c r="B73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C8:C9"/>
    <mergeCell ref="A38:E38"/>
    <mergeCell ref="E8:E9"/>
    <mergeCell ref="F8:F9"/>
    <mergeCell ref="A2:H2"/>
    <mergeCell ref="A11:E11"/>
    <mergeCell ref="D8:D9"/>
    <mergeCell ref="B8:B9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5" sqref="B45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9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 s="199">
      <c r="B7" s="232" t="inlineStr">
        <is>
          <t>Наименование разрабатываемого показателя УНЦ — ОПН на три фазы с устройством фундамента напряжение 500 кВ</t>
        </is>
      </c>
    </row>
    <row r="8">
      <c r="B8" s="241" t="inlineStr">
        <is>
          <t>Единица измерения  — 1 ед</t>
        </is>
      </c>
    </row>
    <row r="9">
      <c r="B9" s="163" t="n"/>
      <c r="C9" s="4" t="n"/>
      <c r="D9" s="4" t="n"/>
      <c r="E9" s="4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0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0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0">
        <f>'Прил.5 Расчет СМР и ОБ'!J74</f>
        <v/>
      </c>
      <c r="D17" s="27">
        <f>C17/$C$24</f>
        <v/>
      </c>
      <c r="E17" s="27">
        <f>C17/$C$40</f>
        <v/>
      </c>
      <c r="G17" s="162" t="n"/>
    </row>
    <row r="18">
      <c r="B18" s="25" t="inlineStr">
        <is>
          <t>МАТЕРИАЛЫ, ВСЕГО:</t>
        </is>
      </c>
      <c r="C18" s="16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ОБ'!D77</f>
        <v/>
      </c>
      <c r="D23" s="27" t="n"/>
      <c r="E23" s="25" t="n"/>
    </row>
    <row r="24">
      <c r="B24" s="25" t="inlineStr">
        <is>
          <t>ВСЕГО СМР с НР и СП</t>
        </is>
      </c>
      <c r="C24" s="160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60">
        <f>'Прил.5 Расчет СМР и ОБ'!J41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60">
        <f>'Прил.5 Расчет СМР и ОБ'!J42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1" t="n"/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13982.96*9</f>
        <v/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38.2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6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0">
        <f>C40/'Прил.5 Расчет СМР и ОБ'!E81</f>
        <v/>
      </c>
      <c r="D41" s="25" t="n"/>
      <c r="E41" s="25" t="n"/>
    </row>
    <row r="42">
      <c r="B42" s="159" t="n"/>
      <c r="C42" s="4" t="n"/>
      <c r="D42" s="4" t="n"/>
      <c r="E42" s="4" t="n"/>
    </row>
    <row r="43">
      <c r="B43" s="159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9" t="n"/>
      <c r="C45" s="4" t="n"/>
      <c r="D45" s="4" t="n"/>
      <c r="E45" s="4" t="n"/>
    </row>
    <row r="46">
      <c r="B46" s="15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7"/>
  <sheetViews>
    <sheetView view="pageBreakPreview" topLeftCell="A47" zoomScaleSheetLayoutView="100" workbookViewId="0">
      <selection activeCell="B85" sqref="B8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9">
      <c r="H2" s="25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9" t="inlineStr">
        <is>
          <t>Расчет стоимости СМР и оборудования</t>
        </is>
      </c>
    </row>
    <row r="5" ht="12.75" customFormat="1" customHeight="1" s="4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22" t="inlineStr">
        <is>
          <t>ОПН на три фазы с устройством фундамента напряжение 500 кВ</t>
        </is>
      </c>
    </row>
    <row r="7" ht="12.75" customFormat="1" customHeight="1" s="4">
      <c r="A7" s="222" t="inlineStr">
        <is>
          <t>Единица измерения  — 1 ед</t>
        </is>
      </c>
      <c r="I7" s="232" t="n"/>
      <c r="J7" s="232" t="n"/>
    </row>
    <row r="8" ht="13.5" customFormat="1" customHeight="1" s="4">
      <c r="A8" s="222" t="n"/>
    </row>
    <row r="9" ht="13.15" customFormat="1" customHeight="1" s="4"/>
    <row r="10" ht="27" customHeight="1" s="199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3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 s="199">
      <c r="A11" s="315" t="n"/>
      <c r="B11" s="315" t="n"/>
      <c r="C11" s="315" t="n"/>
      <c r="D11" s="315" t="n"/>
      <c r="E11" s="315" t="n"/>
      <c r="F11" s="248" t="inlineStr">
        <is>
          <t>на ед. изм.</t>
        </is>
      </c>
      <c r="G11" s="248" t="inlineStr">
        <is>
          <t>общая</t>
        </is>
      </c>
      <c r="H11" s="315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12" t="n"/>
      <c r="N12" s="12" t="n"/>
    </row>
    <row r="13">
      <c r="A13" s="248" t="n"/>
      <c r="B13" s="235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83" t="n"/>
      <c r="J13" s="183" t="n"/>
    </row>
    <row r="14" ht="25.5" customHeight="1" s="199">
      <c r="A14" s="248" t="n">
        <v>1</v>
      </c>
      <c r="B14" s="184" t="inlineStr">
        <is>
          <t>1-4-6</t>
        </is>
      </c>
      <c r="C14" s="247" t="inlineStr">
        <is>
          <t>Затраты труда рабочих-строителей среднего разряда (4,6)</t>
        </is>
      </c>
      <c r="D14" s="248" t="inlineStr">
        <is>
          <t>чел.-ч.</t>
        </is>
      </c>
      <c r="E14" s="137">
        <f>G14/F14</f>
        <v/>
      </c>
      <c r="F14" s="32" t="n">
        <v>10.5</v>
      </c>
      <c r="G14" s="32" t="n">
        <v>14516.82</v>
      </c>
      <c r="H14" s="185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35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137">
        <f>SUM(E14:E14)</f>
        <v/>
      </c>
      <c r="F15" s="32" t="n"/>
      <c r="G15" s="32">
        <f>SUM(G14:G14)</f>
        <v/>
      </c>
      <c r="H15" s="251" t="n">
        <v>1</v>
      </c>
      <c r="I15" s="183" t="n"/>
      <c r="J15" s="32">
        <f>SUM(J14:J14)</f>
        <v/>
      </c>
    </row>
    <row r="16" ht="14.25" customFormat="1" customHeight="1" s="12">
      <c r="A16" s="248" t="n"/>
      <c r="B16" s="247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83" t="n"/>
      <c r="J16" s="183" t="n"/>
    </row>
    <row r="17" ht="14.25" customFormat="1" customHeight="1" s="12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137">
        <f>'Прил. 3'!F21</f>
        <v/>
      </c>
      <c r="F17" s="32">
        <f>G17/E17</f>
        <v/>
      </c>
      <c r="G17" s="32">
        <f>'Прил. 3'!H20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35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83" t="n"/>
      <c r="J18" s="183" t="n"/>
    </row>
    <row r="19" ht="14.25" customFormat="1" customHeight="1" s="12">
      <c r="A19" s="248" t="n"/>
      <c r="B19" s="247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83" t="n"/>
      <c r="J19" s="183" t="n"/>
    </row>
    <row r="20" ht="14.25" customFormat="1" customHeight="1" s="12">
      <c r="A20" s="248" t="n">
        <v>3</v>
      </c>
      <c r="B20" s="184" t="inlineStr">
        <is>
          <t>91.21.22-447</t>
        </is>
      </c>
      <c r="C20" s="247" t="inlineStr">
        <is>
          <t>Установки электрометаллизационные</t>
        </is>
      </c>
      <c r="D20" s="248" t="inlineStr">
        <is>
          <t>маш.час</t>
        </is>
      </c>
      <c r="E20" s="137" t="n">
        <v>302.38</v>
      </c>
      <c r="F20" s="250" t="n">
        <v>74.23999999999999</v>
      </c>
      <c r="G20" s="32">
        <f>ROUND(E20*F20,2)</f>
        <v/>
      </c>
      <c r="H20" s="185">
        <f>G20/$G$35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8" t="n">
        <v>4</v>
      </c>
      <c r="B21" s="184" t="inlineStr">
        <is>
          <t>91.05.05-015</t>
        </is>
      </c>
      <c r="C21" s="247" t="inlineStr">
        <is>
          <t>Краны на автомобильном ходу, грузоподъемность 16 т</t>
        </is>
      </c>
      <c r="D21" s="248" t="inlineStr">
        <is>
          <t>маш.час</t>
        </is>
      </c>
      <c r="E21" s="137" t="n">
        <v>120.47</v>
      </c>
      <c r="F21" s="250" t="n">
        <v>115.4</v>
      </c>
      <c r="G21" s="32">
        <f>ROUND(E21*F21,2)</f>
        <v/>
      </c>
      <c r="H21" s="185">
        <f>G21/$G$35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137" t="n"/>
      <c r="F22" s="32" t="n"/>
      <c r="G22" s="32">
        <f>SUM(G20:G21)</f>
        <v/>
      </c>
      <c r="H22" s="251">
        <f>G22/G35</f>
        <v/>
      </c>
      <c r="I22" s="186" t="n"/>
      <c r="J22" s="32">
        <f>SUM(J20:J21)</f>
        <v/>
      </c>
    </row>
    <row r="23" outlineLevel="1" ht="25.5" customFormat="1" customHeight="1" s="12">
      <c r="A23" s="248" t="n">
        <v>5</v>
      </c>
      <c r="B23" s="184" t="inlineStr">
        <is>
          <t>91.14.02-001</t>
        </is>
      </c>
      <c r="C23" s="247" t="inlineStr">
        <is>
          <t>Автомобили бортовые, грузоподъемность до 5 т</t>
        </is>
      </c>
      <c r="D23" s="248" t="inlineStr">
        <is>
          <t>маш.час</t>
        </is>
      </c>
      <c r="E23" s="137" t="n">
        <v>41.38</v>
      </c>
      <c r="F23" s="250" t="n">
        <v>65.70999999999999</v>
      </c>
      <c r="G23" s="32">
        <f>ROUND(E23*F23,2)</f>
        <v/>
      </c>
      <c r="H23" s="185">
        <f>G23/$G$35</f>
        <v/>
      </c>
      <c r="I23" s="32">
        <f>ROUND(F23*'Прил. 10'!$D$12,2)</f>
        <v/>
      </c>
      <c r="J23" s="32">
        <f>ROUND(I23*E23,2)</f>
        <v/>
      </c>
    </row>
    <row r="24" outlineLevel="1" ht="38.25" customFormat="1" customHeight="1" s="12">
      <c r="A24" s="248" t="n">
        <v>6</v>
      </c>
      <c r="B24" s="184" t="inlineStr">
        <is>
          <t>91.17.04-036</t>
        </is>
      </c>
      <c r="C24" s="247" t="inlineStr">
        <is>
          <t>Агрегаты сварочные передвижные с дизельным двигателем, номинальный сварочный ток 250-400 А</t>
        </is>
      </c>
      <c r="D24" s="248" t="inlineStr">
        <is>
          <t>маш.час</t>
        </is>
      </c>
      <c r="E24" s="137" t="n">
        <v>56.73</v>
      </c>
      <c r="F24" s="250" t="n">
        <v>14</v>
      </c>
      <c r="G24" s="32">
        <f>ROUND(E24*F24,2)</f>
        <v/>
      </c>
      <c r="H24" s="185">
        <f>G24/$G$35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8" t="n">
        <v>7</v>
      </c>
      <c r="B25" s="184" t="inlineStr">
        <is>
          <t>91.06.06-042</t>
        </is>
      </c>
      <c r="C25" s="247" t="inlineStr">
        <is>
          <t>Подъемники гидравлические, высота подъема 10 м</t>
        </is>
      </c>
      <c r="D25" s="248" t="inlineStr">
        <is>
          <t>маш.час</t>
        </is>
      </c>
      <c r="E25" s="137" t="n">
        <v>19.02</v>
      </c>
      <c r="F25" s="250" t="n">
        <v>29.6</v>
      </c>
      <c r="G25" s="32">
        <f>ROUND(E25*F25,2)</f>
        <v/>
      </c>
      <c r="H25" s="185">
        <f>G25/$G$35</f>
        <v/>
      </c>
      <c r="I25" s="32">
        <f>ROUND(F25*'Прил. 10'!$D$12,2)</f>
        <v/>
      </c>
      <c r="J25" s="32">
        <f>ROUND(I25*E25,2)</f>
        <v/>
      </c>
    </row>
    <row r="26" outlineLevel="1" ht="14.25" customFormat="1" customHeight="1" s="12">
      <c r="A26" s="248" t="n">
        <v>8</v>
      </c>
      <c r="B26" s="184" t="inlineStr">
        <is>
          <t>91.06.05-011</t>
        </is>
      </c>
      <c r="C26" s="247" t="inlineStr">
        <is>
          <t>Погрузчики, грузоподъемность 5 т</t>
        </is>
      </c>
      <c r="D26" s="248" t="inlineStr">
        <is>
          <t>маш.час</t>
        </is>
      </c>
      <c r="E26" s="137" t="n">
        <v>3.22</v>
      </c>
      <c r="F26" s="250" t="n">
        <v>89.98999999999999</v>
      </c>
      <c r="G26" s="32">
        <f>ROUND(E26*F26,2)</f>
        <v/>
      </c>
      <c r="H26" s="185">
        <f>G26/$G$35</f>
        <v/>
      </c>
      <c r="I26" s="32">
        <f>ROUND(F26*'Прил. 10'!$D$12,2)</f>
        <v/>
      </c>
      <c r="J26" s="32">
        <f>ROUND(I26*E26,2)</f>
        <v/>
      </c>
    </row>
    <row r="27" outlineLevel="1" ht="25.5" customFormat="1" customHeight="1" s="12">
      <c r="A27" s="248" t="n">
        <v>9</v>
      </c>
      <c r="B27" s="184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маш.час</t>
        </is>
      </c>
      <c r="E27" s="137" t="n">
        <v>23.1</v>
      </c>
      <c r="F27" s="250" t="n">
        <v>8.1</v>
      </c>
      <c r="G27" s="32">
        <f>ROUND(E27*F27,2)</f>
        <v/>
      </c>
      <c r="H27" s="185">
        <f>G27/$G$35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12">
      <c r="A28" s="248" t="n">
        <v>10</v>
      </c>
      <c r="B28" s="184" t="inlineStr">
        <is>
          <t>91.14.02-002</t>
        </is>
      </c>
      <c r="C28" s="247" t="inlineStr">
        <is>
          <t>Автомобили бортовые, грузоподъемность до 8 т</t>
        </is>
      </c>
      <c r="D28" s="248" t="inlineStr">
        <is>
          <t>маш.час</t>
        </is>
      </c>
      <c r="E28" s="137" t="n">
        <v>0.68</v>
      </c>
      <c r="F28" s="250" t="n">
        <v>85.84</v>
      </c>
      <c r="G28" s="32">
        <f>ROUND(E28*F28,2)</f>
        <v/>
      </c>
      <c r="H28" s="185">
        <f>G28/$G$35</f>
        <v/>
      </c>
      <c r="I28" s="32">
        <f>ROUND(F28*'Прил. 10'!$D$12,2)</f>
        <v/>
      </c>
      <c r="J28" s="32">
        <f>ROUND(I28*E28,2)</f>
        <v/>
      </c>
    </row>
    <row r="29" outlineLevel="1" ht="38.25" customFormat="1" customHeight="1" s="12">
      <c r="A29" s="248" t="n">
        <v>11</v>
      </c>
      <c r="B29" s="184" t="inlineStr">
        <is>
          <t>91.06.05-057</t>
        </is>
      </c>
      <c r="C29" s="247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37" t="n">
        <v>0.35</v>
      </c>
      <c r="F29" s="250" t="n">
        <v>90.40000000000001</v>
      </c>
      <c r="G29" s="32">
        <f>ROUND(E29*F29,2)</f>
        <v/>
      </c>
      <c r="H29" s="185">
        <f>G29/$G$35</f>
        <v/>
      </c>
      <c r="I29" s="32">
        <f>ROUND(F29*'Прил. 10'!$D$12,2)</f>
        <v/>
      </c>
      <c r="J29" s="32">
        <f>ROUND(I29*E29,2)</f>
        <v/>
      </c>
    </row>
    <row r="30" outlineLevel="1" ht="14.25" customFormat="1" customHeight="1" s="12">
      <c r="A30" s="248" t="n">
        <v>12</v>
      </c>
      <c r="B30" s="184" t="inlineStr">
        <is>
          <t>91.08.04-021</t>
        </is>
      </c>
      <c r="C30" s="247" t="inlineStr">
        <is>
          <t>Котлы битумные передвижные 400 л</t>
        </is>
      </c>
      <c r="D30" s="248" t="inlineStr">
        <is>
          <t>маш.час</t>
        </is>
      </c>
      <c r="E30" s="137" t="n">
        <v>0.59</v>
      </c>
      <c r="F30" s="250" t="n">
        <v>30</v>
      </c>
      <c r="G30" s="32">
        <f>ROUND(E30*F30,2)</f>
        <v/>
      </c>
      <c r="H30" s="185">
        <f>G30/$G$35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12">
      <c r="A31" s="248" t="n">
        <v>13</v>
      </c>
      <c r="B31" s="184" t="inlineStr">
        <is>
          <t>91.08.09-024</t>
        </is>
      </c>
      <c r="C31" s="247" t="inlineStr">
        <is>
          <t>Трамбовки пневматические при работе от стационарного компрессора</t>
        </is>
      </c>
      <c r="D31" s="248" t="inlineStr">
        <is>
          <t>маш.час</t>
        </is>
      </c>
      <c r="E31" s="137" t="n">
        <v>1.98</v>
      </c>
      <c r="F31" s="250" t="n">
        <v>4.91</v>
      </c>
      <c r="G31" s="32">
        <f>ROUND(E31*F31,2)</f>
        <v/>
      </c>
      <c r="H31" s="185">
        <f>G31/$G$35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12">
      <c r="A32" s="248" t="n">
        <v>14</v>
      </c>
      <c r="B32" s="184" t="inlineStr">
        <is>
          <t>91.06.01-003</t>
        </is>
      </c>
      <c r="C32" s="247" t="inlineStr">
        <is>
          <t>Домкраты гидравлические, грузоподъемность 63-100 т</t>
        </is>
      </c>
      <c r="D32" s="248" t="inlineStr">
        <is>
          <t>маш.час</t>
        </is>
      </c>
      <c r="E32" s="137" t="n">
        <v>3.78</v>
      </c>
      <c r="F32" s="250" t="n">
        <v>0.9</v>
      </c>
      <c r="G32" s="32">
        <f>ROUND(E32*F32,2)</f>
        <v/>
      </c>
      <c r="H32" s="185">
        <f>G32/$G$35</f>
        <v/>
      </c>
      <c r="I32" s="32">
        <f>ROUND(F32*'Прил. 10'!$D$12,2)</f>
        <v/>
      </c>
      <c r="J32" s="32">
        <f>ROUND(I32*E32,2)</f>
        <v/>
      </c>
    </row>
    <row r="33" outlineLevel="1" ht="38.25" customFormat="1" customHeight="1" s="12">
      <c r="A33" s="248" t="n">
        <v>15</v>
      </c>
      <c r="B33" s="184" t="inlineStr">
        <is>
          <t>91.21.01-012</t>
        </is>
      </c>
      <c r="C33" s="247" t="inlineStr">
        <is>
          <t>Агрегаты окрасочные высокого давления для окраски поверхностей конструкций, мощность 1 кВт</t>
        </is>
      </c>
      <c r="D33" s="248" t="inlineStr">
        <is>
          <t>маш.час</t>
        </is>
      </c>
      <c r="E33" s="137" t="n">
        <v>0.27</v>
      </c>
      <c r="F33" s="250" t="n">
        <v>6.82</v>
      </c>
      <c r="G33" s="32">
        <f>ROUND(E33*F33,2)</f>
        <v/>
      </c>
      <c r="H33" s="185">
        <f>G33/$G$35</f>
        <v/>
      </c>
      <c r="I33" s="32">
        <f>ROUND(F33*'Прил. 10'!$D$12,2)</f>
        <v/>
      </c>
      <c r="J33" s="32">
        <f>ROUND(I33*E33,2)</f>
        <v/>
      </c>
    </row>
    <row r="34" ht="14.25" customFormat="1" customHeight="1" s="12">
      <c r="A34" s="248" t="n"/>
      <c r="B34" s="248" t="n"/>
      <c r="C34" s="247" t="inlineStr">
        <is>
          <t>Итого прочие машины и механизмы</t>
        </is>
      </c>
      <c r="D34" s="248" t="n"/>
      <c r="E34" s="249" t="n"/>
      <c r="F34" s="32" t="n"/>
      <c r="G34" s="186">
        <f>SUM(G23:G33)</f>
        <v/>
      </c>
      <c r="H34" s="185">
        <f>G34/G35</f>
        <v/>
      </c>
      <c r="I34" s="32" t="n"/>
      <c r="J34" s="186">
        <f>SUM(J23:J33)</f>
        <v/>
      </c>
    </row>
    <row r="35" ht="25.5" customFormat="1" customHeight="1" s="12">
      <c r="A35" s="248" t="n"/>
      <c r="B35" s="248" t="n"/>
      <c r="C35" s="235" t="inlineStr">
        <is>
          <t>Итого по разделу «Машины и механизмы»</t>
        </is>
      </c>
      <c r="D35" s="248" t="n"/>
      <c r="E35" s="249" t="n"/>
      <c r="F35" s="32" t="n"/>
      <c r="G35" s="32">
        <f>G34+G22</f>
        <v/>
      </c>
      <c r="H35" s="187" t="n">
        <v>1</v>
      </c>
      <c r="I35" s="188" t="n"/>
      <c r="J35" s="189">
        <f>J34+J22</f>
        <v/>
      </c>
    </row>
    <row r="36" ht="14.25" customFormat="1" customHeight="1" s="12">
      <c r="A36" s="248" t="n"/>
      <c r="B36" s="235" t="inlineStr">
        <is>
          <t>Оборудование</t>
        </is>
      </c>
      <c r="C36" s="312" t="n"/>
      <c r="D36" s="312" t="n"/>
      <c r="E36" s="312" t="n"/>
      <c r="F36" s="312" t="n"/>
      <c r="G36" s="312" t="n"/>
      <c r="H36" s="313" t="n"/>
      <c r="I36" s="183" t="n"/>
      <c r="J36" s="183" t="n"/>
    </row>
    <row r="37">
      <c r="A37" s="248" t="n"/>
      <c r="B37" s="247" t="inlineStr">
        <is>
          <t>Основное оборудование</t>
        </is>
      </c>
      <c r="C37" s="312" t="n"/>
      <c r="D37" s="312" t="n"/>
      <c r="E37" s="312" t="n"/>
      <c r="F37" s="312" t="n"/>
      <c r="G37" s="312" t="n"/>
      <c r="H37" s="313" t="n"/>
      <c r="I37" s="183" t="n"/>
      <c r="J37" s="183" t="n"/>
    </row>
    <row r="38">
      <c r="A38" s="248" t="n">
        <v>16</v>
      </c>
      <c r="B38" s="184" t="inlineStr">
        <is>
          <t>БЦ.60.65</t>
        </is>
      </c>
      <c r="C38" s="247" t="inlineStr">
        <is>
          <t>ОПН 500кВ</t>
        </is>
      </c>
      <c r="D38" s="248" t="inlineStr">
        <is>
          <t>шт</t>
        </is>
      </c>
      <c r="E38" s="137" t="n">
        <v>9</v>
      </c>
      <c r="F38" s="32">
        <f>ROUND(I38/'Прил. 10'!D14,2)</f>
        <v/>
      </c>
      <c r="G38" s="32">
        <f>ROUND(E38*F38,2)</f>
        <v/>
      </c>
      <c r="H38" s="185">
        <f>G38/$G$42</f>
        <v/>
      </c>
      <c r="I38" s="32" t="n">
        <v>1226400</v>
      </c>
      <c r="J38" s="32">
        <f>ROUND(I38*E38,2)</f>
        <v/>
      </c>
      <c r="M38" s="12" t="n"/>
      <c r="N38" s="12" t="n"/>
    </row>
    <row r="39">
      <c r="A39" s="248" t="n"/>
      <c r="B39" s="248" t="n"/>
      <c r="C39" s="247" t="inlineStr">
        <is>
          <t>Итого основное оборудование</t>
        </is>
      </c>
      <c r="D39" s="248" t="n"/>
      <c r="E39" s="137" t="n"/>
      <c r="F39" s="250" t="n"/>
      <c r="G39" s="32">
        <f>G38</f>
        <v/>
      </c>
      <c r="H39" s="251">
        <f>H38</f>
        <v/>
      </c>
      <c r="I39" s="186" t="n"/>
      <c r="J39" s="32">
        <f>J38</f>
        <v/>
      </c>
    </row>
    <row r="40">
      <c r="A40" s="248" t="n"/>
      <c r="B40" s="248" t="n"/>
      <c r="C40" s="247" t="inlineStr">
        <is>
          <t>Итого прочее оборудование</t>
        </is>
      </c>
      <c r="D40" s="248" t="n"/>
      <c r="E40" s="137" t="n"/>
      <c r="F40" s="250" t="n"/>
      <c r="G40" s="32" t="n">
        <v>0</v>
      </c>
      <c r="H40" s="251" t="n"/>
      <c r="I40" s="186" t="n"/>
      <c r="J40" s="32" t="n">
        <v>0</v>
      </c>
    </row>
    <row r="41">
      <c r="A41" s="248" t="n"/>
      <c r="B41" s="248" t="n"/>
      <c r="C41" s="235" t="inlineStr">
        <is>
          <t>Итого по разделу «Оборудование»</t>
        </is>
      </c>
      <c r="D41" s="248" t="n"/>
      <c r="E41" s="249" t="n"/>
      <c r="F41" s="250" t="n"/>
      <c r="G41" s="32">
        <f>G40+G39</f>
        <v/>
      </c>
      <c r="H41" s="251">
        <f>H40+H39</f>
        <v/>
      </c>
      <c r="I41" s="186" t="n"/>
      <c r="J41" s="32">
        <f>J40+J39</f>
        <v/>
      </c>
    </row>
    <row r="42" ht="25.5" customHeight="1" s="199">
      <c r="A42" s="248" t="n"/>
      <c r="B42" s="248" t="n"/>
      <c r="C42" s="247" t="inlineStr">
        <is>
          <t>в том числе технологическое оборудование</t>
        </is>
      </c>
      <c r="D42" s="248" t="n"/>
      <c r="E42" s="190" t="n"/>
      <c r="F42" s="250" t="n"/>
      <c r="G42" s="32">
        <f>G41</f>
        <v/>
      </c>
      <c r="H42" s="251" t="n"/>
      <c r="I42" s="186" t="n"/>
      <c r="J42" s="32">
        <f>J41</f>
        <v/>
      </c>
    </row>
    <row r="43" ht="14.25" customFormat="1" customHeight="1" s="12">
      <c r="A43" s="248" t="n"/>
      <c r="B43" s="235" t="inlineStr">
        <is>
          <t>Материалы</t>
        </is>
      </c>
      <c r="C43" s="312" t="n"/>
      <c r="D43" s="312" t="n"/>
      <c r="E43" s="312" t="n"/>
      <c r="F43" s="312" t="n"/>
      <c r="G43" s="312" t="n"/>
      <c r="H43" s="313" t="n"/>
      <c r="I43" s="183" t="n"/>
      <c r="J43" s="183" t="n"/>
    </row>
    <row r="44" ht="14.25" customFormat="1" customHeight="1" s="12">
      <c r="A44" s="243" t="n"/>
      <c r="B44" s="242" t="inlineStr">
        <is>
          <t>Основные материалы</t>
        </is>
      </c>
      <c r="C44" s="316" t="n"/>
      <c r="D44" s="316" t="n"/>
      <c r="E44" s="316" t="n"/>
      <c r="F44" s="316" t="n"/>
      <c r="G44" s="316" t="n"/>
      <c r="H44" s="317" t="n"/>
      <c r="I44" s="191" t="n"/>
      <c r="J44" s="191" t="n"/>
    </row>
    <row r="45" ht="25.5" customFormat="1" customHeight="1" s="12">
      <c r="A45" s="248" t="n">
        <v>17</v>
      </c>
      <c r="B45" s="248" t="inlineStr">
        <is>
          <t>07.2.07.04-0004</t>
        </is>
      </c>
      <c r="C45" s="247" t="inlineStr">
        <is>
          <t>Конструкции стальные индивидуальные решетчатые сварные, масса 0,5-1 т</t>
        </is>
      </c>
      <c r="D45" s="248" t="inlineStr">
        <is>
          <t>т</t>
        </is>
      </c>
      <c r="E45" s="137" t="n">
        <v>14.40558</v>
      </c>
      <c r="F45" s="250" t="n">
        <v>10480</v>
      </c>
      <c r="G45" s="32">
        <f>ROUND(E45*F45,2)</f>
        <v/>
      </c>
      <c r="H45" s="185">
        <f>G45/$G$75</f>
        <v/>
      </c>
      <c r="I45" s="32">
        <f>ROUND(F45*'Прил. 10'!$D$13,2)</f>
        <v/>
      </c>
      <c r="J45" s="32">
        <f>ROUND(I45*E45,2)</f>
        <v/>
      </c>
    </row>
    <row r="46" ht="26.25" customFormat="1" customHeight="1" s="12">
      <c r="A46" s="248" t="n">
        <v>18</v>
      </c>
      <c r="B46" s="248" t="inlineStr">
        <is>
          <t>05.1.02.05-0016</t>
        </is>
      </c>
      <c r="C46" s="247" t="inlineStr">
        <is>
          <t>Лежни железобетонные ЛЖ-8,4, бетон B15, объем 0,91 м3, расход арматуры 234,8 кг</t>
        </is>
      </c>
      <c r="D46" s="248" t="inlineStr">
        <is>
          <t>шт</t>
        </is>
      </c>
      <c r="E46" s="137" t="n">
        <v>9</v>
      </c>
      <c r="F46" s="250" t="n">
        <v>2738.54</v>
      </c>
      <c r="G46" s="32">
        <f>ROUND(E46*F46,2)</f>
        <v/>
      </c>
      <c r="H46" s="185">
        <f>G46/$G$75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12">
      <c r="A47" s="259" t="n"/>
      <c r="B47" s="192" t="n"/>
      <c r="C47" s="193" t="inlineStr">
        <is>
          <t>Итого основные материалы</t>
        </is>
      </c>
      <c r="D47" s="259" t="n"/>
      <c r="E47" s="194" t="n"/>
      <c r="F47" s="189" t="n"/>
      <c r="G47" s="189">
        <f>SUM(G45:G46)</f>
        <v/>
      </c>
      <c r="H47" s="185">
        <f>G47/$G$75</f>
        <v/>
      </c>
      <c r="I47" s="32" t="n"/>
      <c r="J47" s="189">
        <f>SUM(J45:J46)</f>
        <v/>
      </c>
    </row>
    <row r="48" hidden="1" outlineLevel="1" ht="25.5" customFormat="1" customHeight="1" s="12">
      <c r="A48" s="248" t="n">
        <v>19</v>
      </c>
      <c r="B48" s="248" t="inlineStr">
        <is>
          <t>10.1.02.03-0001</t>
        </is>
      </c>
      <c r="C48" s="247" t="inlineStr">
        <is>
          <t>Проволока алюминиевая, марка АМЦ, диаметр 1,4-1,8 мм</t>
        </is>
      </c>
      <c r="D48" s="248" t="inlineStr">
        <is>
          <t>т</t>
        </is>
      </c>
      <c r="E48" s="137" t="n">
        <v>0.4857338</v>
      </c>
      <c r="F48" s="250" t="n">
        <v>30090</v>
      </c>
      <c r="G48" s="32">
        <f>ROUND(E48*F48,2)</f>
        <v/>
      </c>
      <c r="H48" s="185">
        <f>G48/$G$75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2">
      <c r="A49" s="248" t="n">
        <v>20</v>
      </c>
      <c r="B49" s="248" t="inlineStr">
        <is>
          <t>21.2.01.02-0094</t>
        </is>
      </c>
      <c r="C49" s="247" t="inlineStr">
        <is>
          <t>Провод неизолированный для воздушных линий электропередачи АС 300/39</t>
        </is>
      </c>
      <c r="D49" s="248" t="inlineStr">
        <is>
          <t>т</t>
        </is>
      </c>
      <c r="E49" s="137" t="n">
        <v>0.062351</v>
      </c>
      <c r="F49" s="250" t="n">
        <v>32758.86</v>
      </c>
      <c r="G49" s="32">
        <f>ROUND(E49*F49,2)</f>
        <v/>
      </c>
      <c r="H49" s="185">
        <f>G49/$G$75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8" t="n">
        <v>21</v>
      </c>
      <c r="B50" s="248" t="inlineStr">
        <is>
          <t>08.3.07.01-0076</t>
        </is>
      </c>
      <c r="C50" s="247" t="inlineStr">
        <is>
          <t>Прокат полосовой, горячекатаный, марка стали Ст3сп, ширина 50-200 мм, толщина 4-5 мм</t>
        </is>
      </c>
      <c r="D50" s="248" t="inlineStr">
        <is>
          <t>т</t>
        </is>
      </c>
      <c r="E50" s="137" t="n">
        <v>0.405</v>
      </c>
      <c r="F50" s="250" t="n">
        <v>5000</v>
      </c>
      <c r="G50" s="32">
        <f>ROUND(E50*F50,2)</f>
        <v/>
      </c>
      <c r="H50" s="185">
        <f>G50/$G$75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48" t="n">
        <v>22</v>
      </c>
      <c r="B51" s="248" t="inlineStr">
        <is>
          <t>01.7.11.07-0032</t>
        </is>
      </c>
      <c r="C51" s="247" t="inlineStr">
        <is>
          <t>Электроды сварочные Э42, диаметр 4 мм</t>
        </is>
      </c>
      <c r="D51" s="248" t="inlineStr">
        <is>
          <t>т</t>
        </is>
      </c>
      <c r="E51" s="137" t="n">
        <v>0.161622</v>
      </c>
      <c r="F51" s="250" t="n">
        <v>10315.01</v>
      </c>
      <c r="G51" s="32">
        <f>ROUND(E51*F51,2)</f>
        <v/>
      </c>
      <c r="H51" s="185">
        <f>G51/$G$75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8" t="n">
        <v>23</v>
      </c>
      <c r="B52" s="248" t="inlineStr">
        <is>
          <t>20.1.01.02-0066</t>
        </is>
      </c>
      <c r="C52" s="247" t="inlineStr">
        <is>
          <t>Зажим аппаратный прессуемый: А4А-300-2</t>
        </is>
      </c>
      <c r="D52" s="248" t="inlineStr">
        <is>
          <t>100 шт</t>
        </is>
      </c>
      <c r="E52" s="137" t="n">
        <v>0.18</v>
      </c>
      <c r="F52" s="250" t="n">
        <v>6080</v>
      </c>
      <c r="G52" s="32">
        <f>ROUND(E52*F52,2)</f>
        <v/>
      </c>
      <c r="H52" s="185">
        <f>G52/$G$75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8" t="n">
        <v>24</v>
      </c>
      <c r="B53" s="248" t="inlineStr">
        <is>
          <t>14.4.02.09-0301</t>
        </is>
      </c>
      <c r="C53" s="247" t="inlineStr">
        <is>
          <t>Композиция антикоррозионная цинкнаполненная</t>
        </is>
      </c>
      <c r="D53" s="248" t="inlineStr">
        <is>
          <t>кг</t>
        </is>
      </c>
      <c r="E53" s="137" t="n">
        <v>4.587408</v>
      </c>
      <c r="F53" s="250" t="n">
        <v>238.48</v>
      </c>
      <c r="G53" s="32">
        <f>ROUND(E53*F53,2)</f>
        <v/>
      </c>
      <c r="H53" s="185">
        <f>G53/$G$75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8" t="n">
        <v>25</v>
      </c>
      <c r="B54" s="248" t="inlineStr">
        <is>
          <t>14.5.09.11-0102</t>
        </is>
      </c>
      <c r="C54" s="247" t="inlineStr">
        <is>
          <t>Уайт-спирит</t>
        </is>
      </c>
      <c r="D54" s="248" t="inlineStr">
        <is>
          <t>кг</t>
        </is>
      </c>
      <c r="E54" s="137" t="n">
        <v>160.839</v>
      </c>
      <c r="F54" s="250" t="n">
        <v>6.67</v>
      </c>
      <c r="G54" s="32">
        <f>ROUND(E54*F54,2)</f>
        <v/>
      </c>
      <c r="H54" s="185">
        <f>G54/$G$75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48" t="n">
        <v>26</v>
      </c>
      <c r="B55" s="248" t="inlineStr">
        <is>
          <t>01.7.15.03-0042</t>
        </is>
      </c>
      <c r="C55" s="247" t="inlineStr">
        <is>
          <t>Болты с гайками и шайбами строительные</t>
        </is>
      </c>
      <c r="D55" s="248" t="inlineStr">
        <is>
          <t>кг</t>
        </is>
      </c>
      <c r="E55" s="137" t="n">
        <v>72.90000000000001</v>
      </c>
      <c r="F55" s="250" t="n">
        <v>9.039999999999999</v>
      </c>
      <c r="G55" s="32">
        <f>ROUND(E55*F55,2)</f>
        <v/>
      </c>
      <c r="H55" s="185">
        <f>G55/$G$75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48" t="n">
        <v>27</v>
      </c>
      <c r="B56" s="248" t="inlineStr">
        <is>
          <t>02.2.05.04-1772</t>
        </is>
      </c>
      <c r="C56" s="247" t="inlineStr">
        <is>
          <t>Щебень М 600, фракция 20-40 мм, группа 2</t>
        </is>
      </c>
      <c r="D56" s="248" t="inlineStr">
        <is>
          <t>м3</t>
        </is>
      </c>
      <c r="E56" s="137" t="n">
        <v>5.6925</v>
      </c>
      <c r="F56" s="250" t="n">
        <v>114.13</v>
      </c>
      <c r="G56" s="32">
        <f>ROUND(E56*F56,2)</f>
        <v/>
      </c>
      <c r="H56" s="185">
        <f>G56/$G$75</f>
        <v/>
      </c>
      <c r="I56" s="32">
        <f>ROUND(F56*'Прил. 10'!$D$13,2)</f>
        <v/>
      </c>
      <c r="J56" s="32">
        <f>ROUND(I56*E56,2)</f>
        <v/>
      </c>
    </row>
    <row r="57" hidden="1" outlineLevel="1" ht="25.5" customFormat="1" customHeight="1" s="12">
      <c r="A57" s="248" t="n">
        <v>28</v>
      </c>
      <c r="B57" s="248" t="inlineStr">
        <is>
          <t>01.2.03.07-0001</t>
        </is>
      </c>
      <c r="C57" s="247" t="inlineStr">
        <is>
          <t>Композиция полимерно-битумная Гидроизол</t>
        </is>
      </c>
      <c r="D57" s="248" t="inlineStr">
        <is>
          <t>л</t>
        </is>
      </c>
      <c r="E57" s="137" t="n">
        <v>15.15</v>
      </c>
      <c r="F57" s="250" t="n">
        <v>42.83</v>
      </c>
      <c r="G57" s="32">
        <f>ROUND(E57*F57,2)</f>
        <v/>
      </c>
      <c r="H57" s="185">
        <f>G57/$G$75</f>
        <v/>
      </c>
      <c r="I57" s="32">
        <f>ROUND(F57*'Прил. 10'!$D$13,2)</f>
        <v/>
      </c>
      <c r="J57" s="32">
        <f>ROUND(I57*E57,2)</f>
        <v/>
      </c>
    </row>
    <row r="58" hidden="1" outlineLevel="1" ht="51" customFormat="1" customHeight="1" s="12">
      <c r="A58" s="248" t="n">
        <v>29</v>
      </c>
      <c r="B58" s="248" t="inlineStr">
        <is>
          <t>04.1.02.05-0011</t>
        </is>
      </c>
      <c r="C58" s="247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D58" s="248" t="inlineStr">
        <is>
          <t>м3</t>
        </is>
      </c>
      <c r="E58" s="137" t="n">
        <v>8.19</v>
      </c>
      <c r="F58" s="250" t="n">
        <v>28.35</v>
      </c>
      <c r="G58" s="32">
        <f>ROUND(E58*F58,2)</f>
        <v/>
      </c>
      <c r="H58" s="185">
        <f>G58/$G$75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48" t="n">
        <v>30</v>
      </c>
      <c r="B59" s="248" t="inlineStr">
        <is>
          <t>08.3.07.01-0042</t>
        </is>
      </c>
      <c r="C59" s="247" t="inlineStr">
        <is>
          <t>Сталь полосовая: 40х4 мм, кипящая</t>
        </is>
      </c>
      <c r="D59" s="248" t="inlineStr">
        <is>
          <t>т</t>
        </is>
      </c>
      <c r="E59" s="137" t="n">
        <v>0.036288</v>
      </c>
      <c r="F59" s="250" t="n">
        <v>6200</v>
      </c>
      <c r="G59" s="32">
        <f>ROUND(E59*F59,2)</f>
        <v/>
      </c>
      <c r="H59" s="185">
        <f>G59/$G$75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48" t="n">
        <v>31</v>
      </c>
      <c r="B60" s="248" t="inlineStr">
        <is>
          <t>01.7.11.07-0034</t>
        </is>
      </c>
      <c r="C60" s="247" t="inlineStr">
        <is>
          <t>Электроды сварочные Э42А, диаметр 4 мм</t>
        </is>
      </c>
      <c r="D60" s="248" t="inlineStr">
        <is>
          <t>кг</t>
        </is>
      </c>
      <c r="E60" s="137" t="n">
        <v>19.9872</v>
      </c>
      <c r="F60" s="250" t="n">
        <v>10.57</v>
      </c>
      <c r="G60" s="32">
        <f>ROUND(E60*F60,2)</f>
        <v/>
      </c>
      <c r="H60" s="185">
        <f>G60/$G$75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48" t="n">
        <v>32</v>
      </c>
      <c r="B61" s="248" t="inlineStr">
        <is>
          <t>01.7.17.11-0003</t>
        </is>
      </c>
      <c r="C61" s="247" t="inlineStr">
        <is>
          <t>Бумага шлифовальная</t>
        </is>
      </c>
      <c r="D61" s="248" t="inlineStr">
        <is>
          <t>10 листов</t>
        </is>
      </c>
      <c r="E61" s="137" t="n">
        <v>4.5</v>
      </c>
      <c r="F61" s="250" t="n">
        <v>37.5</v>
      </c>
      <c r="G61" s="32">
        <f>ROUND(E61*F61,2)</f>
        <v/>
      </c>
      <c r="H61" s="185">
        <f>G61/$G$75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48" t="n">
        <v>33</v>
      </c>
      <c r="B62" s="248" t="inlineStr">
        <is>
          <t>14.2.01.05-0001</t>
        </is>
      </c>
      <c r="C62" s="247" t="inlineStr">
        <is>
          <t>Композиция на основе термопластичных полимеров</t>
        </is>
      </c>
      <c r="D62" s="248" t="inlineStr">
        <is>
          <t>кг</t>
        </is>
      </c>
      <c r="E62" s="137" t="n">
        <v>2.181816</v>
      </c>
      <c r="F62" s="250" t="n">
        <v>54.99</v>
      </c>
      <c r="G62" s="32">
        <f>ROUND(E62*F62,2)</f>
        <v/>
      </c>
      <c r="H62" s="185">
        <f>G62/$G$75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2">
      <c r="A63" s="248" t="n">
        <v>34</v>
      </c>
      <c r="B63" s="248" t="inlineStr">
        <is>
          <t>01.2.03.05-0006</t>
        </is>
      </c>
      <c r="C63" s="247" t="inlineStr">
        <is>
          <t>Праймер битумно-полимерный ТЕХНОНИКОЛЬ №03</t>
        </is>
      </c>
      <c r="D63" s="248" t="inlineStr">
        <is>
          <t>л</t>
        </is>
      </c>
      <c r="E63" s="137" t="n">
        <v>9.09</v>
      </c>
      <c r="F63" s="250" t="n">
        <v>12.71</v>
      </c>
      <c r="G63" s="32">
        <f>ROUND(E63*F63,2)</f>
        <v/>
      </c>
      <c r="H63" s="185">
        <f>G63/$G$75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48" t="n">
        <v>35</v>
      </c>
      <c r="B64" s="248" t="inlineStr">
        <is>
          <t>01.7.20.08-0031</t>
        </is>
      </c>
      <c r="C64" s="247" t="inlineStr">
        <is>
          <t>Бязь суровая</t>
        </is>
      </c>
      <c r="D64" s="248" t="inlineStr">
        <is>
          <t>10 м2</t>
        </is>
      </c>
      <c r="E64" s="137" t="n">
        <v>1.377</v>
      </c>
      <c r="F64" s="250" t="n">
        <v>79.09999999999999</v>
      </c>
      <c r="G64" s="32">
        <f>ROUND(E64*F64,2)</f>
        <v/>
      </c>
      <c r="H64" s="185">
        <f>G64/$G$75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2">
      <c r="A65" s="248" t="n">
        <v>36</v>
      </c>
      <c r="B65" s="248" t="inlineStr">
        <is>
          <t>14.4.02.09-0301</t>
        </is>
      </c>
      <c r="C65" s="247" t="inlineStr">
        <is>
          <t>Композиция антикоррозионная цинкнаполненная</t>
        </is>
      </c>
      <c r="D65" s="248" t="inlineStr">
        <is>
          <t>кг</t>
        </is>
      </c>
      <c r="E65" s="137" t="n">
        <v>0.3312</v>
      </c>
      <c r="F65" s="250" t="n">
        <v>238.48</v>
      </c>
      <c r="G65" s="32">
        <f>ROUND(E65*F65,2)</f>
        <v/>
      </c>
      <c r="H65" s="185">
        <f>G65/$G$75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48" t="n">
        <v>37</v>
      </c>
      <c r="B66" s="248" t="inlineStr">
        <is>
          <t>14.4.02.09-0001</t>
        </is>
      </c>
      <c r="C66" s="247" t="inlineStr">
        <is>
          <t>Краска</t>
        </is>
      </c>
      <c r="D66" s="248" t="inlineStr">
        <is>
          <t>кг</t>
        </is>
      </c>
      <c r="E66" s="137" t="n">
        <v>1.62</v>
      </c>
      <c r="F66" s="250" t="n">
        <v>28.6</v>
      </c>
      <c r="G66" s="32">
        <f>ROUND(E66*F66,2)</f>
        <v/>
      </c>
      <c r="H66" s="185">
        <f>G66/$G$75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2">
      <c r="A67" s="248" t="n">
        <v>38</v>
      </c>
      <c r="B67" s="248" t="inlineStr">
        <is>
          <t>999-9950</t>
        </is>
      </c>
      <c r="C67" s="247" t="inlineStr">
        <is>
          <t>Вспомогательные ненормируемые ресурсы (2% от Оплаты труда рабочих)</t>
        </is>
      </c>
      <c r="D67" s="248" t="inlineStr">
        <is>
          <t>руб</t>
        </is>
      </c>
      <c r="E67" s="137" t="n">
        <v>42.20112</v>
      </c>
      <c r="F67" s="250" t="n">
        <v>1</v>
      </c>
      <c r="G67" s="32">
        <f>ROUND(E67*F67,2)</f>
        <v/>
      </c>
      <c r="H67" s="185">
        <f>G67/$G$75</f>
        <v/>
      </c>
      <c r="I67" s="32">
        <f>ROUND(F67*'Прил. 10'!$D$13,2)</f>
        <v/>
      </c>
      <c r="J67" s="32">
        <f>ROUND(I67*E67,2)</f>
        <v/>
      </c>
    </row>
    <row r="68" hidden="1" outlineLevel="1" ht="14.25" customFormat="1" customHeight="1" s="12">
      <c r="A68" s="248" t="n">
        <v>39</v>
      </c>
      <c r="B68" s="248" t="inlineStr">
        <is>
          <t>01.3.01.03-0002</t>
        </is>
      </c>
      <c r="C68" s="247" t="inlineStr">
        <is>
          <t>Керосин для технических целей</t>
        </is>
      </c>
      <c r="D68" s="248" t="inlineStr">
        <is>
          <t>т</t>
        </is>
      </c>
      <c r="E68" s="137" t="n">
        <v>0.007272</v>
      </c>
      <c r="F68" s="250" t="n">
        <v>2606.9</v>
      </c>
      <c r="G68" s="32">
        <f>ROUND(E68*F68,2)</f>
        <v/>
      </c>
      <c r="H68" s="185">
        <f>G68/$G$75</f>
        <v/>
      </c>
      <c r="I68" s="32">
        <f>ROUND(F68*'Прил. 10'!$D$13,2)</f>
        <v/>
      </c>
      <c r="J68" s="32">
        <f>ROUND(I68*E68,2)</f>
        <v/>
      </c>
    </row>
    <row r="69" hidden="1" outlineLevel="1" ht="14.25" customFormat="1" customHeight="1" s="12">
      <c r="A69" s="248" t="n">
        <v>40</v>
      </c>
      <c r="B69" s="248" t="inlineStr">
        <is>
          <t>14.5.09.07-0030</t>
        </is>
      </c>
      <c r="C69" s="247" t="inlineStr">
        <is>
          <t>Растворитель Р-4</t>
        </is>
      </c>
      <c r="D69" s="248" t="inlineStr">
        <is>
          <t>кг</t>
        </is>
      </c>
      <c r="E69" s="137" t="n">
        <v>0.5314680000000001</v>
      </c>
      <c r="F69" s="250" t="n">
        <v>9.42</v>
      </c>
      <c r="G69" s="32">
        <f>ROUND(E69*F69,2)</f>
        <v/>
      </c>
      <c r="H69" s="185">
        <f>G69/$G$75</f>
        <v/>
      </c>
      <c r="I69" s="32">
        <f>ROUND(F69*'Прил. 10'!$D$13,2)</f>
        <v/>
      </c>
      <c r="J69" s="32">
        <f>ROUND(I69*E69,2)</f>
        <v/>
      </c>
    </row>
    <row r="70" hidden="1" outlineLevel="1" ht="25.5" customFormat="1" customHeight="1" s="12">
      <c r="A70" s="248" t="n">
        <v>41</v>
      </c>
      <c r="B70" s="248" t="inlineStr">
        <is>
          <t>01.3.01.06-0050</t>
        </is>
      </c>
      <c r="C70" s="247" t="inlineStr">
        <is>
          <t>Смазка универсальная тугоплавкая УТ (консталин жировой)</t>
        </is>
      </c>
      <c r="D70" s="248" t="inlineStr">
        <is>
          <t>т</t>
        </is>
      </c>
      <c r="E70" s="137" t="n">
        <v>0.00024</v>
      </c>
      <c r="F70" s="250" t="n">
        <v>17500</v>
      </c>
      <c r="G70" s="32">
        <f>ROUND(E70*F70,2)</f>
        <v/>
      </c>
      <c r="H70" s="185">
        <f>G70/$G$75</f>
        <v/>
      </c>
      <c r="I70" s="32">
        <f>ROUND(F70*'Прил. 10'!$D$13,2)</f>
        <v/>
      </c>
      <c r="J70" s="32">
        <f>ROUND(I70*E70,2)</f>
        <v/>
      </c>
    </row>
    <row r="71" hidden="1" outlineLevel="1" ht="38.25" customFormat="1" customHeight="1" s="12">
      <c r="A71" s="248" t="n">
        <v>42</v>
      </c>
      <c r="B71" s="248" t="inlineStr">
        <is>
          <t>08.3.05.02-0101</t>
        </is>
      </c>
      <c r="C71" s="247" t="inlineStr">
        <is>
          <t>Прокат толстолистовой горячекатаный в листах, марка стали ВСт3пс5, толщина 4-6 мм</t>
        </is>
      </c>
      <c r="D71" s="248" t="inlineStr">
        <is>
          <t>т</t>
        </is>
      </c>
      <c r="E71" s="137" t="n">
        <v>0.000576</v>
      </c>
      <c r="F71" s="250" t="n">
        <v>5763</v>
      </c>
      <c r="G71" s="32">
        <f>ROUND(E71*F71,2)</f>
        <v/>
      </c>
      <c r="H71" s="185">
        <f>G71/$G$75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2">
      <c r="A72" s="248" t="n">
        <v>43</v>
      </c>
      <c r="B72" s="248" t="inlineStr">
        <is>
          <t>01.7.03.01-0001</t>
        </is>
      </c>
      <c r="C72" s="247" t="inlineStr">
        <is>
          <t>Вода</t>
        </is>
      </c>
      <c r="D72" s="248" t="inlineStr">
        <is>
          <t>м3</t>
        </is>
      </c>
      <c r="E72" s="137" t="n">
        <v>0.7425</v>
      </c>
      <c r="F72" s="250" t="n">
        <v>2.44</v>
      </c>
      <c r="G72" s="32">
        <f>ROUND(E72*F72,2)</f>
        <v/>
      </c>
      <c r="H72" s="185">
        <f>G72/$G$75</f>
        <v/>
      </c>
      <c r="I72" s="32">
        <f>ROUND(F72*'Прил. 10'!$D$13,2)</f>
        <v/>
      </c>
      <c r="J72" s="32">
        <f>ROUND(I72*E72,2)</f>
        <v/>
      </c>
    </row>
    <row r="73" hidden="1" outlineLevel="1" ht="14.25" customFormat="1" customHeight="1" s="12">
      <c r="A73" s="248" t="n">
        <v>44</v>
      </c>
      <c r="B73" s="248" t="inlineStr">
        <is>
          <t>01.7.20.08-0051</t>
        </is>
      </c>
      <c r="C73" s="247" t="inlineStr">
        <is>
          <t>Ветошь</t>
        </is>
      </c>
      <c r="D73" s="248" t="inlineStr">
        <is>
          <t>кг</t>
        </is>
      </c>
      <c r="E73" s="137" t="n">
        <v>0.0303</v>
      </c>
      <c r="F73" s="250" t="n">
        <v>1.82</v>
      </c>
      <c r="G73" s="32">
        <f>ROUND(E73*F73,2)</f>
        <v/>
      </c>
      <c r="H73" s="185">
        <f>G73/$G$75</f>
        <v/>
      </c>
      <c r="I73" s="32">
        <f>ROUND(F73*'Прил. 10'!$D$13,2)</f>
        <v/>
      </c>
      <c r="J73" s="32">
        <f>ROUND(I73*E73,2)</f>
        <v/>
      </c>
    </row>
    <row r="74" collapsed="1" ht="14.25" customFormat="1" customHeight="1" s="12">
      <c r="A74" s="248" t="n"/>
      <c r="B74" s="248" t="n"/>
      <c r="C74" s="247" t="inlineStr">
        <is>
          <t>Итого прочие материалы</t>
        </is>
      </c>
      <c r="D74" s="248" t="n"/>
      <c r="E74" s="137" t="n"/>
      <c r="F74" s="250" t="n"/>
      <c r="G74" s="32">
        <f>SUM(G48:G73)</f>
        <v/>
      </c>
      <c r="H74" s="185">
        <f>G74/$G$75</f>
        <v/>
      </c>
      <c r="I74" s="32" t="n"/>
      <c r="J74" s="32">
        <f>SUM(J48:J73)</f>
        <v/>
      </c>
    </row>
    <row r="75" ht="14.25" customFormat="1" customHeight="1" s="12">
      <c r="A75" s="248" t="n"/>
      <c r="B75" s="248" t="n"/>
      <c r="C75" s="235" t="inlineStr">
        <is>
          <t>Итого по разделу «Материалы»</t>
        </is>
      </c>
      <c r="D75" s="248" t="n"/>
      <c r="E75" s="249" t="n"/>
      <c r="F75" s="250" t="n"/>
      <c r="G75" s="32">
        <f>G47+G74</f>
        <v/>
      </c>
      <c r="H75" s="185">
        <f>G75/$G$75</f>
        <v/>
      </c>
      <c r="I75" s="32" t="n"/>
      <c r="J75" s="32">
        <f>J47+J74</f>
        <v/>
      </c>
    </row>
    <row r="76" ht="14.25" customFormat="1" customHeight="1" s="12">
      <c r="A76" s="248" t="n"/>
      <c r="B76" s="248" t="n"/>
      <c r="C76" s="247" t="inlineStr">
        <is>
          <t>ИТОГО ПО РМ</t>
        </is>
      </c>
      <c r="D76" s="248" t="n"/>
      <c r="E76" s="249" t="n"/>
      <c r="F76" s="250" t="n"/>
      <c r="G76" s="32">
        <f>G15+G35+G75</f>
        <v/>
      </c>
      <c r="H76" s="251" t="n"/>
      <c r="I76" s="32" t="n"/>
      <c r="J76" s="32">
        <f>J15+J35+J75</f>
        <v/>
      </c>
    </row>
    <row r="77" ht="14.25" customFormat="1" customHeight="1" s="12">
      <c r="A77" s="248" t="n"/>
      <c r="B77" s="248" t="n"/>
      <c r="C77" s="247" t="inlineStr">
        <is>
          <t>Накладные расходы</t>
        </is>
      </c>
      <c r="D77" s="195">
        <f>ROUND(G77/(G$17+$G$15),2)</f>
        <v/>
      </c>
      <c r="E77" s="249" t="n"/>
      <c r="F77" s="250" t="n"/>
      <c r="G77" s="32" t="n">
        <v>23413.42</v>
      </c>
      <c r="H77" s="251" t="n"/>
      <c r="I77" s="32" t="n"/>
      <c r="J77" s="32">
        <f>ROUND(D77*(J15+J17),2)</f>
        <v/>
      </c>
    </row>
    <row r="78" ht="14.25" customFormat="1" customHeight="1" s="12">
      <c r="A78" s="248" t="n"/>
      <c r="B78" s="248" t="n"/>
      <c r="C78" s="247" t="inlineStr">
        <is>
          <t>Сметная прибыль</t>
        </is>
      </c>
      <c r="D78" s="195">
        <f>ROUND(G78/(G$15+G$17),2)</f>
        <v/>
      </c>
      <c r="E78" s="249" t="n"/>
      <c r="F78" s="250" t="n"/>
      <c r="G78" s="32" t="n">
        <v>12806.67</v>
      </c>
      <c r="H78" s="251" t="n"/>
      <c r="I78" s="32" t="n"/>
      <c r="J78" s="32">
        <f>ROUND(D78*(J15+J17),2)</f>
        <v/>
      </c>
    </row>
    <row r="79" ht="14.25" customFormat="1" customHeight="1" s="12">
      <c r="A79" s="248" t="n"/>
      <c r="B79" s="248" t="n"/>
      <c r="C79" s="247" t="inlineStr">
        <is>
          <t>Итого СМР (с НР и СП)</t>
        </is>
      </c>
      <c r="D79" s="248" t="n"/>
      <c r="E79" s="249" t="n"/>
      <c r="F79" s="250" t="n"/>
      <c r="G79" s="32">
        <f>G15+G35+G75+G77+G78</f>
        <v/>
      </c>
      <c r="H79" s="251" t="n"/>
      <c r="I79" s="32" t="n"/>
      <c r="J79" s="32">
        <f>J15+J35+J75+J77+J78</f>
        <v/>
      </c>
    </row>
    <row r="80" ht="14.25" customFormat="1" customHeight="1" s="12">
      <c r="A80" s="248" t="n"/>
      <c r="B80" s="248" t="n"/>
      <c r="C80" s="247" t="inlineStr">
        <is>
          <t>ВСЕГО СМР + ОБОРУДОВАНИЕ</t>
        </is>
      </c>
      <c r="D80" s="248" t="n"/>
      <c r="E80" s="249" t="n"/>
      <c r="F80" s="250" t="n"/>
      <c r="G80" s="32">
        <f>G79+G41</f>
        <v/>
      </c>
      <c r="H80" s="251" t="n"/>
      <c r="I80" s="32" t="n"/>
      <c r="J80" s="32">
        <f>J79+J41</f>
        <v/>
      </c>
    </row>
    <row r="81" ht="34.5" customFormat="1" customHeight="1" s="12">
      <c r="A81" s="248" t="n"/>
      <c r="B81" s="248" t="n"/>
      <c r="C81" s="247" t="inlineStr">
        <is>
          <t>ИТОГО ПОКАЗАТЕЛЬ НА ЕД. ИЗМ.</t>
        </is>
      </c>
      <c r="D81" s="248" t="inlineStr">
        <is>
          <t>ед</t>
        </is>
      </c>
      <c r="E81" s="249" t="n">
        <v>3</v>
      </c>
      <c r="F81" s="250" t="n"/>
      <c r="G81" s="32">
        <f>G80/E81</f>
        <v/>
      </c>
      <c r="H81" s="251" t="n"/>
      <c r="I81" s="32" t="n"/>
      <c r="J81" s="32">
        <f>J80/E81</f>
        <v/>
      </c>
    </row>
    <row r="83" ht="14.25" customFormat="1" customHeight="1" s="12">
      <c r="A83" s="4" t="inlineStr">
        <is>
          <t>Составил ______________________     Е. М. Добровольская</t>
        </is>
      </c>
    </row>
    <row r="84" ht="14.25" customFormat="1" customHeight="1" s="12">
      <c r="A84" s="33" t="inlineStr">
        <is>
          <t xml:space="preserve">                         (подпись, инициалы, фамилия)</t>
        </is>
      </c>
    </row>
    <row r="85" ht="14.25" customFormat="1" customHeight="1" s="12">
      <c r="A85" s="4" t="n"/>
    </row>
    <row r="86" ht="14.25" customFormat="1" customHeight="1" s="12">
      <c r="A86" s="4" t="inlineStr">
        <is>
          <t>Проверил ______________________        А.В. Костянецкая</t>
        </is>
      </c>
    </row>
    <row r="87" ht="14.25" customFormat="1" customHeight="1" s="12">
      <c r="A87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I10:J10"/>
    <mergeCell ref="B44:H44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9" t="inlineStr">
        <is>
          <t>Расчет стоимости оборудования</t>
        </is>
      </c>
    </row>
    <row r="4" ht="25.5" customHeight="1" s="199">
      <c r="A4" s="222" t="inlineStr">
        <is>
          <t>Наименование разрабатываемого показателя УНЦ — ОПН на три фазы с устройством фундамента напряжение 500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5" t="n"/>
      <c r="B9" s="247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99">
      <c r="A10" s="248" t="n"/>
      <c r="B10" s="235" t="n"/>
      <c r="C10" s="247" t="inlineStr">
        <is>
          <t>ИТОГО ИНЖЕНЕРНОЕ ОБОРУДОВАНИЕ</t>
        </is>
      </c>
      <c r="D10" s="235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41.25" customHeight="1" s="199">
      <c r="A12" s="248" t="n">
        <v>1</v>
      </c>
      <c r="B12" s="197">
        <f>'Прил.5 Расчет СМР и ОБ'!B38</f>
        <v/>
      </c>
      <c r="C12" s="247">
        <f>'Прил.5 Расчет СМР и ОБ'!C38</f>
        <v/>
      </c>
      <c r="D12" s="248">
        <f>'Прил.5 Расчет СМР и ОБ'!D38</f>
        <v/>
      </c>
      <c r="E12" s="137">
        <f>'Прил.5 Расчет СМР и ОБ'!E38</f>
        <v/>
      </c>
      <c r="F12" s="264">
        <f>'Прил.5 Расчет СМР и ОБ'!F38</f>
        <v/>
      </c>
      <c r="G12" s="32">
        <f>ROUND(E12*F12,2)</f>
        <v/>
      </c>
    </row>
    <row r="13" ht="25.5" customHeight="1" s="199">
      <c r="A13" s="248" t="n"/>
      <c r="B13" s="247" t="n"/>
      <c r="C13" s="247" t="inlineStr">
        <is>
          <t>ИТОГО ТЕХНОЛОГИЧЕСКОЕ ОБОРУДОВАНИЕ</t>
        </is>
      </c>
      <c r="D13" s="247" t="n"/>
      <c r="E13" s="264" t="n"/>
      <c r="F13" s="250" t="n"/>
      <c r="G13" s="32">
        <f>SUM(G12:G12)</f>
        <v/>
      </c>
    </row>
    <row r="14" ht="19.5" customHeight="1" s="199">
      <c r="A14" s="248" t="n"/>
      <c r="B14" s="247" t="n"/>
      <c r="C14" s="247" t="inlineStr">
        <is>
          <t>Всего по разделу «Оборудование»</t>
        </is>
      </c>
      <c r="D14" s="247" t="n"/>
      <c r="E14" s="264" t="n"/>
      <c r="F14" s="25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24.85546875" customWidth="1" style="199" min="5" max="5"/>
  </cols>
  <sheetData>
    <row r="1">
      <c r="B1" s="4" t="n"/>
      <c r="C1" s="4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9" t="inlineStr">
        <is>
          <t>Расчет показателя УНЦ</t>
        </is>
      </c>
    </row>
    <row r="4" ht="24.75" customHeight="1" s="199">
      <c r="A4" s="219" t="n"/>
      <c r="B4" s="219" t="n"/>
      <c r="C4" s="219" t="n"/>
      <c r="D4" s="219" t="n"/>
    </row>
    <row r="5" ht="47.25" customHeight="1" s="199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9.9" customHeight="1" s="199">
      <c r="A6" s="266" t="inlineStr">
        <is>
          <t>Единица измерения  — 1 ед</t>
        </is>
      </c>
      <c r="D6" s="266" t="n"/>
    </row>
    <row r="7">
      <c r="A7" s="211" t="n"/>
      <c r="B7" s="211" t="n"/>
      <c r="C7" s="211" t="n"/>
      <c r="D7" s="211" t="n"/>
    </row>
    <row r="8" ht="14.45" customHeight="1" s="199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 ht="15" customHeight="1" s="199">
      <c r="A9" s="315" t="n"/>
      <c r="B9" s="315" t="n"/>
      <c r="C9" s="315" t="n"/>
      <c r="D9" s="315" t="n"/>
    </row>
    <row r="10">
      <c r="A10" s="212" t="n">
        <v>1</v>
      </c>
      <c r="B10" s="212" t="n">
        <v>2</v>
      </c>
      <c r="C10" s="212" t="n">
        <v>3</v>
      </c>
      <c r="D10" s="212" t="n">
        <v>4</v>
      </c>
    </row>
    <row r="11" ht="41.45" customHeight="1" s="199">
      <c r="A11" s="212" t="inlineStr">
        <is>
          <t>И5-04-6</t>
        </is>
      </c>
      <c r="B11" s="212" t="inlineStr">
        <is>
          <t xml:space="preserve">УНЦ элементов ПС с устройством фундаментов </t>
        </is>
      </c>
      <c r="C11" s="213">
        <f>D5</f>
        <v/>
      </c>
      <c r="D11" s="214">
        <f>'Прил.4 РМ'!C41/1000</f>
        <v/>
      </c>
      <c r="E11" s="159" t="n"/>
    </row>
    <row r="12">
      <c r="A12" s="215" t="n"/>
      <c r="B12" s="216" t="n"/>
      <c r="C12" s="215" t="n"/>
      <c r="D12" s="215" t="n"/>
    </row>
    <row r="13">
      <c r="A13" s="211" t="inlineStr">
        <is>
          <t>Составил ______________________      Е. М. Добровольская</t>
        </is>
      </c>
      <c r="B13" s="217" t="n"/>
      <c r="C13" s="217" t="n"/>
      <c r="D13" s="215" t="n"/>
    </row>
    <row r="14">
      <c r="A14" s="218" t="inlineStr">
        <is>
          <t xml:space="preserve">                         (подпись, инициалы, фамилия)</t>
        </is>
      </c>
      <c r="B14" s="217" t="n"/>
      <c r="C14" s="217" t="n"/>
      <c r="D14" s="215" t="n"/>
    </row>
    <row r="15">
      <c r="A15" s="211" t="n"/>
      <c r="B15" s="217" t="n"/>
      <c r="C15" s="217" t="n"/>
      <c r="D15" s="215" t="n"/>
    </row>
    <row r="16">
      <c r="A16" s="211" t="inlineStr">
        <is>
          <t>Проверил ______________________        А.В. Костянецкая</t>
        </is>
      </c>
      <c r="B16" s="217" t="n"/>
      <c r="C16" s="217" t="n"/>
      <c r="D16" s="215" t="n"/>
    </row>
    <row r="17">
      <c r="A17" s="218" t="inlineStr">
        <is>
          <t xml:space="preserve">                        (подпись, инициалы, фамилия)</t>
        </is>
      </c>
      <c r="B17" s="217" t="n"/>
      <c r="C17" s="217" t="n"/>
      <c r="D17" s="2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B30" sqref="B30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6" t="inlineStr">
        <is>
          <t>Приложение № 10</t>
        </is>
      </c>
    </row>
    <row r="5" ht="18.75" customHeight="1" s="199">
      <c r="B5" s="132" t="n"/>
    </row>
    <row r="6" ht="15.75" customHeight="1" s="199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199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9">
      <c r="B10" s="234" t="n">
        <v>1</v>
      </c>
      <c r="C10" s="234" t="n">
        <v>2</v>
      </c>
      <c r="D10" s="234" t="n">
        <v>3</v>
      </c>
    </row>
    <row r="11" ht="45" customHeight="1" s="199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 s="199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13.47</v>
      </c>
    </row>
    <row r="13" ht="29.25" customHeight="1" s="199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8.039999999999999</v>
      </c>
    </row>
    <row r="14" ht="30.75" customHeight="1" s="199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9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94.5" customHeight="1" s="199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0.021</v>
      </c>
    </row>
    <row r="17" ht="42.75" customHeight="1" s="199">
      <c r="B17" s="234" t="inlineStr">
        <is>
          <t>Пусконаладочные работы</t>
        </is>
      </c>
      <c r="C17" s="234" t="n"/>
      <c r="D17" s="234" t="inlineStr">
        <is>
          <t>Расчет</t>
        </is>
      </c>
    </row>
    <row r="18" ht="31.5" customHeight="1" s="199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34" t="n">
        <v>0.0214</v>
      </c>
    </row>
    <row r="19" ht="31.5" customHeight="1" s="199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34" t="n">
        <v>0.002</v>
      </c>
    </row>
    <row r="20" ht="24" customHeight="1" s="199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34" t="n">
        <v>0.03</v>
      </c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4" ht="18.75" customHeight="1" s="199">
      <c r="B24" s="133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V21" sqref="V21"/>
    </sheetView>
  </sheetViews>
  <sheetFormatPr baseColWidth="8" defaultRowHeight="15"/>
  <cols>
    <col width="9.140625" customWidth="1" style="199" min="1" max="1"/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  <col width="9.140625" customWidth="1" style="199" min="7" max="7"/>
  </cols>
  <sheetData>
    <row r="2" ht="17.25" customHeight="1" s="199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23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34" t="n"/>
      <c r="D10" s="234" t="n"/>
      <c r="E10" s="125" t="n">
        <v>4.5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126" t="n">
        <v>1.441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2025-01-24T12:02:15Z</dcterms:modified>
  <cp:lastModifiedBy>Danil</cp:lastModifiedBy>
  <cp:lastPrinted>2023-11-28T06:37:35Z</cp:lastPrinted>
</cp:coreProperties>
</file>