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'Прил.3'!$A$1:$H$99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0.000"/>
    <numFmt numFmtId="173" formatCode="#,##0.0000"/>
    <numFmt numFmtId="174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4" fontId="4" fillId="0" borderId="0" pivotButton="0" quotePrefix="0" xfId="0"/>
    <xf numFmtId="169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4" fontId="21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horizontal="center" vertical="center" wrapText="1"/>
    </xf>
    <xf numFmtId="170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1" fontId="22" fillId="0" borderId="0" pivotButton="0" quotePrefix="0" xfId="0"/>
    <xf numFmtId="168" fontId="1" fillId="0" borderId="4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4" fillId="0" borderId="0" applyAlignment="1" pivotButton="0" quotePrefix="0" xfId="0">
      <alignment horizontal="left"/>
    </xf>
    <xf numFmtId="172" fontId="1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173" fontId="1" fillId="0" borderId="1" applyAlignment="1" pivotButton="0" quotePrefix="0" xfId="0">
      <alignment horizontal="center" vertical="center" wrapText="1"/>
    </xf>
    <xf numFmtId="174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center" vertical="center"/>
    </xf>
    <xf numFmtId="0" fontId="19" fillId="0" borderId="0" pivotButton="0" quotePrefix="0" xfId="0"/>
    <xf numFmtId="2" fontId="2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4" pivotButton="0" quotePrefix="0" xfId="0"/>
    <xf numFmtId="0" fontId="2" fillId="0" borderId="18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G32"/>
  <sheetViews>
    <sheetView view="pageBreakPreview" topLeftCell="A13" zoomScale="60" zoomScaleNormal="70" workbookViewId="0">
      <selection activeCell="C29" sqref="C29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226" t="inlineStr">
        <is>
          <t>Приложение № 1</t>
        </is>
      </c>
    </row>
    <row r="4" ht="18.75" customHeight="1">
      <c r="B4" s="227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81" t="n"/>
      <c r="C6" s="181" t="n"/>
      <c r="D6" s="181" t="n"/>
    </row>
    <row r="7" ht="64.5" customHeight="1">
      <c r="B7" s="225" t="inlineStr">
        <is>
          <t>Наименование разрабатываемого показателя УНЦ - Однополюсный разъединитель с устройством фундамента напряжение 35(20) кВ</t>
        </is>
      </c>
    </row>
    <row r="8" ht="31.5" customHeight="1">
      <c r="B8" s="225" t="inlineStr">
        <is>
          <t>Сопоставимый уровень цен: сентябрь 2016 г</t>
        </is>
      </c>
    </row>
    <row r="9" ht="15.75" customHeight="1">
      <c r="B9" s="225" t="inlineStr">
        <is>
          <t>Единица измерения  — 1 ед.</t>
        </is>
      </c>
    </row>
    <row r="10" ht="18.75" customHeight="1">
      <c r="B10" s="134" t="n"/>
    </row>
    <row r="11" ht="15.75" customHeight="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</row>
    <row r="12" ht="31.5" customHeight="1">
      <c r="B12" s="230" t="n">
        <v>1</v>
      </c>
      <c r="C12" s="159" t="inlineStr">
        <is>
          <t>Наименование объекта-представителя</t>
        </is>
      </c>
      <c r="D12" s="182" t="inlineStr">
        <is>
          <t>Коплексная реконструкция ПС №2 Красково (ЮЭС)</t>
        </is>
      </c>
    </row>
    <row r="13" ht="31.5" customHeight="1">
      <c r="B13" s="230" t="n">
        <v>2</v>
      </c>
      <c r="C13" s="159" t="inlineStr">
        <is>
          <t>Наименование субъекта Российской Федерации</t>
        </is>
      </c>
      <c r="D13" s="182" t="inlineStr">
        <is>
          <t>Московская область</t>
        </is>
      </c>
    </row>
    <row r="14" ht="15.75" customHeight="1">
      <c r="B14" s="230" t="n">
        <v>3</v>
      </c>
      <c r="C14" s="159" t="inlineStr">
        <is>
          <t>Климатический район и подрайон</t>
        </is>
      </c>
      <c r="D14" s="289" t="inlineStr">
        <is>
          <t>IIВ</t>
        </is>
      </c>
    </row>
    <row r="15" ht="15.75" customHeight="1">
      <c r="B15" s="230" t="n">
        <v>4</v>
      </c>
      <c r="C15" s="159" t="inlineStr">
        <is>
          <t>Мощность объекта</t>
        </is>
      </c>
      <c r="D15" s="182" t="n">
        <v>2</v>
      </c>
    </row>
    <row r="16" ht="120" customHeight="1">
      <c r="B16" s="230" t="n">
        <v>5</v>
      </c>
      <c r="C16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2" t="inlineStr">
        <is>
          <t>Разъединитель однополюсный, наружной установки с одним заземляющими ножом со стороны подвижной колонки Uном=35 кВ Iном.=1000 А, Iоткл.=31,5 кА с ручными приводами для главных и заземляющих ножей
 Монолитные фундаменты, стальные конструкции</t>
        </is>
      </c>
    </row>
    <row r="17" ht="78.75" customHeight="1">
      <c r="B17" s="230" t="n">
        <v>6</v>
      </c>
      <c r="C17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1">
        <f>'Прил.2 Расч стоим'!J12</f>
        <v/>
      </c>
    </row>
    <row r="18" ht="15.75" customHeight="1">
      <c r="B18" s="213" t="inlineStr">
        <is>
          <t>6.1</t>
        </is>
      </c>
      <c r="C18" s="159" t="inlineStr">
        <is>
          <t>строительно-монтажные работы</t>
        </is>
      </c>
      <c r="D18" s="161">
        <f>'Прил.2 Расч стоим'!G14</f>
        <v/>
      </c>
    </row>
    <row r="19" ht="15.75" customHeight="1">
      <c r="B19" s="213" t="inlineStr">
        <is>
          <t>6.2</t>
        </is>
      </c>
      <c r="C19" s="159" t="inlineStr">
        <is>
          <t>оборудование и инвентарь</t>
        </is>
      </c>
      <c r="D19" s="161">
        <f>'Прил.2 Расч стоим'!H12</f>
        <v/>
      </c>
    </row>
    <row r="20" ht="15.75" customHeight="1">
      <c r="B20" s="213" t="inlineStr">
        <is>
          <t>6.3</t>
        </is>
      </c>
      <c r="C20" s="159" t="inlineStr">
        <is>
          <t>пусконаладочные работы</t>
        </is>
      </c>
      <c r="D20" s="161">
        <f>D19*0.07*0.8</f>
        <v/>
      </c>
    </row>
    <row r="21" ht="15.75" customHeight="1">
      <c r="B21" s="213" t="inlineStr">
        <is>
          <t>6.4</t>
        </is>
      </c>
      <c r="C21" s="159" t="inlineStr">
        <is>
          <t>прочие и лимитированные затраты</t>
        </is>
      </c>
      <c r="D21" s="161" t="n"/>
    </row>
    <row r="22" ht="15.75" customHeight="1">
      <c r="B22" s="230" t="n">
        <v>7</v>
      </c>
      <c r="C22" s="159" t="inlineStr">
        <is>
          <t>Сопоставимый уровень цен</t>
        </is>
      </c>
      <c r="D22" s="160" t="inlineStr">
        <is>
          <t>сентябрь 2016 г</t>
        </is>
      </c>
      <c r="G22" s="189" t="n"/>
    </row>
    <row r="23" ht="110.25" customHeight="1">
      <c r="B23" s="230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1">
        <f>D17</f>
        <v/>
      </c>
    </row>
    <row r="24" ht="47.25" customHeight="1">
      <c r="B24" s="230" t="n">
        <v>9</v>
      </c>
      <c r="C24" s="136" t="inlineStr">
        <is>
          <t>Приведенная сметная стоимость на единицу мощности, тыс. руб. (строка 8/строку 4)</t>
        </is>
      </c>
      <c r="D24" s="161">
        <f>D23/D15</f>
        <v/>
      </c>
      <c r="G24" s="189" t="n"/>
    </row>
    <row r="25" hidden="1" ht="110.25" customHeight="1">
      <c r="B25" s="230" t="n">
        <v>10</v>
      </c>
      <c r="C25" s="159" t="inlineStr">
        <is>
          <t>Примечание</t>
        </is>
      </c>
      <c r="D25" s="15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184" t="n"/>
      <c r="C26" s="185" t="n"/>
      <c r="D26" s="185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  <row r="32" ht="15.75" customHeight="1">
      <c r="B32" s="185" t="n"/>
      <c r="C32" s="185" t="n"/>
      <c r="D32" s="18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G20" sqref="G20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26" t="inlineStr">
        <is>
          <t>Приложение № 2</t>
        </is>
      </c>
    </row>
    <row r="4" ht="15.75" customHeight="1">
      <c r="B4" s="23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>
      <c r="B6" s="225">
        <f>'Прил.1 Сравнит табл'!B7</f>
        <v/>
      </c>
    </row>
    <row r="7" ht="15.75" customHeight="1">
      <c r="B7" s="225">
        <f>'Прил.1 Сравнит табл'!B9</f>
        <v/>
      </c>
    </row>
    <row r="8" ht="18.75" customHeight="1">
      <c r="B8" s="134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16" t="n"/>
      <c r="F9" s="316" t="n"/>
      <c r="G9" s="316" t="n"/>
      <c r="H9" s="316" t="n"/>
      <c r="I9" s="316" t="n"/>
      <c r="J9" s="317" t="n"/>
    </row>
    <row r="10" ht="15.75" customHeight="1">
      <c r="B10" s="318" t="n"/>
      <c r="C10" s="318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сентябрь 2016 г., тыс. руб.</t>
        </is>
      </c>
      <c r="G10" s="316" t="n"/>
      <c r="H10" s="316" t="n"/>
      <c r="I10" s="316" t="n"/>
      <c r="J10" s="317" t="n"/>
    </row>
    <row r="11" ht="31.5" customHeight="1">
      <c r="B11" s="319" t="n"/>
      <c r="C11" s="319" t="n"/>
      <c r="D11" s="319" t="n"/>
      <c r="E11" s="319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38" customFormat="1" customHeight="1" s="216">
      <c r="B12" s="211" t="n">
        <v>1</v>
      </c>
      <c r="C12" s="230" t="inlineStr">
        <is>
          <t>Трансформатор тока 10 кВ</t>
        </is>
      </c>
      <c r="D12" s="213" t="inlineStr">
        <is>
          <t xml:space="preserve">
 02-01-02 э</t>
        </is>
      </c>
      <c r="E12" s="214" t="inlineStr">
        <is>
          <t>ОРУ 35 кВ. Электротехнические решения</t>
        </is>
      </c>
      <c r="F12" s="215" t="n"/>
      <c r="G12" s="215">
        <f>248074.65/1000</f>
        <v/>
      </c>
      <c r="H12" s="215">
        <f>1690923.48/1000</f>
        <v/>
      </c>
      <c r="I12" s="215">
        <f>H12*0.07*0.8</f>
        <v/>
      </c>
      <c r="J12" s="215">
        <f>SUM(F12:I12)</f>
        <v/>
      </c>
    </row>
    <row r="13" ht="15.75" customHeight="1">
      <c r="B13" s="229" t="inlineStr">
        <is>
          <t>Всего по объекту:</t>
        </is>
      </c>
      <c r="C13" s="316" t="n"/>
      <c r="D13" s="316" t="n"/>
      <c r="E13" s="317" t="n"/>
      <c r="F13" s="217">
        <f>F12</f>
        <v/>
      </c>
      <c r="G13" s="217">
        <f>G12</f>
        <v/>
      </c>
      <c r="H13" s="217">
        <f>H12</f>
        <v/>
      </c>
      <c r="I13" s="217">
        <f>I12</f>
        <v/>
      </c>
      <c r="J13" s="217">
        <f>J12</f>
        <v/>
      </c>
    </row>
    <row r="14" ht="28.5" customHeight="1">
      <c r="B14" s="229" t="inlineStr">
        <is>
          <t>Всего по объекту в сопоставимом уровне цен сентябрь 2016 г</t>
        </is>
      </c>
      <c r="C14" s="316" t="n"/>
      <c r="D14" s="316" t="n"/>
      <c r="E14" s="317" t="n"/>
      <c r="F14" s="217">
        <f>F13</f>
        <v/>
      </c>
      <c r="G14" s="217">
        <f>G13</f>
        <v/>
      </c>
      <c r="H14" s="217">
        <f>H13</f>
        <v/>
      </c>
      <c r="I14" s="217">
        <f>I13</f>
        <v/>
      </c>
      <c r="J14" s="217">
        <f>J13</f>
        <v/>
      </c>
    </row>
    <row r="18">
      <c r="C18" s="4" t="inlineStr">
        <is>
          <t>Составил ______________________    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67" zoomScale="70" workbookViewId="0">
      <selection activeCell="D96" sqref="D9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226" t="inlineStr">
        <is>
          <t xml:space="preserve">Приложение № 3 </t>
        </is>
      </c>
    </row>
    <row r="3" ht="18.75" customHeight="1">
      <c r="A3" s="227" t="inlineStr">
        <is>
          <t>Объектная ресурсная ведомость</t>
        </is>
      </c>
    </row>
    <row r="4">
      <c r="B4" s="151" t="n"/>
    </row>
    <row r="5" ht="18.75" customHeight="1">
      <c r="A5" s="227" t="n"/>
      <c r="B5" s="227" t="n"/>
      <c r="C5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8.75" customHeight="1">
      <c r="A6" s="134" t="n"/>
    </row>
    <row r="7" ht="32.25" customHeight="1">
      <c r="A7" s="237">
        <f>'Прил.1 Сравнит табл'!B7</f>
        <v/>
      </c>
    </row>
    <row r="8" ht="15.75" customHeight="1">
      <c r="A8" s="138" t="n"/>
      <c r="B8" s="138" t="n"/>
      <c r="C8" s="138" t="n"/>
      <c r="D8" s="138" t="n"/>
      <c r="E8" s="138" t="n"/>
      <c r="F8" s="138" t="n"/>
      <c r="G8" s="138" t="n"/>
      <c r="H8" s="156" t="n"/>
    </row>
    <row r="9" ht="38.25" customHeight="1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17" t="n"/>
    </row>
    <row r="10" ht="40.5" customHeight="1">
      <c r="A10" s="319" t="n"/>
      <c r="B10" s="319" t="n"/>
      <c r="C10" s="319" t="n"/>
      <c r="D10" s="319" t="n"/>
      <c r="E10" s="319" t="n"/>
      <c r="F10" s="319" t="n"/>
      <c r="G10" s="230" t="inlineStr">
        <is>
          <t>на ед.изм.</t>
        </is>
      </c>
      <c r="H10" s="230" t="inlineStr">
        <is>
          <t>общая</t>
        </is>
      </c>
    </row>
    <row r="11" ht="15.75" customHeight="1">
      <c r="A11" s="230" t="n">
        <v>1</v>
      </c>
      <c r="B11" s="149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149" t="n">
        <v>6</v>
      </c>
      <c r="H11" s="149" t="n">
        <v>7</v>
      </c>
    </row>
    <row r="12" ht="15" customHeight="1">
      <c r="A12" s="232" t="inlineStr">
        <is>
          <t>Затраты труда рабочих</t>
        </is>
      </c>
      <c r="B12" s="316" t="n"/>
      <c r="C12" s="316" t="n"/>
      <c r="D12" s="316" t="n"/>
      <c r="E12" s="316" t="n"/>
      <c r="F12" s="150">
        <f>SUM(F13:F20)</f>
        <v/>
      </c>
      <c r="G12" s="10" t="n"/>
      <c r="H12" s="150">
        <f>SUM(H13:H20)</f>
        <v/>
      </c>
      <c r="J12" s="162" t="n"/>
      <c r="K12" s="120" t="n"/>
    </row>
    <row r="13">
      <c r="A13" s="142" t="n">
        <v>1</v>
      </c>
      <c r="B13" s="157" t="n"/>
      <c r="C13" s="142" t="inlineStr">
        <is>
          <t>1-4-0</t>
        </is>
      </c>
      <c r="D13" s="143" t="inlineStr">
        <is>
          <t>Затраты труда рабочих (средний разряд работы 4,0)</t>
        </is>
      </c>
      <c r="E13" s="260" t="inlineStr">
        <is>
          <t>чел.-ч</t>
        </is>
      </c>
      <c r="F13" s="191" t="n">
        <v>86.34284072885499</v>
      </c>
      <c r="G13" s="145" t="n">
        <v>9.619999999999999</v>
      </c>
      <c r="H13" s="145">
        <f>ROUND(F13*G13,2)</f>
        <v/>
      </c>
    </row>
    <row r="14">
      <c r="A14" s="146">
        <f>A13+1</f>
        <v/>
      </c>
      <c r="B14" s="157" t="n"/>
      <c r="C14" s="142" t="inlineStr">
        <is>
          <t>1-2-0</t>
        </is>
      </c>
      <c r="D14" s="143" t="inlineStr">
        <is>
          <t>Затраты труда рабочих (средний разряд работы 2,0)</t>
        </is>
      </c>
      <c r="E14" s="260" t="inlineStr">
        <is>
          <t>чел.-ч</t>
        </is>
      </c>
      <c r="F14" s="191" t="n">
        <v>12.334713668668</v>
      </c>
      <c r="G14" s="145" t="n">
        <v>7.8</v>
      </c>
      <c r="H14" s="145">
        <f>ROUND(F14*G14,2)</f>
        <v/>
      </c>
    </row>
    <row r="15">
      <c r="A15" s="146">
        <f>A14+1</f>
        <v/>
      </c>
      <c r="B15" s="157" t="n"/>
      <c r="C15" s="142" t="inlineStr">
        <is>
          <t>1-2-9</t>
        </is>
      </c>
      <c r="D15" s="143" t="inlineStr">
        <is>
          <t>Затраты труда рабочих (средний разряд работы 2,9)</t>
        </is>
      </c>
      <c r="E15" s="260" t="inlineStr">
        <is>
          <t>чел.-ч</t>
        </is>
      </c>
      <c r="F15" s="191" t="n">
        <v>6.0147109609928</v>
      </c>
      <c r="G15" s="145" t="n">
        <v>8.460000000000001</v>
      </c>
      <c r="H15" s="145">
        <f>ROUND(F15*G15,2)</f>
        <v/>
      </c>
    </row>
    <row r="16">
      <c r="A16" s="146">
        <f>A15+1</f>
        <v/>
      </c>
      <c r="B16" s="157" t="n"/>
      <c r="C16" s="142" t="inlineStr">
        <is>
          <t>1-3-0</t>
        </is>
      </c>
      <c r="D16" s="143" t="inlineStr">
        <is>
          <t>Затраты труда рабочих (средний разряд работы 3,0)</t>
        </is>
      </c>
      <c r="E16" s="260" t="inlineStr">
        <is>
          <t>чел.-ч</t>
        </is>
      </c>
      <c r="F16" s="191" t="n">
        <v>4.0881135033429</v>
      </c>
      <c r="G16" s="145" t="n">
        <v>8.529999999999999</v>
      </c>
      <c r="H16" s="145">
        <f>ROUND(F16*G16,2)</f>
        <v/>
      </c>
    </row>
    <row r="17">
      <c r="A17" s="146">
        <f>A16+1</f>
        <v/>
      </c>
      <c r="B17" s="157" t="n"/>
      <c r="C17" s="142" t="inlineStr">
        <is>
          <t>1-4-1</t>
        </is>
      </c>
      <c r="D17" s="143" t="inlineStr">
        <is>
          <t>Затраты труда рабочих (средний разряд работы 4,1)</t>
        </is>
      </c>
      <c r="E17" s="260" t="inlineStr">
        <is>
          <t>чел.-ч</t>
        </is>
      </c>
      <c r="F17" s="191" t="n">
        <v>1.9592557836946</v>
      </c>
      <c r="G17" s="145" t="n">
        <v>9.76</v>
      </c>
      <c r="H17" s="145">
        <f>ROUND(F17*G17,2)</f>
        <v/>
      </c>
    </row>
    <row r="18">
      <c r="A18" s="146">
        <f>A17+1</f>
        <v/>
      </c>
      <c r="B18" s="157" t="n"/>
      <c r="C18" s="142" t="inlineStr">
        <is>
          <t>1-3-9</t>
        </is>
      </c>
      <c r="D18" s="143" t="inlineStr">
        <is>
          <t>Затраты труда рабочих (средний разряд работы 3,9)</t>
        </is>
      </c>
      <c r="E18" s="260" t="inlineStr">
        <is>
          <t>чел.-ч</t>
        </is>
      </c>
      <c r="F18" s="191" t="n">
        <v>1.5569215185964</v>
      </c>
      <c r="G18" s="145" t="n">
        <v>9.51</v>
      </c>
      <c r="H18" s="145">
        <f>ROUND(F18*G18,2)</f>
        <v/>
      </c>
      <c r="L18" s="141" t="n"/>
    </row>
    <row r="19">
      <c r="A19" s="146">
        <f>A18+1</f>
        <v/>
      </c>
      <c r="B19" s="157" t="n"/>
      <c r="C19" s="142" t="inlineStr">
        <is>
          <t>1-3-4</t>
        </is>
      </c>
      <c r="D19" s="143" t="inlineStr">
        <is>
          <t>Затраты труда рабочих (средний разряд работы 3,4)</t>
        </is>
      </c>
      <c r="E19" s="260" t="inlineStr">
        <is>
          <t>чел.-ч</t>
        </is>
      </c>
      <c r="F19" s="191" t="n">
        <v>0.62438428071259</v>
      </c>
      <c r="G19" s="145" t="n">
        <v>8.970000000000001</v>
      </c>
      <c r="H19" s="145">
        <f>ROUND(F19*G19,2)</f>
        <v/>
      </c>
    </row>
    <row r="20">
      <c r="A20" s="146">
        <f>A19+1</f>
        <v/>
      </c>
      <c r="B20" s="157" t="n"/>
      <c r="C20" s="142" t="inlineStr">
        <is>
          <t>1-3-5</t>
        </is>
      </c>
      <c r="D20" s="143" t="inlineStr">
        <is>
          <t>Затраты труда рабочих (средний разряд работы 3,5)</t>
        </is>
      </c>
      <c r="E20" s="260" t="inlineStr">
        <is>
          <t>чел.-ч</t>
        </is>
      </c>
      <c r="F20" s="191" t="n">
        <v>0.53288494962074</v>
      </c>
      <c r="G20" s="145" t="n">
        <v>9.07</v>
      </c>
      <c r="H20" s="145">
        <f>ROUND(F20*G20,2)</f>
        <v/>
      </c>
    </row>
    <row r="21" ht="15" customHeight="1">
      <c r="A21" s="236" t="inlineStr">
        <is>
          <t>Затраты труда машинистов</t>
        </is>
      </c>
      <c r="B21" s="316" t="n"/>
      <c r="C21" s="316" t="n"/>
      <c r="D21" s="316" t="n"/>
      <c r="E21" s="317" t="n"/>
      <c r="F21" s="10" t="n"/>
      <c r="G21" s="10" t="n"/>
      <c r="H21" s="150">
        <f>H22</f>
        <v/>
      </c>
    </row>
    <row r="22">
      <c r="A22" s="146">
        <f>A20+1</f>
        <v/>
      </c>
      <c r="B22" s="157" t="n"/>
      <c r="C22" s="142" t="n">
        <v>2</v>
      </c>
      <c r="D22" s="143" t="inlineStr">
        <is>
          <t>Затраты труда машинистов</t>
        </is>
      </c>
      <c r="E22" s="260" t="inlineStr">
        <is>
          <t>чел.-ч</t>
        </is>
      </c>
      <c r="F22" s="260">
        <f>'Прил.5 Расчет СМР и ОБ'!E16</f>
        <v/>
      </c>
      <c r="G22" s="145" t="n"/>
      <c r="H22" s="139">
        <f>'Прил.5 Расчет СМР и ОБ'!G16</f>
        <v/>
      </c>
      <c r="L22" s="141" t="n"/>
    </row>
    <row r="23" ht="15" customHeight="1">
      <c r="A23" s="236" t="inlineStr">
        <is>
          <t>Машины и механизмы</t>
        </is>
      </c>
      <c r="B23" s="316" t="n"/>
      <c r="C23" s="316" t="n"/>
      <c r="D23" s="316" t="n"/>
      <c r="E23" s="317" t="n"/>
      <c r="F23" s="10" t="n"/>
      <c r="G23" s="10" t="n"/>
      <c r="H23" s="150">
        <f>SUM(H24:H43)</f>
        <v/>
      </c>
    </row>
    <row r="24" ht="25.5" customHeight="1">
      <c r="A24" s="142">
        <f>A22+1</f>
        <v/>
      </c>
      <c r="B24" s="157" t="n"/>
      <c r="C24" s="142" t="inlineStr">
        <is>
          <t>91.05.05-014</t>
        </is>
      </c>
      <c r="D24" s="143" t="inlineStr">
        <is>
          <t>Краны на автомобильном ходу, грузоподъемность 10 т</t>
        </is>
      </c>
      <c r="E24" s="260" t="inlineStr">
        <is>
          <t>маш.-ч</t>
        </is>
      </c>
      <c r="F24" s="260" t="n">
        <v>6.9674896</v>
      </c>
      <c r="G24" s="147" t="n">
        <v>111.99</v>
      </c>
      <c r="H24" s="145">
        <f>ROUND(F24*G24,2)</f>
        <v/>
      </c>
    </row>
    <row r="25" ht="25.5" customHeight="1">
      <c r="A25" s="142">
        <f>A24+1</f>
        <v/>
      </c>
      <c r="B25" s="157" t="n"/>
      <c r="C25" s="142" t="inlineStr">
        <is>
          <t>91.01.05-086</t>
        </is>
      </c>
      <c r="D25" s="143" t="inlineStr">
        <is>
          <t>Экскаваторы одноковшовые дизельные на гусеничном ходу, емкость ковша 0,65 м3</t>
        </is>
      </c>
      <c r="E25" s="260" t="inlineStr">
        <is>
          <t>маш.-ч</t>
        </is>
      </c>
      <c r="F25" s="148" t="n">
        <v>0.77101583</v>
      </c>
      <c r="G25" s="147" t="n">
        <v>115.27</v>
      </c>
      <c r="H25" s="145">
        <f>ROUND(F25*G25,2)</f>
        <v/>
      </c>
    </row>
    <row r="26" ht="38.25" customHeight="1">
      <c r="A26" s="142">
        <f>A25+1</f>
        <v/>
      </c>
      <c r="B26" s="157" t="n"/>
      <c r="C26" s="142" t="inlineStr">
        <is>
          <t>91.18.01-007</t>
        </is>
      </c>
      <c r="D26" s="1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60" t="inlineStr">
        <is>
          <t>маш.-ч</t>
        </is>
      </c>
      <c r="F26" s="260" t="n">
        <v>0.9724048</v>
      </c>
      <c r="G26" s="147" t="n">
        <v>90</v>
      </c>
      <c r="H26" s="145">
        <f>ROUND(F26*G26,2)</f>
        <v/>
      </c>
    </row>
    <row r="27">
      <c r="A27" s="142">
        <f>A26+1</f>
        <v/>
      </c>
      <c r="B27" s="157" t="n"/>
      <c r="C27" s="142" t="inlineStr">
        <is>
          <t>91.16.01-001</t>
        </is>
      </c>
      <c r="D27" s="143" t="inlineStr">
        <is>
          <t>Электростанции передвижные, мощность 2 кВт</t>
        </is>
      </c>
      <c r="E27" s="260" t="inlineStr">
        <is>
          <t>маш.-ч</t>
        </is>
      </c>
      <c r="F27" s="260" t="n">
        <v>2.213746</v>
      </c>
      <c r="G27" s="147" t="n">
        <v>22.29</v>
      </c>
      <c r="H27" s="145">
        <f>ROUND(F27*G27,2)</f>
        <v/>
      </c>
    </row>
    <row r="28" ht="25.5" customHeight="1">
      <c r="A28" s="142">
        <f>A27+1</f>
        <v/>
      </c>
      <c r="B28" s="157" t="n"/>
      <c r="C28" s="142" t="inlineStr">
        <is>
          <t>91.17.04-233</t>
        </is>
      </c>
      <c r="D28" s="143" t="inlineStr">
        <is>
          <t>Установки для сварки ручной дуговой (постоянного тока)</t>
        </is>
      </c>
      <c r="E28" s="260" t="inlineStr">
        <is>
          <t>маш.-ч</t>
        </is>
      </c>
      <c r="F28" s="260" t="n">
        <v>5.5297176</v>
      </c>
      <c r="G28" s="147" t="n">
        <v>8.1</v>
      </c>
      <c r="H28" s="145">
        <f>ROUND(F28*G28,2)</f>
        <v/>
      </c>
    </row>
    <row r="29">
      <c r="A29" s="142">
        <f>A28+1</f>
        <v/>
      </c>
      <c r="B29" s="157" t="n"/>
      <c r="C29" s="142" t="inlineStr">
        <is>
          <t>91.14.02-001</t>
        </is>
      </c>
      <c r="D29" s="143" t="inlineStr">
        <is>
          <t>Автомобили бортовые, грузоподъемность до 5 т</t>
        </is>
      </c>
      <c r="E29" s="260" t="inlineStr">
        <is>
          <t>маш.-ч</t>
        </is>
      </c>
      <c r="F29" s="191" t="n">
        <v>0.6011697571074101</v>
      </c>
      <c r="G29" s="147" t="n">
        <v>65.73999999999999</v>
      </c>
      <c r="H29" s="145">
        <f>ROUND(F29*G29,2)</f>
        <v/>
      </c>
    </row>
    <row r="30" ht="25.5" customHeight="1">
      <c r="A30" s="142">
        <f>A29+1</f>
        <v/>
      </c>
      <c r="B30" s="157" t="n"/>
      <c r="C30" s="142" t="inlineStr">
        <is>
          <t>91.05.06-012</t>
        </is>
      </c>
      <c r="D30" s="143" t="inlineStr">
        <is>
          <t>Краны на гусеничном ходу, грузоподъемность до 16 т</t>
        </is>
      </c>
      <c r="E30" s="260" t="inlineStr">
        <is>
          <t>маш.-ч</t>
        </is>
      </c>
      <c r="F30" s="191" t="n">
        <v>0.30906064516129</v>
      </c>
      <c r="G30" s="147" t="n">
        <v>96.89</v>
      </c>
      <c r="H30" s="145">
        <f>ROUND(F30*G30,2)</f>
        <v/>
      </c>
    </row>
    <row r="31" ht="25.5" customHeight="1">
      <c r="A31" s="142">
        <f>A30+1</f>
        <v/>
      </c>
      <c r="B31" s="157" t="n"/>
      <c r="C31" s="142" t="inlineStr">
        <is>
          <t>91.06.03-058</t>
        </is>
      </c>
      <c r="D31" s="143" t="inlineStr">
        <is>
          <t>Лебедки электрические тяговым усилием 156,96 кН (16 т)</t>
        </is>
      </c>
      <c r="E31" s="260" t="inlineStr">
        <is>
          <t>маш.-ч</t>
        </is>
      </c>
      <c r="F31" s="191" t="n">
        <v>0.12425381070542</v>
      </c>
      <c r="G31" s="147" t="n">
        <v>131.33</v>
      </c>
      <c r="H31" s="145">
        <f>ROUND(F31*G31,2)</f>
        <v/>
      </c>
    </row>
    <row r="32">
      <c r="A32" s="142">
        <f>A31+1</f>
        <v/>
      </c>
      <c r="B32" s="157" t="n"/>
      <c r="C32" s="142" t="inlineStr">
        <is>
          <t>91.14.03-002</t>
        </is>
      </c>
      <c r="D32" s="143" t="inlineStr">
        <is>
          <t>Автомобиль-самосвал, грузоподъемность до 10 т</t>
        </is>
      </c>
      <c r="E32" s="260" t="inlineStr">
        <is>
          <t>маш.-ч</t>
        </is>
      </c>
      <c r="F32" s="191" t="n">
        <v>0.15020256753102</v>
      </c>
      <c r="G32" s="147" t="n">
        <v>87.55</v>
      </c>
      <c r="H32" s="145">
        <f>ROUND(F32*G32,2)</f>
        <v/>
      </c>
    </row>
    <row r="33" ht="38.25" customHeight="1">
      <c r="A33" s="142">
        <f>A32+1</f>
        <v/>
      </c>
      <c r="B33" s="157" t="n"/>
      <c r="C33" s="142" t="inlineStr">
        <is>
          <t>91.21.01-014</t>
        </is>
      </c>
      <c r="D33" s="143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33" s="260" t="inlineStr">
        <is>
          <t>маш.-ч</t>
        </is>
      </c>
      <c r="F33" s="191" t="n">
        <v>2.2922198036157</v>
      </c>
      <c r="G33" s="147" t="n">
        <v>5.59</v>
      </c>
      <c r="H33" s="145">
        <f>ROUND(F33*G33,2)</f>
        <v/>
      </c>
    </row>
    <row r="34">
      <c r="A34" s="142">
        <f>A33+1</f>
        <v/>
      </c>
      <c r="B34" s="157" t="n"/>
      <c r="C34" s="142" t="inlineStr">
        <is>
          <t>91.01.01-035</t>
        </is>
      </c>
      <c r="D34" s="143" t="inlineStr">
        <is>
          <t>Бульдозеры, мощность 79 кВт (108 л.с.)</t>
        </is>
      </c>
      <c r="E34" s="260" t="inlineStr">
        <is>
          <t>маш.-ч</t>
        </is>
      </c>
      <c r="F34" s="191" t="n">
        <v>0.11593398263027</v>
      </c>
      <c r="G34" s="147" t="n">
        <v>79.04000000000001</v>
      </c>
      <c r="H34" s="145">
        <f>ROUND(F34*G34,2)</f>
        <v/>
      </c>
    </row>
    <row r="35" ht="38.25" customHeight="1">
      <c r="A35" s="142">
        <f>A34+1</f>
        <v/>
      </c>
      <c r="B35" s="157" t="n"/>
      <c r="C35" s="142" t="inlineStr">
        <is>
          <t>91.18.01-011</t>
        </is>
      </c>
      <c r="D35" s="143" t="inlineStr">
        <is>
          <t>Компрессоры передвижные с электродвигателем давлением 600 кПа (6 ат), производительность 0,5 м3/мин</t>
        </is>
      </c>
      <c r="E35" s="260" t="inlineStr">
        <is>
          <t>маш.-ч</t>
        </is>
      </c>
      <c r="F35" s="191" t="n">
        <v>2.2922198036157</v>
      </c>
      <c r="G35" s="147" t="n">
        <v>3.7</v>
      </c>
      <c r="H35" s="145">
        <f>ROUND(F35*G35,2)</f>
        <v/>
      </c>
    </row>
    <row r="36" ht="25.5" customHeight="1">
      <c r="A36" s="142">
        <f>A35+1</f>
        <v/>
      </c>
      <c r="B36" s="157" t="n"/>
      <c r="C36" s="142" t="inlineStr">
        <is>
          <t>91.17.04-036</t>
        </is>
      </c>
      <c r="D36" s="143" t="inlineStr">
        <is>
          <t>Агрегаты сварочные передвижные с дизельным двигателем, номинальный сварочный ток 250-400 А</t>
        </is>
      </c>
      <c r="E36" s="260" t="inlineStr">
        <is>
          <t>маш.-ч</t>
        </is>
      </c>
      <c r="F36" s="191" t="n">
        <v>0.48275194080113</v>
      </c>
      <c r="G36" s="147" t="n">
        <v>14.01</v>
      </c>
      <c r="H36" s="145">
        <f>ROUND(F36*G36,2)</f>
        <v/>
      </c>
    </row>
    <row r="37">
      <c r="A37" s="142">
        <f>A36+1</f>
        <v/>
      </c>
      <c r="B37" s="157" t="n"/>
      <c r="C37" s="142" t="inlineStr">
        <is>
          <t>91.08.04-021</t>
        </is>
      </c>
      <c r="D37" s="143" t="inlineStr">
        <is>
          <t>Котлы битумные передвижные 400 л</t>
        </is>
      </c>
      <c r="E37" s="260" t="inlineStr">
        <is>
          <t>маш.-ч</t>
        </is>
      </c>
      <c r="F37" s="191" t="n">
        <v>0.14537695852535</v>
      </c>
      <c r="G37" s="147" t="n">
        <v>29.99</v>
      </c>
      <c r="H37" s="145">
        <f>ROUND(F37*G37,2)</f>
        <v/>
      </c>
    </row>
    <row r="38">
      <c r="A38" s="142">
        <f>A37+1</f>
        <v/>
      </c>
      <c r="B38" s="157" t="n"/>
      <c r="C38" s="142" t="inlineStr">
        <is>
          <t>91.05.01-017</t>
        </is>
      </c>
      <c r="D38" s="143" t="inlineStr">
        <is>
          <t>Краны башенные, грузоподъемность 8 т</t>
        </is>
      </c>
      <c r="E38" s="260" t="inlineStr">
        <is>
          <t>маш.-ч</t>
        </is>
      </c>
      <c r="F38" s="191" t="n">
        <v>0.026093300248139</v>
      </c>
      <c r="G38" s="147" t="n">
        <v>86.51000000000001</v>
      </c>
      <c r="H38" s="145">
        <f>ROUND(F38*G38,2)</f>
        <v/>
      </c>
    </row>
    <row r="39" ht="25.5" customHeight="1">
      <c r="A39" s="142">
        <f>A38+1</f>
        <v/>
      </c>
      <c r="B39" s="157" t="n"/>
      <c r="C39" s="142" t="inlineStr">
        <is>
          <t>91.08.09-023</t>
        </is>
      </c>
      <c r="D39" s="143" t="inlineStr">
        <is>
          <t>Трамбовки пневматические при работе от передвижных компрессорных станций</t>
        </is>
      </c>
      <c r="E39" s="260" t="inlineStr">
        <is>
          <t>маш.-ч</t>
        </is>
      </c>
      <c r="F39" s="191" t="n">
        <v>4.0341242426799</v>
      </c>
      <c r="G39" s="147" t="n">
        <v>0.55</v>
      </c>
      <c r="H39" s="145">
        <f>ROUND(F39*G39,2)</f>
        <v/>
      </c>
    </row>
    <row r="40">
      <c r="A40" s="142">
        <f>A39+1</f>
        <v/>
      </c>
      <c r="B40" s="157" t="n"/>
      <c r="C40" s="142" t="inlineStr">
        <is>
          <t>91.07.04-001</t>
        </is>
      </c>
      <c r="D40" s="143" t="inlineStr">
        <is>
          <t>Вибратор глубинный</t>
        </is>
      </c>
      <c r="E40" s="260" t="inlineStr">
        <is>
          <t>маш.-ч</t>
        </is>
      </c>
      <c r="F40" s="191" t="n">
        <v>0.25629419354839</v>
      </c>
      <c r="G40" s="147" t="n">
        <v>1.9</v>
      </c>
      <c r="H40" s="145">
        <f>ROUND(F40*G40,2)</f>
        <v/>
      </c>
    </row>
    <row r="41">
      <c r="A41" s="142">
        <f>A40+1</f>
        <v/>
      </c>
      <c r="B41" s="157" t="n"/>
      <c r="C41" s="142" t="inlineStr">
        <is>
          <t>91.06.05-011</t>
        </is>
      </c>
      <c r="D41" s="143" t="inlineStr">
        <is>
          <t>Погрузчик, грузоподъемность 5 т</t>
        </is>
      </c>
      <c r="E41" s="260" t="inlineStr">
        <is>
          <t>маш.-ч</t>
        </is>
      </c>
      <c r="F41" s="191" t="n">
        <v>0.0036344239631336</v>
      </c>
      <c r="G41" s="147" t="n">
        <v>91.17</v>
      </c>
      <c r="H41" s="145">
        <f>ROUND(F41*G41,2)</f>
        <v/>
      </c>
    </row>
    <row r="42">
      <c r="A42" s="142">
        <f>A41+1</f>
        <v/>
      </c>
      <c r="B42" s="157" t="n"/>
      <c r="C42" s="142" t="inlineStr">
        <is>
          <t>91.14.02-002</t>
        </is>
      </c>
      <c r="D42" s="143" t="inlineStr">
        <is>
          <t>Автомобили бортовые, грузоподъемность до 8 т</t>
        </is>
      </c>
      <c r="E42" s="260" t="inlineStr">
        <is>
          <t>маш.-ч</t>
        </is>
      </c>
      <c r="F42" s="191" t="n">
        <v>0.0022717738390642</v>
      </c>
      <c r="G42" s="147" t="n">
        <v>86.59999999999999</v>
      </c>
      <c r="H42" s="145">
        <f>ROUND(F42*G42,2)</f>
        <v/>
      </c>
    </row>
    <row r="43">
      <c r="A43" s="142">
        <f>A42+1</f>
        <v/>
      </c>
      <c r="B43" s="157" t="n"/>
      <c r="C43" s="142" t="inlineStr">
        <is>
          <t>91.07.04-002</t>
        </is>
      </c>
      <c r="D43" s="143" t="inlineStr">
        <is>
          <t>Вибратор поверхностный</t>
        </is>
      </c>
      <c r="E43" s="260" t="inlineStr">
        <is>
          <t>маш.-ч</t>
        </is>
      </c>
      <c r="F43" s="191" t="n">
        <v>0.10342887203119</v>
      </c>
      <c r="G43" s="147" t="n">
        <v>0.5</v>
      </c>
      <c r="H43" s="145">
        <f>ROUND(F43*G43,2)</f>
        <v/>
      </c>
    </row>
    <row r="44" ht="15" customHeight="1">
      <c r="A44" s="236" t="inlineStr">
        <is>
          <t>Оборудование</t>
        </is>
      </c>
      <c r="B44" s="316" t="n"/>
      <c r="C44" s="316" t="n"/>
      <c r="D44" s="316" t="n"/>
      <c r="E44" s="317" t="n"/>
      <c r="F44" s="10" t="n"/>
      <c r="G44" s="10" t="n"/>
      <c r="H44" s="150">
        <f>SUM(H45:H46)</f>
        <v/>
      </c>
    </row>
    <row r="45" ht="63.75" customHeight="1">
      <c r="A45" s="146">
        <f>A43+1</f>
        <v/>
      </c>
      <c r="B45" s="236" t="n"/>
      <c r="C45" s="142" t="inlineStr">
        <is>
          <t>Прайс из СД ОП</t>
        </is>
      </c>
      <c r="D45" s="143" t="inlineStr">
        <is>
      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      </is>
      </c>
      <c r="E45" s="260" t="inlineStr">
        <is>
          <t>шт.</t>
        </is>
      </c>
      <c r="F45" s="260" t="n">
        <v>2</v>
      </c>
      <c r="G45" s="145" t="n">
        <v>47266.08</v>
      </c>
      <c r="H45" s="145" t="n">
        <v>94532.16</v>
      </c>
    </row>
    <row r="46" ht="63.75" customHeight="1">
      <c r="A46" s="146" t="n">
        <v>31</v>
      </c>
      <c r="B46" s="236" t="n"/>
      <c r="C46" s="142" t="inlineStr">
        <is>
          <t>Прайс из СД ОП</t>
        </is>
      </c>
      <c r="D46" s="143" t="inlineStr">
        <is>
          <t>Шкаф управления разъединителями</t>
        </is>
      </c>
      <c r="E46" s="260" t="inlineStr">
        <is>
          <t>шт.</t>
        </is>
      </c>
      <c r="F46" s="260" t="n">
        <v>2</v>
      </c>
      <c r="G46" s="145" t="n">
        <v>95846.645367412</v>
      </c>
      <c r="H46" s="145" t="n">
        <v>191693.29</v>
      </c>
    </row>
    <row r="47" ht="15" customHeight="1">
      <c r="A47" s="236" t="inlineStr">
        <is>
          <t>Материалы</t>
        </is>
      </c>
      <c r="B47" s="316" t="n"/>
      <c r="C47" s="316" t="n"/>
      <c r="D47" s="316" t="n"/>
      <c r="E47" s="317" t="n"/>
      <c r="F47" s="10" t="n"/>
      <c r="G47" s="10" t="n"/>
      <c r="H47" s="150">
        <f>SUM(H48:H91)</f>
        <v/>
      </c>
    </row>
    <row r="48" ht="25.5" customHeight="1">
      <c r="A48" s="146">
        <f>A45+1</f>
        <v/>
      </c>
      <c r="B48" s="157" t="n"/>
      <c r="C48" s="142" t="inlineStr">
        <is>
          <t>21.1.06.10-0411</t>
        </is>
      </c>
      <c r="D48" s="143" t="inlineStr">
        <is>
          <t>Кабель силовой с медными жилами ВВГнг(A)-LS 5х16мк(N, РЕ)-1000</t>
        </is>
      </c>
      <c r="E48" s="260" t="inlineStr">
        <is>
          <t>1000 м</t>
        </is>
      </c>
      <c r="F48" s="260" t="n">
        <v>0.014</v>
      </c>
      <c r="G48" s="145" t="n">
        <v>98440.41</v>
      </c>
      <c r="H48" s="145">
        <f>ROUND(F48*G48,2)</f>
        <v/>
      </c>
    </row>
    <row r="49">
      <c r="A49" s="146">
        <f>A48+1</f>
        <v/>
      </c>
      <c r="B49" s="157" t="n"/>
      <c r="C49" s="142" t="inlineStr">
        <is>
          <t>21.1.08.03-0574</t>
        </is>
      </c>
      <c r="D49" s="143" t="inlineStr">
        <is>
          <t>Кабель контрольный КВВГЭнг(А)-LS 4x2,5</t>
        </is>
      </c>
      <c r="E49" s="260" t="inlineStr">
        <is>
          <t>1000 м</t>
        </is>
      </c>
      <c r="F49" s="260" t="n">
        <v>0.028</v>
      </c>
      <c r="G49" s="145" t="n">
        <v>38348.22</v>
      </c>
      <c r="H49" s="145">
        <f>ROUND(F49*G49,2)</f>
        <v/>
      </c>
    </row>
    <row r="50" ht="25.5" customHeight="1">
      <c r="A50" s="146">
        <f>A49+1</f>
        <v/>
      </c>
      <c r="B50" s="157" t="n"/>
      <c r="C50" s="142" t="inlineStr">
        <is>
          <t>05.1.01.10-0131</t>
        </is>
      </c>
      <c r="D50" s="143" t="inlineStr">
        <is>
          <t>Лотки каналов и тоннелей железобетонные для прокладки коммуникаций</t>
        </is>
      </c>
      <c r="E50" s="260" t="inlineStr">
        <is>
          <t>м3</t>
        </is>
      </c>
      <c r="F50" s="260" t="n">
        <v>0.5600000000000001</v>
      </c>
      <c r="G50" s="145" t="n">
        <v>1837.28</v>
      </c>
      <c r="H50" s="145">
        <f>ROUND(F50*G50,2)</f>
        <v/>
      </c>
    </row>
    <row r="51" ht="25.5" customHeight="1">
      <c r="A51" s="146">
        <f>A50+1</f>
        <v/>
      </c>
      <c r="B51" s="157" t="n"/>
      <c r="C51" s="142" t="inlineStr">
        <is>
          <t>04.1.02.05-0046</t>
        </is>
      </c>
      <c r="D51" s="143" t="inlineStr">
        <is>
          <t>Бетон тяжелый, крупность заполнителя 20 мм, класс В25 (М350)</t>
        </is>
      </c>
      <c r="E51" s="260" t="inlineStr">
        <is>
          <t>м3</t>
        </is>
      </c>
      <c r="F51" s="260" t="n">
        <v>1.3195</v>
      </c>
      <c r="G51" s="145" t="n">
        <v>720</v>
      </c>
      <c r="H51" s="145">
        <f>ROUND(F51*G51,2)</f>
        <v/>
      </c>
    </row>
    <row r="52" ht="51" customHeight="1">
      <c r="A52" s="146">
        <f>A51+1</f>
        <v/>
      </c>
      <c r="B52" s="157" t="n"/>
      <c r="C52" s="142" t="inlineStr">
        <is>
          <t>07.2.07.12-0011</t>
        </is>
      </c>
      <c r="D52" s="143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52" s="260" t="inlineStr">
        <is>
          <t>т</t>
        </is>
      </c>
      <c r="F52" s="260" t="n">
        <v>0.08046399999999999</v>
      </c>
      <c r="G52" s="145" t="n">
        <v>11255</v>
      </c>
      <c r="H52" s="145">
        <f>ROUND(F52*G52,2)</f>
        <v/>
      </c>
    </row>
    <row r="53" ht="38.25" customHeight="1">
      <c r="A53" s="146">
        <f>A52+1</f>
        <v/>
      </c>
      <c r="B53" s="157" t="n"/>
      <c r="C53" s="142" t="inlineStr">
        <is>
          <t>07.2.07.12-0019</t>
        </is>
      </c>
      <c r="D53" s="14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53" s="260" t="inlineStr">
        <is>
          <t>т</t>
        </is>
      </c>
      <c r="F53" s="260" t="n">
        <v>0.032527</v>
      </c>
      <c r="G53" s="145" t="n">
        <v>8060</v>
      </c>
      <c r="H53" s="145">
        <f>ROUND(F53*G53,2)</f>
        <v/>
      </c>
    </row>
    <row r="54">
      <c r="A54" s="146">
        <f>A53+1</f>
        <v/>
      </c>
      <c r="B54" s="157" t="n"/>
      <c r="C54" s="142" t="inlineStr">
        <is>
          <t>20.1.01.02-0067</t>
        </is>
      </c>
      <c r="D54" s="143" t="inlineStr">
        <is>
          <t>Зажим аппаратный прессуемый: А4А-400-2</t>
        </is>
      </c>
      <c r="E54" s="260" t="inlineStr">
        <is>
          <t>100 шт.</t>
        </is>
      </c>
      <c r="F54" s="260" t="n">
        <v>0.04</v>
      </c>
      <c r="G54" s="145" t="n">
        <v>6505</v>
      </c>
      <c r="H54" s="145">
        <f>ROUND(F54*G54,2)</f>
        <v/>
      </c>
    </row>
    <row r="55">
      <c r="A55" s="146">
        <f>A54+1</f>
        <v/>
      </c>
      <c r="B55" s="157" t="n"/>
      <c r="C55" s="142" t="inlineStr">
        <is>
          <t>02.2.05.04-1777</t>
        </is>
      </c>
      <c r="D55" s="143" t="inlineStr">
        <is>
          <t>Щебень М 800, фракция 20-40 мм, группа 2</t>
        </is>
      </c>
      <c r="E55" s="260" t="inlineStr">
        <is>
          <t>м3</t>
        </is>
      </c>
      <c r="F55" s="260" t="n">
        <v>1.6</v>
      </c>
      <c r="G55" s="145" t="n">
        <v>108.4</v>
      </c>
      <c r="H55" s="145">
        <f>ROUND(F55*G55,2)</f>
        <v/>
      </c>
    </row>
    <row r="56" ht="25.5" customHeight="1">
      <c r="A56" s="146">
        <f>A55+1</f>
        <v/>
      </c>
      <c r="B56" s="157" t="n"/>
      <c r="C56" s="142" t="inlineStr">
        <is>
          <t>01.7.15.03-0035</t>
        </is>
      </c>
      <c r="D56" s="143" t="inlineStr">
        <is>
          <t>Болты с гайками и шайбами оцинкованные, диаметр 20 мм</t>
        </is>
      </c>
      <c r="E56" s="260" t="inlineStr">
        <is>
          <t>кг</t>
        </is>
      </c>
      <c r="F56" s="260" t="n">
        <v>6.53</v>
      </c>
      <c r="G56" s="145" t="n">
        <v>24.97</v>
      </c>
      <c r="H56" s="145">
        <f>ROUND(F56*G56,2)</f>
        <v/>
      </c>
    </row>
    <row r="57" ht="38.25" customHeight="1">
      <c r="A57" s="146">
        <f>A56+1</f>
        <v/>
      </c>
      <c r="B57" s="157" t="n"/>
      <c r="C57" s="142" t="inlineStr">
        <is>
          <t>08.4.01.01-0022</t>
        </is>
      </c>
      <c r="D57" s="143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7" s="260" t="inlineStr">
        <is>
          <t>т</t>
        </is>
      </c>
      <c r="F57" s="260" t="n">
        <v>0.01448</v>
      </c>
      <c r="G57" s="145" t="n">
        <v>10100</v>
      </c>
      <c r="H57" s="145">
        <f>ROUND(F57*G57,2)</f>
        <v/>
      </c>
    </row>
    <row r="58" ht="25.5" customHeight="1">
      <c r="A58" s="146">
        <f>A57+1</f>
        <v/>
      </c>
      <c r="B58" s="157" t="n"/>
      <c r="C58" s="142" t="inlineStr">
        <is>
          <t>21.2.01.02-0086</t>
        </is>
      </c>
      <c r="D58" s="143" t="inlineStr">
        <is>
          <t>Провод неизолированный для воздушных линий электропередачи АС 70/11</t>
        </is>
      </c>
      <c r="E58" s="260" t="inlineStr">
        <is>
          <t>т</t>
        </is>
      </c>
      <c r="F58" s="260" t="n">
        <v>0.00446</v>
      </c>
      <c r="G58" s="145" t="n">
        <v>31957.37</v>
      </c>
      <c r="H58" s="145">
        <f>ROUND(F58*G58,2)</f>
        <v/>
      </c>
    </row>
    <row r="59" ht="25.5" customHeight="1">
      <c r="A59" s="146">
        <f>A58+1</f>
        <v/>
      </c>
      <c r="B59" s="157" t="n"/>
      <c r="C59" s="142" t="inlineStr">
        <is>
          <t>08.4.03.03-0004</t>
        </is>
      </c>
      <c r="D59" s="143" t="inlineStr">
        <is>
          <t>Горячекатанная арматурная сталь класса А500 С, диаметром 12 мм</t>
        </is>
      </c>
      <c r="E59" s="260" t="inlineStr">
        <is>
          <t>т</t>
        </is>
      </c>
      <c r="F59" s="260" t="n">
        <v>0.02496</v>
      </c>
      <c r="G59" s="145" t="n">
        <v>5584.58</v>
      </c>
      <c r="H59" s="145">
        <f>ROUND(F59*G59,2)</f>
        <v/>
      </c>
    </row>
    <row r="60" ht="51" customHeight="1">
      <c r="A60" s="146">
        <f>A59+1</f>
        <v/>
      </c>
      <c r="B60" s="157" t="n"/>
      <c r="C60" s="142" t="inlineStr">
        <is>
          <t>14.4.04.04-0001</t>
        </is>
      </c>
      <c r="D60" s="143" t="inlineStr">
        <is>
          <t>Эмаль кремнийорганическая КО-88 серебристая термостойкая СЕРЕБРОЛ (0,55  кг на м2)  (прим) ((14,64*43,1+7,51*32,1+7,07*25,7+25,71*32,9)*1,03/1000*0,3*6/1000*2)</t>
        </is>
      </c>
      <c r="E60" s="260" t="inlineStr">
        <is>
          <t>т</t>
        </is>
      </c>
      <c r="F60" s="260" t="n">
        <v>0.0017</v>
      </c>
      <c r="G60" s="145" t="n">
        <v>74639.75</v>
      </c>
      <c r="H60" s="145">
        <f>ROUND(F60*G60,2)</f>
        <v/>
      </c>
    </row>
    <row r="61" ht="25.5" customHeight="1">
      <c r="A61" s="146">
        <f>A60+1</f>
        <v/>
      </c>
      <c r="B61" s="157" t="n"/>
      <c r="C61" s="142" t="inlineStr">
        <is>
          <t>08.3.07.01-0076</t>
        </is>
      </c>
      <c r="D61" s="143" t="inlineStr">
        <is>
          <t>Сталь полосовая, марка стали Ст3сп шириной 50-200 мм толщиной 4-5 мм</t>
        </is>
      </c>
      <c r="E61" s="260" t="inlineStr">
        <is>
          <t>т</t>
        </is>
      </c>
      <c r="F61" s="260" t="n">
        <v>0.024</v>
      </c>
      <c r="G61" s="145" t="n">
        <v>5000</v>
      </c>
      <c r="H61" s="145">
        <f>ROUND(F61*G61,2)</f>
        <v/>
      </c>
    </row>
    <row r="62">
      <c r="A62" s="146">
        <f>A61+1</f>
        <v/>
      </c>
      <c r="B62" s="157" t="n"/>
      <c r="C62" s="142" t="inlineStr">
        <is>
          <t>14.4.02.09-0001</t>
        </is>
      </c>
      <c r="D62" s="143" t="inlineStr">
        <is>
          <t>Краска</t>
        </is>
      </c>
      <c r="E62" s="260" t="inlineStr">
        <is>
          <t>кг</t>
        </is>
      </c>
      <c r="F62" s="260" t="n">
        <v>3.52</v>
      </c>
      <c r="G62" s="145" t="n">
        <v>28.6</v>
      </c>
      <c r="H62" s="145">
        <f>ROUND(F62*G62,2)</f>
        <v/>
      </c>
    </row>
    <row r="63" ht="25.5" customHeight="1">
      <c r="A63" s="146">
        <f>A62+1</f>
        <v/>
      </c>
      <c r="B63" s="157" t="n"/>
      <c r="C63" s="142" t="inlineStr">
        <is>
          <t>08.4.03.03-0029</t>
        </is>
      </c>
      <c r="D63" s="143" t="inlineStr">
        <is>
          <t>Горячекатаная арматурная сталь периодического профиля класса А-III, диаметром 6 мм</t>
        </is>
      </c>
      <c r="E63" s="260" t="inlineStr">
        <is>
          <t>т</t>
        </is>
      </c>
      <c r="F63" s="260" t="n">
        <v>0.01078</v>
      </c>
      <c r="G63" s="145" t="n">
        <v>8213.360000000001</v>
      </c>
      <c r="H63" s="145">
        <f>ROUND(F63*G63,2)</f>
        <v/>
      </c>
    </row>
    <row r="64">
      <c r="A64" s="146">
        <f>A63+1</f>
        <v/>
      </c>
      <c r="B64" s="157" t="n"/>
      <c r="C64" s="142" t="inlineStr">
        <is>
          <t>04.1.02.05-0003</t>
        </is>
      </c>
      <c r="D64" s="143" t="inlineStr">
        <is>
          <t>Бетон тяжелый, класс В7,5 (М100)</t>
        </is>
      </c>
      <c r="E64" s="260" t="inlineStr">
        <is>
          <t>м3</t>
        </is>
      </c>
      <c r="F64" s="260" t="n">
        <v>0.1428</v>
      </c>
      <c r="G64" s="145" t="n">
        <v>560</v>
      </c>
      <c r="H64" s="145">
        <f>ROUND(F64*G64,2)</f>
        <v/>
      </c>
    </row>
    <row r="65">
      <c r="A65" s="146">
        <f>A64+1</f>
        <v/>
      </c>
      <c r="B65" s="157" t="n"/>
      <c r="C65" s="142" t="inlineStr">
        <is>
          <t>01.7.15.03-0042</t>
        </is>
      </c>
      <c r="D65" s="143" t="inlineStr">
        <is>
          <t>Болты с гайками и шайбами строительные</t>
        </is>
      </c>
      <c r="E65" s="260" t="inlineStr">
        <is>
          <t>кг</t>
        </is>
      </c>
      <c r="F65" s="260" t="n">
        <v>8.779999999999999</v>
      </c>
      <c r="G65" s="145" t="n">
        <v>9.039999999999999</v>
      </c>
      <c r="H65" s="145">
        <f>ROUND(F65*G65,2)</f>
        <v/>
      </c>
    </row>
    <row r="66">
      <c r="A66" s="146">
        <f>A65+1</f>
        <v/>
      </c>
      <c r="B66" s="157" t="n"/>
      <c r="C66" s="142" t="inlineStr">
        <is>
          <t>01.7.11.07-0034</t>
        </is>
      </c>
      <c r="D66" s="143" t="inlineStr">
        <is>
          <t>Электроды диаметром 4 мм Э42А</t>
        </is>
      </c>
      <c r="E66" s="260" t="inlineStr">
        <is>
          <t>кг</t>
        </is>
      </c>
      <c r="F66" s="260" t="n">
        <v>7</v>
      </c>
      <c r="G66" s="145" t="n">
        <v>10.57</v>
      </c>
      <c r="H66" s="145">
        <f>ROUND(F66*G66,2)</f>
        <v/>
      </c>
    </row>
    <row r="67" ht="25.5" customHeight="1">
      <c r="A67" s="146">
        <f>A66+1</f>
        <v/>
      </c>
      <c r="B67" s="157" t="n"/>
      <c r="C67" s="142" t="inlineStr">
        <is>
          <t>08.4.03.02-0001</t>
        </is>
      </c>
      <c r="D67" s="143" t="inlineStr">
        <is>
          <t>Горячекатаная арматурная сталь гладкая класса А-I, диаметром 6 мм</t>
        </is>
      </c>
      <c r="E67" s="260" t="inlineStr">
        <is>
          <t>т</t>
        </is>
      </c>
      <c r="F67" s="260" t="n">
        <v>0.008</v>
      </c>
      <c r="G67" s="145" t="n">
        <v>7420</v>
      </c>
      <c r="H67" s="145">
        <f>ROUND(F67*G67,2)</f>
        <v/>
      </c>
    </row>
    <row r="68">
      <c r="A68" s="146">
        <f>A67+1</f>
        <v/>
      </c>
      <c r="B68" s="157" t="n"/>
      <c r="C68" s="142" t="inlineStr">
        <is>
          <t>01.2.03.03-0013</t>
        </is>
      </c>
      <c r="D68" s="143" t="inlineStr">
        <is>
          <t>Мастика битумная кровельная горячая</t>
        </is>
      </c>
      <c r="E68" s="260" t="inlineStr">
        <is>
          <t>т</t>
        </is>
      </c>
      <c r="F68" s="260" t="n">
        <v>0.01728</v>
      </c>
      <c r="G68" s="145" t="n">
        <v>3390.05</v>
      </c>
      <c r="H68" s="145">
        <f>ROUND(F68*G68,2)</f>
        <v/>
      </c>
    </row>
    <row r="69">
      <c r="A69" s="146">
        <f>A68+1</f>
        <v/>
      </c>
      <c r="B69" s="157" t="n"/>
      <c r="C69" s="142" t="inlineStr">
        <is>
          <t>01.7.15.11-0026</t>
        </is>
      </c>
      <c r="D69" s="143" t="inlineStr">
        <is>
          <t>Шайбы квадратные</t>
        </is>
      </c>
      <c r="E69" s="260" t="inlineStr">
        <is>
          <t>100 шт.</t>
        </is>
      </c>
      <c r="F69" s="260" t="n">
        <v>0.16</v>
      </c>
      <c r="G69" s="145" t="n">
        <v>254</v>
      </c>
      <c r="H69" s="145">
        <f>ROUND(F69*G69,2)</f>
        <v/>
      </c>
    </row>
    <row r="70" ht="25.5" customHeight="1">
      <c r="A70" s="146">
        <f>A69+1</f>
        <v/>
      </c>
      <c r="B70" s="157" t="n"/>
      <c r="C70" s="142" t="inlineStr">
        <is>
          <t>01.3.01.06-0050</t>
        </is>
      </c>
      <c r="D70" s="143" t="inlineStr">
        <is>
          <t>Смазка универсальная тугоплавкая УТ (консталин жировой)</t>
        </is>
      </c>
      <c r="E70" s="260" t="inlineStr">
        <is>
          <t>т</t>
        </is>
      </c>
      <c r="F70" s="260" t="n">
        <v>0.002</v>
      </c>
      <c r="G70" s="145" t="n">
        <v>17500</v>
      </c>
      <c r="H70" s="145">
        <f>ROUND(F70*G70,2)</f>
        <v/>
      </c>
    </row>
    <row r="71">
      <c r="A71" s="146">
        <f>A70+1</f>
        <v/>
      </c>
      <c r="B71" s="157" t="n"/>
      <c r="C71" s="142" t="inlineStr">
        <is>
          <t>04.1.02.05-0011</t>
        </is>
      </c>
      <c r="D71" s="143" t="inlineStr">
        <is>
          <t>Бетон тяжелый, класс В30 (М400)</t>
        </is>
      </c>
      <c r="E71" s="260" t="inlineStr">
        <is>
          <t>м3</t>
        </is>
      </c>
      <c r="F71" s="260" t="n">
        <v>0.03672</v>
      </c>
      <c r="G71" s="145" t="n">
        <v>790.03</v>
      </c>
      <c r="H71" s="145">
        <f>ROUND(F71*G71,2)</f>
        <v/>
      </c>
    </row>
    <row r="72">
      <c r="A72" s="146">
        <f>A71+1</f>
        <v/>
      </c>
      <c r="B72" s="157" t="n"/>
      <c r="C72" s="142" t="inlineStr">
        <is>
          <t>11.2.13.04-0011</t>
        </is>
      </c>
      <c r="D72" s="143" t="inlineStr">
        <is>
          <t>Щиты из досок толщиной 25 мм</t>
        </is>
      </c>
      <c r="E72" s="260" t="inlineStr">
        <is>
          <t>м2</t>
        </is>
      </c>
      <c r="F72" s="260" t="n">
        <v>0.6435</v>
      </c>
      <c r="G72" s="145" t="n">
        <v>35.52</v>
      </c>
      <c r="H72" s="145">
        <f>ROUND(F72*G72,2)</f>
        <v/>
      </c>
    </row>
    <row r="73">
      <c r="A73" s="146">
        <f>A72+1</f>
        <v/>
      </c>
      <c r="B73" s="157" t="n"/>
      <c r="C73" s="142" t="inlineStr">
        <is>
          <t>999-9950</t>
        </is>
      </c>
      <c r="D73" s="143" t="inlineStr">
        <is>
          <t>Вспомогательные ненормируемые материалы</t>
        </is>
      </c>
      <c r="E73" s="260" t="inlineStr">
        <is>
          <t>руб</t>
        </is>
      </c>
      <c r="F73" s="260" t="n">
        <v>15.76</v>
      </c>
      <c r="G73" s="145" t="n">
        <v>1</v>
      </c>
      <c r="H73" s="145">
        <f>ROUND(F73*G73,2)</f>
        <v/>
      </c>
    </row>
    <row r="74">
      <c r="A74" s="146">
        <f>A73+1</f>
        <v/>
      </c>
      <c r="B74" s="157" t="n"/>
      <c r="C74" s="142" t="inlineStr">
        <is>
          <t>01.7.20.08-0031</t>
        </is>
      </c>
      <c r="D74" s="143" t="inlineStr">
        <is>
          <t>Бязь суровая арт. 6804</t>
        </is>
      </c>
      <c r="E74" s="260" t="inlineStr">
        <is>
          <t>10 м2</t>
        </is>
      </c>
      <c r="F74" s="260" t="n">
        <v>0.2</v>
      </c>
      <c r="G74" s="145" t="n">
        <v>79.09999999999999</v>
      </c>
      <c r="H74" s="145">
        <f>ROUND(F74*G74,2)</f>
        <v/>
      </c>
    </row>
    <row r="75">
      <c r="A75" s="146">
        <f>A74+1</f>
        <v/>
      </c>
      <c r="B75" s="157" t="n"/>
      <c r="C75" s="142" t="inlineStr">
        <is>
          <t>01.7.11.07-0032</t>
        </is>
      </c>
      <c r="D75" s="143" t="inlineStr">
        <is>
          <t>Электроды диаметром 4 мм Э42</t>
        </is>
      </c>
      <c r="E75" s="260" t="inlineStr">
        <is>
          <t>т</t>
        </is>
      </c>
      <c r="F75" s="260" t="n">
        <v>0.00134536</v>
      </c>
      <c r="G75" s="145" t="n">
        <v>10316.94</v>
      </c>
      <c r="H75" s="145">
        <f>ROUND(F75*G75,2)</f>
        <v/>
      </c>
    </row>
    <row r="76" ht="25.5" customHeight="1">
      <c r="A76" s="146">
        <f>A75+1</f>
        <v/>
      </c>
      <c r="B76" s="157" t="n"/>
      <c r="C76" s="142" t="inlineStr">
        <is>
          <t>11.1.03.06-0095</t>
        </is>
      </c>
      <c r="D76" s="143" t="inlineStr">
        <is>
          <t>Доски обрезные хвойных пород длиной 4-6,5 м, шириной 75-150 мм, толщиной 44 мм и более, III сорта</t>
        </is>
      </c>
      <c r="E76" s="260" t="inlineStr">
        <is>
          <t>м3</t>
        </is>
      </c>
      <c r="F76" s="260" t="n">
        <v>0.009474</v>
      </c>
      <c r="G76" s="145" t="n">
        <v>1055.52</v>
      </c>
      <c r="H76" s="145">
        <f>ROUND(F76*G76,2)</f>
        <v/>
      </c>
    </row>
    <row r="77">
      <c r="A77" s="146">
        <f>A76+1</f>
        <v/>
      </c>
      <c r="B77" s="157" t="n"/>
      <c r="C77" s="142" t="inlineStr">
        <is>
          <t>01.7.15.06-0111</t>
        </is>
      </c>
      <c r="D77" s="143" t="inlineStr">
        <is>
          <t>Гвозди строительные</t>
        </is>
      </c>
      <c r="E77" s="260" t="inlineStr">
        <is>
          <t>т</t>
        </is>
      </c>
      <c r="F77" s="260" t="n">
        <v>0.000517</v>
      </c>
      <c r="G77" s="145" t="n">
        <v>11972.92</v>
      </c>
      <c r="H77" s="145">
        <f>ROUND(F77*G77,2)</f>
        <v/>
      </c>
    </row>
    <row r="78" ht="25.5" customHeight="1">
      <c r="A78" s="146">
        <f>A77+1</f>
        <v/>
      </c>
      <c r="B78" s="157" t="n"/>
      <c r="C78" s="142" t="inlineStr">
        <is>
          <t>11.1.02.04-0031</t>
        </is>
      </c>
      <c r="D78" s="143" t="inlineStr">
        <is>
          <t>Лесоматериалы круглые хвойных пород для строительства диаметром 14-24 см, длиной 3-6,5 м</t>
        </is>
      </c>
      <c r="E78" s="260" t="inlineStr">
        <is>
          <t>м3</t>
        </is>
      </c>
      <c r="F78" s="260" t="n">
        <v>0.008970000000000001</v>
      </c>
      <c r="G78" s="145" t="n">
        <v>558.53</v>
      </c>
      <c r="H78" s="145">
        <f>ROUND(F78*G78,2)</f>
        <v/>
      </c>
    </row>
    <row r="79">
      <c r="A79" s="146">
        <f>A78+1</f>
        <v/>
      </c>
      <c r="B79" s="157" t="n"/>
      <c r="C79" s="142" t="inlineStr">
        <is>
          <t>01.3.01.03-0002</t>
        </is>
      </c>
      <c r="D79" s="143" t="inlineStr">
        <is>
          <t>Керосин для технических целей марок КТ-1, КТ-2</t>
        </is>
      </c>
      <c r="E79" s="260" t="inlineStr">
        <is>
          <t>т</t>
        </is>
      </c>
      <c r="F79" s="260" t="n">
        <v>0.001728</v>
      </c>
      <c r="G79" s="145" t="n">
        <v>2609.95</v>
      </c>
      <c r="H79" s="145">
        <f>ROUND(F79*G79,2)</f>
        <v/>
      </c>
    </row>
    <row r="80" ht="25.5" customHeight="1">
      <c r="A80" s="146">
        <f>A79+1</f>
        <v/>
      </c>
      <c r="B80" s="157" t="n"/>
      <c r="C80" s="142" t="inlineStr">
        <is>
          <t>11.1.03.06-0087</t>
        </is>
      </c>
      <c r="D80" s="143" t="inlineStr">
        <is>
          <t>Доски обрезные хвойных пород длиной 4-6,5 м, шириной 75-150 мм, толщиной 25 мм, III сорта</t>
        </is>
      </c>
      <c r="E80" s="260" t="inlineStr">
        <is>
          <t>м3</t>
        </is>
      </c>
      <c r="F80" s="260" t="n">
        <v>0.003752</v>
      </c>
      <c r="G80" s="145" t="n">
        <v>1100.75</v>
      </c>
      <c r="H80" s="145">
        <f>ROUND(F80*G80,2)</f>
        <v/>
      </c>
    </row>
    <row r="81" ht="25.5" customHeight="1">
      <c r="A81" s="146">
        <f>A80+1</f>
        <v/>
      </c>
      <c r="B81" s="157" t="n"/>
      <c r="C81" s="142" t="inlineStr">
        <is>
          <t>08.3.03.06-0002</t>
        </is>
      </c>
      <c r="D81" s="143" t="inlineStr">
        <is>
          <t>Проволока горячекатаная в мотках, диаметром 6,3-6,5 мм</t>
        </is>
      </c>
      <c r="E81" s="260" t="inlineStr">
        <is>
          <t>т</t>
        </is>
      </c>
      <c r="F81" s="260" t="n">
        <v>0.00052</v>
      </c>
      <c r="G81" s="145" t="n">
        <v>4461.54</v>
      </c>
      <c r="H81" s="145">
        <f>ROUND(F81*G81,2)</f>
        <v/>
      </c>
    </row>
    <row r="82">
      <c r="A82" s="146">
        <f>A81+1</f>
        <v/>
      </c>
      <c r="B82" s="157" t="n"/>
      <c r="C82" s="142" t="inlineStr">
        <is>
          <t>01.7.07.12-0024</t>
        </is>
      </c>
      <c r="D82" s="143" t="inlineStr">
        <is>
          <t>Пленка полиэтиленовая толщиной 0,15 мм</t>
        </is>
      </c>
      <c r="E82" s="260" t="inlineStr">
        <is>
          <t>м2</t>
        </is>
      </c>
      <c r="F82" s="260" t="n">
        <v>0.4813</v>
      </c>
      <c r="G82" s="145" t="n">
        <v>3.64</v>
      </c>
      <c r="H82" s="145">
        <f>ROUND(F82*G82,2)</f>
        <v/>
      </c>
    </row>
    <row r="83">
      <c r="A83" s="146">
        <f>A82+1</f>
        <v/>
      </c>
      <c r="B83" s="157" t="n"/>
      <c r="C83" s="142" t="inlineStr">
        <is>
          <t>01.2.01.02-0054</t>
        </is>
      </c>
      <c r="D83" s="143" t="inlineStr">
        <is>
          <t>Битумы нефтяные строительные марки БН-90/10</t>
        </is>
      </c>
      <c r="E83" s="260" t="inlineStr">
        <is>
          <t>т</t>
        </is>
      </c>
      <c r="F83" s="260" t="n">
        <v>0.001152</v>
      </c>
      <c r="G83" s="145" t="n">
        <v>1380.21</v>
      </c>
      <c r="H83" s="145">
        <f>ROUND(F83*G83,2)</f>
        <v/>
      </c>
    </row>
    <row r="84" ht="25.5" customHeight="1">
      <c r="A84" s="146">
        <f>A83+1</f>
        <v/>
      </c>
      <c r="B84" s="157" t="n"/>
      <c r="C84" s="142" t="inlineStr">
        <is>
          <t>11.1.03.01-0079</t>
        </is>
      </c>
      <c r="D84" s="143" t="inlineStr">
        <is>
          <t>Бруски обрезные хвойных пород длиной 4-6,5 м, шириной 75-150 мм, толщиной 40-75 мм, III сорта</t>
        </is>
      </c>
      <c r="E84" s="260" t="inlineStr">
        <is>
          <t>м3</t>
        </is>
      </c>
      <c r="F84" s="260" t="n">
        <v>0.00104</v>
      </c>
      <c r="G84" s="145" t="n">
        <v>1288.46</v>
      </c>
      <c r="H84" s="145">
        <f>ROUND(F84*G84,2)</f>
        <v/>
      </c>
    </row>
    <row r="85">
      <c r="A85" s="146">
        <f>A84+1</f>
        <v/>
      </c>
      <c r="B85" s="157" t="n"/>
      <c r="C85" s="142" t="inlineStr">
        <is>
          <t>01.7.11.07-0054</t>
        </is>
      </c>
      <c r="D85" s="143" t="inlineStr">
        <is>
          <t>Электроды диаметром 6 мм Э42</t>
        </is>
      </c>
      <c r="E85" s="260" t="inlineStr">
        <is>
          <t>т</t>
        </is>
      </c>
      <c r="F85" s="260" t="n">
        <v>5.2e-05</v>
      </c>
      <c r="G85" s="145" t="n">
        <v>9423.08</v>
      </c>
      <c r="H85" s="145">
        <f>ROUND(F85*G85,2)</f>
        <v/>
      </c>
    </row>
    <row r="86">
      <c r="A86" s="146">
        <f>A85+1</f>
        <v/>
      </c>
      <c r="B86" s="157" t="n"/>
      <c r="C86" s="142" t="inlineStr">
        <is>
          <t>03.1.02.03-0011</t>
        </is>
      </c>
      <c r="D86" s="143" t="inlineStr">
        <is>
          <t>Известь строительная негашеная комовая, сорт I</t>
        </is>
      </c>
      <c r="E86" s="260" t="inlineStr">
        <is>
          <t>т</t>
        </is>
      </c>
      <c r="F86" s="260" t="n">
        <v>0.000598</v>
      </c>
      <c r="G86" s="145" t="n">
        <v>735.79</v>
      </c>
      <c r="H86" s="145">
        <f>ROUND(F86*G86,2)</f>
        <v/>
      </c>
    </row>
    <row r="87">
      <c r="A87" s="146">
        <f>A86+1</f>
        <v/>
      </c>
      <c r="B87" s="157" t="n"/>
      <c r="C87" s="142" t="inlineStr">
        <is>
          <t>01.7.03.01-0001</t>
        </is>
      </c>
      <c r="D87" s="143" t="inlineStr">
        <is>
          <t>Вода</t>
        </is>
      </c>
      <c r="E87" s="260" t="inlineStr">
        <is>
          <t>м3</t>
        </is>
      </c>
      <c r="F87" s="260" t="n">
        <v>0.038461</v>
      </c>
      <c r="G87" s="145" t="n">
        <v>2.34</v>
      </c>
      <c r="H87" s="145">
        <f>ROUND(F87*G87,2)</f>
        <v/>
      </c>
    </row>
    <row r="88">
      <c r="A88" s="146">
        <f>A87+1</f>
        <v/>
      </c>
      <c r="B88" s="157" t="n"/>
      <c r="C88" s="142" t="inlineStr">
        <is>
          <t>14.4.03.03-0102</t>
        </is>
      </c>
      <c r="D88" s="143" t="inlineStr">
        <is>
          <t>Лак БТ-577</t>
        </is>
      </c>
      <c r="E88" s="260" t="inlineStr">
        <is>
          <t>т</t>
        </is>
      </c>
      <c r="F88" s="260" t="n">
        <v>8.780000000000001e-06</v>
      </c>
      <c r="G88" s="145" t="n">
        <v>9111.309999999999</v>
      </c>
      <c r="H88" s="145">
        <f>ROUND(F88*G88,2)</f>
        <v/>
      </c>
    </row>
    <row r="89">
      <c r="A89" s="146">
        <f>A88+1</f>
        <v/>
      </c>
      <c r="B89" s="157" t="n"/>
      <c r="C89" s="142" t="inlineStr">
        <is>
          <t>07.2.07.02-0001</t>
        </is>
      </c>
      <c r="D89" s="143" t="inlineStr">
        <is>
          <t>Кондуктор инвентарный металлический</t>
        </is>
      </c>
      <c r="E89" s="260" t="inlineStr">
        <is>
          <t>шт.</t>
        </is>
      </c>
      <c r="F89" s="260" t="n">
        <v>0.00015</v>
      </c>
      <c r="G89" s="145" t="n">
        <v>333.33</v>
      </c>
      <c r="H89" s="145">
        <f>ROUND(F89*G89,2)</f>
        <v/>
      </c>
    </row>
    <row r="90">
      <c r="A90" s="146">
        <f>A89+1</f>
        <v/>
      </c>
      <c r="B90" s="157" t="n"/>
      <c r="C90" s="142" t="inlineStr">
        <is>
          <t>01.7.20.08-0051</t>
        </is>
      </c>
      <c r="D90" s="143" t="inlineStr">
        <is>
          <t>Ветошь</t>
        </is>
      </c>
      <c r="E90" s="260" t="inlineStr">
        <is>
          <t>кг</t>
        </is>
      </c>
      <c r="F90" s="260" t="n">
        <v>0.0072</v>
      </c>
      <c r="G90" s="145" t="n">
        <v>1.39</v>
      </c>
      <c r="H90" s="145">
        <f>ROUND(F90*G90,2)</f>
        <v/>
      </c>
    </row>
    <row r="91">
      <c r="A91" s="146">
        <f>A90+1</f>
        <v/>
      </c>
      <c r="B91" s="157" t="n"/>
      <c r="C91" s="142" t="inlineStr">
        <is>
          <t>14.5.07.01-0012</t>
        </is>
      </c>
      <c r="D91" s="143" t="inlineStr">
        <is>
          <t>Пудра алюминиевая, марки ПАП-2</t>
        </is>
      </c>
      <c r="E91" s="260" t="inlineStr">
        <is>
          <t>т</t>
        </is>
      </c>
      <c r="F91" s="260" t="n">
        <v>-1.478e-05</v>
      </c>
      <c r="G91" s="145" t="n">
        <v>23680.76</v>
      </c>
      <c r="H91" s="145">
        <f>ROUND(F91*G91,2)</f>
        <v/>
      </c>
    </row>
    <row r="92">
      <c r="K92" s="186" t="n"/>
    </row>
    <row r="93" ht="25.5" customHeight="1">
      <c r="B93" s="151" t="inlineStr">
        <is>
          <t xml:space="preserve">Примечание: </t>
        </is>
      </c>
      <c r="C93" s="23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95">
      <c r="B95" s="4" t="inlineStr">
        <is>
          <t>Составил ______________________        Е. М. Добровольская</t>
        </is>
      </c>
      <c r="C95" s="12" t="n"/>
    </row>
    <row r="96">
      <c r="B96" s="33" t="inlineStr">
        <is>
          <t xml:space="preserve">                         (подпись, инициалы, фамилия)</t>
        </is>
      </c>
      <c r="C96" s="12" t="n"/>
    </row>
    <row r="97">
      <c r="B97" s="4" t="n"/>
      <c r="C97" s="12" t="n"/>
    </row>
    <row r="98">
      <c r="B98" s="4" t="inlineStr">
        <is>
          <t>Проверил ______________________        А.В. Костянецкая</t>
        </is>
      </c>
      <c r="C98" s="12" t="n"/>
    </row>
    <row r="99">
      <c r="B99" s="33" t="inlineStr">
        <is>
          <t xml:space="preserve">                        (подпись, инициалы, фамилия)</t>
        </is>
      </c>
      <c r="C99" s="12" t="n"/>
    </row>
  </sheetData>
  <mergeCells count="17">
    <mergeCell ref="A21:E21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93:H93"/>
    <mergeCell ref="C5:H5"/>
    <mergeCell ref="A2:H2"/>
    <mergeCell ref="A47:E47"/>
    <mergeCell ref="A23:E23"/>
    <mergeCell ref="A44:E4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18" t="n"/>
      <c r="C6" s="4" t="n"/>
      <c r="D6" s="4" t="n"/>
      <c r="E6" s="4" t="n"/>
    </row>
    <row r="7" ht="34.5" customHeight="1">
      <c r="B7" s="311">
        <f>'Прил.1 Сравнит табл'!B7</f>
        <v/>
      </c>
    </row>
    <row r="8">
      <c r="B8" s="239">
        <f>'Прил.1 Сравнит табл'!B9</f>
        <v/>
      </c>
    </row>
    <row r="9">
      <c r="B9" s="118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9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9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9">
        <f>'Прил.5 Расчет СМР и ОБ'!J40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9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9">
        <f>'Прил.5 Расчет СМР и ОБ'!J63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9">
        <f>'Прил.5 Расчет СМР и ОБ'!J97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ОБ'!E101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ОБ'!E100</f>
        <v/>
      </c>
      <c r="D23" s="27" t="n"/>
      <c r="E23" s="25" t="n"/>
    </row>
    <row r="24">
      <c r="B24" s="25" t="inlineStr">
        <is>
          <t>ВСЕГО СМР с НР и СП</t>
        </is>
      </c>
      <c r="C24" s="20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9">
        <f>'Прил.5 Расчет СМР и ОБ'!J49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9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>
        <f>81007.14*2</f>
        <v/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8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8" t="n"/>
      <c r="L37" s="12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9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9">
        <f>C40/'Прил.5 Расчет СМР и ОБ'!E104</f>
        <v/>
      </c>
      <c r="D41" s="25" t="n"/>
      <c r="E41" s="25" t="n"/>
    </row>
    <row r="42">
      <c r="B42" s="121" t="n"/>
      <c r="C42" s="4" t="n"/>
      <c r="D42" s="4" t="n"/>
      <c r="E42" s="4" t="n"/>
    </row>
    <row r="43">
      <c r="B43" s="4" t="inlineStr">
        <is>
          <t>Составил ______________________        Е. М. Добровольская</t>
        </is>
      </c>
      <c r="C43" s="12" t="n"/>
      <c r="E43" s="4" t="n"/>
    </row>
    <row r="44">
      <c r="B44" s="33" t="inlineStr">
        <is>
          <t xml:space="preserve">                         (подпись, инициалы, фамилия)</t>
        </is>
      </c>
      <c r="C44" s="12" t="n"/>
      <c r="E44" s="4" t="n"/>
    </row>
    <row r="45">
      <c r="B45" s="4" t="n"/>
      <c r="C45" s="12" t="n"/>
      <c r="E45" s="4" t="n"/>
    </row>
    <row r="46">
      <c r="B46" s="4" t="inlineStr">
        <is>
          <t>Проверил ______________________        А.В. Костянецкая</t>
        </is>
      </c>
      <c r="C46" s="12" t="n"/>
      <c r="E46" s="4" t="n"/>
    </row>
    <row r="47">
      <c r="B47" s="33" t="inlineStr">
        <is>
          <t xml:space="preserve">                        (подпись, инициалы, фамилия)</t>
        </is>
      </c>
      <c r="C47" s="12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13"/>
  <sheetViews>
    <sheetView tabSelected="1" view="pageBreakPreview" topLeftCell="A51" zoomScale="70" workbookViewId="0">
      <selection activeCell="E109" sqref="E10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4.5703125" customWidth="1" style="12" min="9" max="9"/>
    <col width="15.140625" customWidth="1" style="12" min="10" max="10"/>
    <col width="3.7109375" customWidth="1" style="12" min="11" max="11"/>
    <col width="9.42578125" customWidth="1" style="12" min="12" max="12"/>
    <col width="10.85546875" customWidth="1" style="12" min="13" max="13"/>
    <col width="9.140625" customWidth="1" style="12" min="14" max="14"/>
  </cols>
  <sheetData>
    <row r="2" ht="15.75" customHeight="1">
      <c r="I2" s="216" t="n"/>
      <c r="J2" s="163" t="inlineStr">
        <is>
          <t>Приложение №5</t>
        </is>
      </c>
    </row>
    <row r="4" ht="12.75" customFormat="1" customHeight="1" s="4">
      <c r="A4" s="218" t="inlineStr">
        <is>
          <t>Расчет стоимости СМР и оборудования</t>
        </is>
      </c>
      <c r="I4" s="218" t="n"/>
      <c r="J4" s="218" t="n"/>
    </row>
    <row r="5" ht="12.75" customFormat="1" customHeight="1" s="4">
      <c r="A5" s="218" t="n"/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</row>
    <row r="6" ht="26.25" customFormat="1" customHeight="1" s="4">
      <c r="A6" s="221" t="inlineStr">
        <is>
          <t>Наименование разрабатываемого показателя УНЦ</t>
        </is>
      </c>
      <c r="D6" s="221" t="inlineStr">
        <is>
          <t>Однополюсный разъединитель с устройством фундамента напряжение 35(20) кВ</t>
        </is>
      </c>
      <c r="I6" s="192" t="n"/>
      <c r="J6" s="192" t="n"/>
    </row>
    <row r="7" ht="12.75" customFormat="1" customHeight="1" s="4">
      <c r="A7" s="221">
        <f>'Прил.1 Сравнит табл'!B9</f>
        <v/>
      </c>
      <c r="I7" s="311" t="n"/>
      <c r="J7" s="311" t="n"/>
    </row>
    <row r="8" ht="12.75" customFormat="1" customHeight="1" s="4"/>
    <row r="9" ht="27" customHeight="1">
      <c r="A9" s="241" t="inlineStr">
        <is>
          <t>№ пп.</t>
        </is>
      </c>
      <c r="B9" s="241" t="inlineStr">
        <is>
          <t>Код ресурса</t>
        </is>
      </c>
      <c r="C9" s="241" t="inlineStr">
        <is>
          <t>Наименование</t>
        </is>
      </c>
      <c r="D9" s="241" t="inlineStr">
        <is>
          <t>Ед. изм.</t>
        </is>
      </c>
      <c r="E9" s="241" t="inlineStr">
        <is>
          <t>Кол-во единиц по проектным данным</t>
        </is>
      </c>
      <c r="F9" s="241" t="inlineStr">
        <is>
          <t>Сметная стоимость в ценах на 01.01.2000 (руб.)</t>
        </is>
      </c>
      <c r="G9" s="317" t="n"/>
      <c r="H9" s="241" t="inlineStr">
        <is>
          <t>Удельный вес, %</t>
        </is>
      </c>
      <c r="I9" s="241" t="inlineStr">
        <is>
          <t>Сметная стоимость в ценах на 01.01.2023 (руб.)</t>
        </is>
      </c>
      <c r="J9" s="317" t="n"/>
    </row>
    <row r="10" ht="28.5" customHeight="1">
      <c r="A10" s="319" t="n"/>
      <c r="B10" s="319" t="n"/>
      <c r="C10" s="319" t="n"/>
      <c r="D10" s="319" t="n"/>
      <c r="E10" s="319" t="n"/>
      <c r="F10" s="241" t="inlineStr">
        <is>
          <t>на ед. изм.</t>
        </is>
      </c>
      <c r="G10" s="241" t="inlineStr">
        <is>
          <t>общая</t>
        </is>
      </c>
      <c r="H10" s="319" t="n"/>
      <c r="I10" s="241" t="inlineStr">
        <is>
          <t>на ед. изм.</t>
        </is>
      </c>
      <c r="J10" s="241" t="inlineStr">
        <is>
          <t>общая</t>
        </is>
      </c>
    </row>
    <row r="11">
      <c r="A11" s="241" t="n">
        <v>1</v>
      </c>
      <c r="B11" s="241" t="n">
        <v>2</v>
      </c>
      <c r="C11" s="241" t="n">
        <v>3</v>
      </c>
      <c r="D11" s="241" t="n">
        <v>4</v>
      </c>
      <c r="E11" s="241" t="n">
        <v>5</v>
      </c>
      <c r="F11" s="241" t="n">
        <v>6</v>
      </c>
      <c r="G11" s="241" t="n">
        <v>7</v>
      </c>
      <c r="H11" s="241" t="n">
        <v>8</v>
      </c>
      <c r="I11" s="241" t="n">
        <v>9</v>
      </c>
      <c r="J11" s="241" t="n">
        <v>10</v>
      </c>
    </row>
    <row r="12">
      <c r="A12" s="241" t="n"/>
      <c r="B12" s="236" t="inlineStr">
        <is>
          <t>Затраты труда рабочих-строителей</t>
        </is>
      </c>
      <c r="C12" s="316" t="n"/>
      <c r="D12" s="316" t="n"/>
      <c r="E12" s="316" t="n"/>
      <c r="F12" s="316" t="n"/>
      <c r="G12" s="316" t="n"/>
      <c r="H12" s="317" t="n"/>
      <c r="I12" s="315" t="n"/>
      <c r="J12" s="315" t="n"/>
    </row>
    <row r="13" ht="25.5" customHeight="1">
      <c r="A13" s="241" t="n">
        <v>1</v>
      </c>
      <c r="B13" s="154" t="inlineStr">
        <is>
          <t>1-3-7</t>
        </is>
      </c>
      <c r="C13" s="240" t="inlineStr">
        <is>
          <t>Затраты труда рабочих-строителей среднего разряда (3,7)</t>
        </is>
      </c>
      <c r="D13" s="241" t="inlineStr">
        <is>
          <t>чел.-ч.</t>
        </is>
      </c>
      <c r="E13" s="198" t="n">
        <v>113.77179763186</v>
      </c>
      <c r="F13" s="32" t="n">
        <v>9.289999999999999</v>
      </c>
      <c r="G13" s="32" t="n">
        <v>1056.94</v>
      </c>
      <c r="H13" s="248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2">
      <c r="A14" s="241" t="n"/>
      <c r="B14" s="241" t="n"/>
      <c r="C14" s="236" t="inlineStr">
        <is>
          <t>Итого по разделу "Затраты труда рабочих-строителей"</t>
        </is>
      </c>
      <c r="D14" s="241" t="inlineStr">
        <is>
          <t>чел.-ч.</t>
        </is>
      </c>
      <c r="E14" s="198">
        <f>SUM(E13:E13)</f>
        <v/>
      </c>
      <c r="F14" s="32" t="n"/>
      <c r="G14" s="32">
        <f>SUM(G13:G13)</f>
        <v/>
      </c>
      <c r="H14" s="248" t="n">
        <v>1</v>
      </c>
      <c r="I14" s="32" t="n"/>
      <c r="J14" s="32">
        <f>SUM(J13:J13)</f>
        <v/>
      </c>
      <c r="K14" s="153" t="n"/>
      <c r="L14" s="190" t="n"/>
    </row>
    <row r="15" ht="14.25" customFormat="1" customHeight="1" s="12">
      <c r="A15" s="241" t="n"/>
      <c r="B15" s="240" t="inlineStr">
        <is>
          <t>Затраты труда машинистов</t>
        </is>
      </c>
      <c r="C15" s="316" t="n"/>
      <c r="D15" s="316" t="n"/>
      <c r="E15" s="316" t="n"/>
      <c r="F15" s="316" t="n"/>
      <c r="G15" s="316" t="n"/>
      <c r="H15" s="317" t="n"/>
      <c r="I15" s="315" t="n"/>
      <c r="J15" s="315" t="n"/>
    </row>
    <row r="16" ht="14.25" customFormat="1" customHeight="1" s="12">
      <c r="A16" s="241" t="n">
        <v>2</v>
      </c>
      <c r="B16" s="241" t="n">
        <v>2</v>
      </c>
      <c r="C16" s="240" t="inlineStr">
        <is>
          <t>Затраты труда машинистов</t>
        </is>
      </c>
      <c r="D16" s="241" t="inlineStr">
        <is>
          <t>чел.-ч.</t>
        </is>
      </c>
      <c r="E16" s="198" t="n">
        <v>12.3828</v>
      </c>
      <c r="F16" s="32">
        <f>G16/E16</f>
        <v/>
      </c>
      <c r="G16" s="32" t="n">
        <v>159.0996</v>
      </c>
      <c r="H16" s="248" t="n">
        <v>1</v>
      </c>
      <c r="I16" s="32">
        <f>ROUND(F16*Прил.10!D10,2)</f>
        <v/>
      </c>
      <c r="J16" s="32">
        <f>ROUND(I16*E16,2)</f>
        <v/>
      </c>
      <c r="L16" s="155" t="n"/>
    </row>
    <row r="17" ht="14.25" customFormat="1" customHeight="1" s="12">
      <c r="A17" s="241" t="n"/>
      <c r="B17" s="236" t="inlineStr">
        <is>
          <t>Машины и механизмы</t>
        </is>
      </c>
      <c r="C17" s="316" t="n"/>
      <c r="D17" s="316" t="n"/>
      <c r="E17" s="316" t="n"/>
      <c r="F17" s="316" t="n"/>
      <c r="G17" s="316" t="n"/>
      <c r="H17" s="317" t="n"/>
      <c r="I17" s="248" t="n"/>
      <c r="J17" s="248" t="n"/>
    </row>
    <row r="18" ht="14.25" customFormat="1" customHeight="1" s="12">
      <c r="A18" s="241" t="n"/>
      <c r="B18" s="240" t="inlineStr">
        <is>
          <t>Основные машины и механизмы</t>
        </is>
      </c>
      <c r="C18" s="316" t="n"/>
      <c r="D18" s="316" t="n"/>
      <c r="E18" s="316" t="n"/>
      <c r="F18" s="316" t="n"/>
      <c r="G18" s="316" t="n"/>
      <c r="H18" s="317" t="n"/>
      <c r="I18" s="315" t="n"/>
      <c r="J18" s="315" t="n"/>
    </row>
    <row r="19" ht="25.5" customFormat="1" customHeight="1" s="12">
      <c r="A19" s="241" t="n">
        <v>3</v>
      </c>
      <c r="B19" s="154" t="inlineStr">
        <is>
          <t>91.05.05-014</t>
        </is>
      </c>
      <c r="C19" s="240" t="inlineStr">
        <is>
          <t>Краны на автомобильном ходу, грузоподъемность 10 т</t>
        </is>
      </c>
      <c r="D19" s="241" t="inlineStr">
        <is>
          <t>маш.-ч</t>
        </is>
      </c>
      <c r="E19" s="198" t="n">
        <v>6.9674896</v>
      </c>
      <c r="F19" s="257" t="n">
        <v>111.99</v>
      </c>
      <c r="G19" s="32">
        <f>ROUND(E19*F19,2)</f>
        <v/>
      </c>
      <c r="H19" s="248">
        <f>G19/$G$41</f>
        <v/>
      </c>
      <c r="I19" s="32">
        <f>ROUND(F19*Прил.10!$D$11,2)</f>
        <v/>
      </c>
      <c r="J19" s="32">
        <f>ROUND(I19*E19,2)</f>
        <v/>
      </c>
    </row>
    <row r="20" ht="25.5" customFormat="1" customHeight="1" s="12">
      <c r="A20" s="241" t="n">
        <v>4</v>
      </c>
      <c r="B20" s="154" t="inlineStr">
        <is>
          <t>91.01.05-086</t>
        </is>
      </c>
      <c r="C20" s="240" t="inlineStr">
        <is>
          <t>Экскаваторы одноковшовые дизельные на гусеничном ходу, емкость ковша 0,65 м3</t>
        </is>
      </c>
      <c r="D20" s="241" t="inlineStr">
        <is>
          <t>маш.-ч</t>
        </is>
      </c>
      <c r="E20" s="198" t="n">
        <v>0.77101583</v>
      </c>
      <c r="F20" s="257" t="n">
        <v>115.27</v>
      </c>
      <c r="G20" s="32">
        <f>ROUND(E20*F20,2)</f>
        <v/>
      </c>
      <c r="H20" s="248">
        <f>G20/$G$41</f>
        <v/>
      </c>
      <c r="I20" s="32">
        <f>ROUND(F20*Прил.10!$D$11,2)</f>
        <v/>
      </c>
      <c r="J20" s="32">
        <f>ROUND(I20*E20,2)</f>
        <v/>
      </c>
    </row>
    <row r="21" ht="51" customFormat="1" customHeight="1" s="12">
      <c r="A21" s="241" t="n">
        <v>5</v>
      </c>
      <c r="B21" s="154" t="inlineStr">
        <is>
          <t>91.18.01-007</t>
        </is>
      </c>
      <c r="C21" s="24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1" t="inlineStr">
        <is>
          <t>маш.-ч</t>
        </is>
      </c>
      <c r="E21" s="198" t="n">
        <v>0.9724048</v>
      </c>
      <c r="F21" s="257" t="n">
        <v>90</v>
      </c>
      <c r="G21" s="32">
        <f>ROUND(E21*F21,2)</f>
        <v/>
      </c>
      <c r="H21" s="248">
        <f>G21/$G$41</f>
        <v/>
      </c>
      <c r="I21" s="32">
        <f>ROUND(F21*Прил.10!$D$11,2)</f>
        <v/>
      </c>
      <c r="J21" s="32">
        <f>ROUND(I21*E21,2)</f>
        <v/>
      </c>
    </row>
    <row r="22" ht="25.5" customFormat="1" customHeight="1" s="12">
      <c r="A22" s="241" t="n">
        <v>6</v>
      </c>
      <c r="B22" s="154" t="inlineStr">
        <is>
          <t>91.16.01-001</t>
        </is>
      </c>
      <c r="C22" s="240" t="inlineStr">
        <is>
          <t>Электростанции передвижные, мощность 2 кВт</t>
        </is>
      </c>
      <c r="D22" s="241" t="inlineStr">
        <is>
          <t>маш.-ч</t>
        </is>
      </c>
      <c r="E22" s="198" t="n">
        <v>2.213746</v>
      </c>
      <c r="F22" s="257" t="n">
        <v>22.29</v>
      </c>
      <c r="G22" s="32">
        <f>ROUND(E22*F22,2)</f>
        <v/>
      </c>
      <c r="H22" s="248">
        <f>G22/$G$41</f>
        <v/>
      </c>
      <c r="I22" s="32">
        <f>ROUND(F22*Прил.10!$D$11,2)</f>
        <v/>
      </c>
      <c r="J22" s="32">
        <f>ROUND(I22*E22,2)</f>
        <v/>
      </c>
    </row>
    <row r="23" ht="25.5" customFormat="1" customHeight="1" s="12">
      <c r="A23" s="241" t="n">
        <v>7</v>
      </c>
      <c r="B23" s="154" t="inlineStr">
        <is>
          <t>91.17.04-233</t>
        </is>
      </c>
      <c r="C23" s="240" t="inlineStr">
        <is>
          <t>Установки для сварки ручной дуговой (постоянного тока)</t>
        </is>
      </c>
      <c r="D23" s="241" t="inlineStr">
        <is>
          <t>маш.-ч</t>
        </is>
      </c>
      <c r="E23" s="198" t="n">
        <v>5.5297176</v>
      </c>
      <c r="F23" s="257" t="n">
        <v>8.1</v>
      </c>
      <c r="G23" s="32">
        <f>ROUND(E23*F23,2)</f>
        <v/>
      </c>
      <c r="H23" s="248">
        <f>G23/$G$41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12">
      <c r="A24" s="241" t="n"/>
      <c r="B24" s="241" t="n"/>
      <c r="C24" s="240" t="inlineStr">
        <is>
          <t>Итого основные машины и механизмы</t>
        </is>
      </c>
      <c r="D24" s="241" t="n"/>
      <c r="E24" s="199" t="n"/>
      <c r="F24" s="32" t="n"/>
      <c r="G24" s="32">
        <f>SUM(G19:G23)</f>
        <v/>
      </c>
      <c r="H24" s="248">
        <f>G24/G41</f>
        <v/>
      </c>
      <c r="I24" s="32" t="n"/>
      <c r="J24" s="32">
        <f>SUM(J19:J23)</f>
        <v/>
      </c>
      <c r="L24" s="153" t="n"/>
    </row>
    <row r="25" outlineLevel="1" ht="25.5" customFormat="1" customHeight="1" s="12">
      <c r="A25" s="241" t="n">
        <v>8</v>
      </c>
      <c r="B25" s="154" t="inlineStr">
        <is>
          <t>91.14.02-001</t>
        </is>
      </c>
      <c r="C25" s="240" t="inlineStr">
        <is>
          <t>Автомобили бортовые, грузоподъемность до 5 т</t>
        </is>
      </c>
      <c r="D25" s="241" t="inlineStr">
        <is>
          <t>маш.-ч</t>
        </is>
      </c>
      <c r="E25" s="198" t="n">
        <v>0.6011697571074101</v>
      </c>
      <c r="F25" s="257" t="n">
        <v>65.73999999999999</v>
      </c>
      <c r="G25" s="32">
        <f>ROUND(E25*F25,2)</f>
        <v/>
      </c>
      <c r="H25" s="248">
        <f>G25/$G$41</f>
        <v/>
      </c>
      <c r="I25" s="32">
        <f>ROUND(F25*Прил.10!$D$11,2)</f>
        <v/>
      </c>
      <c r="J25" s="32">
        <f>ROUND(I25*E25,2)</f>
        <v/>
      </c>
      <c r="L25" s="153" t="n"/>
    </row>
    <row r="26" outlineLevel="1" ht="25.5" customFormat="1" customHeight="1" s="12">
      <c r="A26" s="241" t="n">
        <v>9</v>
      </c>
      <c r="B26" s="154" t="inlineStr">
        <is>
          <t>91.05.06-012</t>
        </is>
      </c>
      <c r="C26" s="240" t="inlineStr">
        <is>
          <t>Краны на гусеничном ходу, грузоподъемность до 16 т</t>
        </is>
      </c>
      <c r="D26" s="241" t="inlineStr">
        <is>
          <t>маш.-ч</t>
        </is>
      </c>
      <c r="E26" s="198" t="n">
        <v>0.30906064516129</v>
      </c>
      <c r="F26" s="257" t="n">
        <v>96.89</v>
      </c>
      <c r="G26" s="32">
        <f>ROUND(E26*F26,2)</f>
        <v/>
      </c>
      <c r="H26" s="248">
        <f>G26/$G$41</f>
        <v/>
      </c>
      <c r="I26" s="32">
        <f>ROUND(F26*Прил.10!$D$11,2)</f>
        <v/>
      </c>
      <c r="J26" s="32">
        <f>ROUND(I26*E26,2)</f>
        <v/>
      </c>
      <c r="L26" s="153" t="n"/>
    </row>
    <row r="27" outlineLevel="1" ht="25.5" customFormat="1" customHeight="1" s="12">
      <c r="A27" s="241" t="n">
        <v>10</v>
      </c>
      <c r="B27" s="154" t="inlineStr">
        <is>
          <t>91.06.03-058</t>
        </is>
      </c>
      <c r="C27" s="240" t="inlineStr">
        <is>
          <t>Лебедки электрические тяговым усилием 156,96 кН (16 т)</t>
        </is>
      </c>
      <c r="D27" s="241" t="inlineStr">
        <is>
          <t>маш.-ч</t>
        </is>
      </c>
      <c r="E27" s="198" t="n">
        <v>0.12425381070542</v>
      </c>
      <c r="F27" s="257" t="n">
        <v>131.33</v>
      </c>
      <c r="G27" s="32">
        <f>ROUND(E27*F27,2)</f>
        <v/>
      </c>
      <c r="H27" s="248">
        <f>G27/$G$41</f>
        <v/>
      </c>
      <c r="I27" s="32">
        <f>ROUND(F27*Прил.10!$D$11,2)</f>
        <v/>
      </c>
      <c r="J27" s="32">
        <f>ROUND(I27*E27,2)</f>
        <v/>
      </c>
      <c r="L27" s="153" t="n"/>
    </row>
    <row r="28" outlineLevel="1" ht="25.5" customFormat="1" customHeight="1" s="12">
      <c r="A28" s="241" t="n">
        <v>11</v>
      </c>
      <c r="B28" s="154" t="inlineStr">
        <is>
          <t>91.14.03-002</t>
        </is>
      </c>
      <c r="C28" s="240" t="inlineStr">
        <is>
          <t>Автомобиль-самосвал, грузоподъемность до 10 т</t>
        </is>
      </c>
      <c r="D28" s="241" t="inlineStr">
        <is>
          <t>маш.-ч</t>
        </is>
      </c>
      <c r="E28" s="198" t="n">
        <v>0.15020256753102</v>
      </c>
      <c r="F28" s="257" t="n">
        <v>87.55</v>
      </c>
      <c r="G28" s="32">
        <f>ROUND(E28*F28,2)</f>
        <v/>
      </c>
      <c r="H28" s="248">
        <f>G28/$G$41</f>
        <v/>
      </c>
      <c r="I28" s="32">
        <f>ROUND(F28*Прил.10!$D$11,2)</f>
        <v/>
      </c>
      <c r="J28" s="32">
        <f>ROUND(I28*E28,2)</f>
        <v/>
      </c>
      <c r="L28" s="153" t="n"/>
    </row>
    <row r="29" outlineLevel="1" ht="51" customFormat="1" customHeight="1" s="12">
      <c r="A29" s="241" t="n">
        <v>12</v>
      </c>
      <c r="B29" s="154" t="inlineStr">
        <is>
          <t>91.21.01-014</t>
        </is>
      </c>
      <c r="C29" s="24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29" s="241" t="inlineStr">
        <is>
          <t>маш.-ч</t>
        </is>
      </c>
      <c r="E29" s="198" t="n">
        <v>2.2922198036157</v>
      </c>
      <c r="F29" s="257" t="n">
        <v>5.59</v>
      </c>
      <c r="G29" s="32">
        <f>ROUND(E29*F29,2)</f>
        <v/>
      </c>
      <c r="H29" s="248">
        <f>G29/$G$41</f>
        <v/>
      </c>
      <c r="I29" s="32">
        <f>ROUND(F29*Прил.10!$D$11,2)</f>
        <v/>
      </c>
      <c r="J29" s="32">
        <f>ROUND(I29*E29,2)</f>
        <v/>
      </c>
      <c r="L29" s="153" t="n"/>
    </row>
    <row r="30" outlineLevel="1" ht="14.25" customFormat="1" customHeight="1" s="12">
      <c r="A30" s="241" t="n">
        <v>13</v>
      </c>
      <c r="B30" s="154" t="inlineStr">
        <is>
          <t>91.01.01-035</t>
        </is>
      </c>
      <c r="C30" s="240" t="inlineStr">
        <is>
          <t>Бульдозеры, мощность 79 кВт (108 л.с.)</t>
        </is>
      </c>
      <c r="D30" s="241" t="inlineStr">
        <is>
          <t>маш.-ч</t>
        </is>
      </c>
      <c r="E30" s="198" t="n">
        <v>0.11593398263027</v>
      </c>
      <c r="F30" s="257" t="n">
        <v>79.04000000000001</v>
      </c>
      <c r="G30" s="32">
        <f>ROUND(E30*F30,2)</f>
        <v/>
      </c>
      <c r="H30" s="248">
        <f>G30/$G$41</f>
        <v/>
      </c>
      <c r="I30" s="32">
        <f>ROUND(F30*Прил.10!$D$11,2)</f>
        <v/>
      </c>
      <c r="J30" s="32">
        <f>ROUND(I30*E30,2)</f>
        <v/>
      </c>
      <c r="L30" s="153" t="n"/>
    </row>
    <row r="31" outlineLevel="1" ht="38.25" customFormat="1" customHeight="1" s="12">
      <c r="A31" s="241" t="n">
        <v>14</v>
      </c>
      <c r="B31" s="154" t="inlineStr">
        <is>
          <t>91.18.01-011</t>
        </is>
      </c>
      <c r="C31" s="240" t="inlineStr">
        <is>
          <t>Компрессоры передвижные с электродвигателем давлением 600 кПа (6 ат), производительность 0,5 м3/мин</t>
        </is>
      </c>
      <c r="D31" s="241" t="inlineStr">
        <is>
          <t>маш.-ч</t>
        </is>
      </c>
      <c r="E31" s="198" t="n">
        <v>2.2922198036157</v>
      </c>
      <c r="F31" s="257" t="n">
        <v>3.7</v>
      </c>
      <c r="G31" s="32">
        <f>ROUND(E31*F31,2)</f>
        <v/>
      </c>
      <c r="H31" s="248">
        <f>G31/$G$41</f>
        <v/>
      </c>
      <c r="I31" s="32">
        <f>ROUND(F31*Прил.10!$D$11,2)</f>
        <v/>
      </c>
      <c r="J31" s="32">
        <f>ROUND(I31*E31,2)</f>
        <v/>
      </c>
      <c r="L31" s="153" t="n"/>
    </row>
    <row r="32" outlineLevel="1" ht="38.25" customFormat="1" customHeight="1" s="12">
      <c r="A32" s="241" t="n">
        <v>15</v>
      </c>
      <c r="B32" s="154" t="inlineStr">
        <is>
          <t>91.17.04-036</t>
        </is>
      </c>
      <c r="C32" s="240" t="inlineStr">
        <is>
          <t>Агрегаты сварочные передвижные номинальным сварочным током 250-400 А с дизельным двигателем</t>
        </is>
      </c>
      <c r="D32" s="241" t="inlineStr">
        <is>
          <t>маш.-ч</t>
        </is>
      </c>
      <c r="E32" s="198" t="n">
        <v>0.48275194080113</v>
      </c>
      <c r="F32" s="257" t="n">
        <v>14.01</v>
      </c>
      <c r="G32" s="32">
        <f>ROUND(E32*F32,2)</f>
        <v/>
      </c>
      <c r="H32" s="248">
        <f>G32/$G$41</f>
        <v/>
      </c>
      <c r="I32" s="32">
        <f>ROUND(F32*Прил.10!$D$11,2)</f>
        <v/>
      </c>
      <c r="J32" s="32">
        <f>ROUND(I32*E32,2)</f>
        <v/>
      </c>
      <c r="L32" s="153" t="n"/>
    </row>
    <row r="33" outlineLevel="1" ht="14.25" customFormat="1" customHeight="1" s="12">
      <c r="A33" s="241" t="n">
        <v>16</v>
      </c>
      <c r="B33" s="154" t="inlineStr">
        <is>
          <t>91.08.04-021</t>
        </is>
      </c>
      <c r="C33" s="240" t="inlineStr">
        <is>
          <t>Котлы битумные передвижные 400 л</t>
        </is>
      </c>
      <c r="D33" s="241" t="inlineStr">
        <is>
          <t>маш.-ч</t>
        </is>
      </c>
      <c r="E33" s="198" t="n">
        <v>0.14537695852535</v>
      </c>
      <c r="F33" s="257" t="n">
        <v>29.99</v>
      </c>
      <c r="G33" s="32">
        <f>ROUND(E33*F33,2)</f>
        <v/>
      </c>
      <c r="H33" s="248">
        <f>G33/$G$41</f>
        <v/>
      </c>
      <c r="I33" s="32">
        <f>ROUND(F33*Прил.10!$D$11,2)</f>
        <v/>
      </c>
      <c r="J33" s="32">
        <f>ROUND(I33*E33,2)</f>
        <v/>
      </c>
      <c r="L33" s="153" t="n"/>
    </row>
    <row r="34" outlineLevel="1" ht="14.25" customFormat="1" customHeight="1" s="12">
      <c r="A34" s="241" t="n">
        <v>17</v>
      </c>
      <c r="B34" s="154" t="inlineStr">
        <is>
          <t>91.05.01-017</t>
        </is>
      </c>
      <c r="C34" s="240" t="inlineStr">
        <is>
          <t>Краны башенные, грузоподъемность 8 т</t>
        </is>
      </c>
      <c r="D34" s="241" t="inlineStr">
        <is>
          <t>маш.-ч</t>
        </is>
      </c>
      <c r="E34" s="198" t="n">
        <v>0.026093300248139</v>
      </c>
      <c r="F34" s="257" t="n">
        <v>86.51000000000001</v>
      </c>
      <c r="G34" s="32">
        <f>ROUND(E34*F34,2)</f>
        <v/>
      </c>
      <c r="H34" s="248">
        <f>G34/$G$41</f>
        <v/>
      </c>
      <c r="I34" s="32">
        <f>ROUND(F34*Прил.10!$D$11,2)</f>
        <v/>
      </c>
      <c r="J34" s="32">
        <f>ROUND(I34*E34,2)</f>
        <v/>
      </c>
      <c r="L34" s="153" t="n"/>
    </row>
    <row r="35" outlineLevel="1" ht="25.5" customFormat="1" customHeight="1" s="12">
      <c r="A35" s="241" t="n">
        <v>18</v>
      </c>
      <c r="B35" s="154" t="inlineStr">
        <is>
          <t>91.08.09-023</t>
        </is>
      </c>
      <c r="C35" s="240" t="inlineStr">
        <is>
          <t>Трамбовки пневматические при работе от передвижных компрессорных станций</t>
        </is>
      </c>
      <c r="D35" s="241" t="inlineStr">
        <is>
          <t>маш.-ч</t>
        </is>
      </c>
      <c r="E35" s="198" t="n">
        <v>4.0341242426799</v>
      </c>
      <c r="F35" s="257" t="n">
        <v>0.55</v>
      </c>
      <c r="G35" s="32">
        <f>ROUND(E35*F35,2)</f>
        <v/>
      </c>
      <c r="H35" s="248">
        <f>G35/$G$41</f>
        <v/>
      </c>
      <c r="I35" s="32">
        <f>ROUND(F35*Прил.10!$D$11,2)</f>
        <v/>
      </c>
      <c r="J35" s="32">
        <f>ROUND(I35*E35,2)</f>
        <v/>
      </c>
      <c r="L35" s="153" t="n"/>
    </row>
    <row r="36" outlineLevel="1" ht="14.25" customFormat="1" customHeight="1" s="12">
      <c r="A36" s="241" t="n">
        <v>19</v>
      </c>
      <c r="B36" s="154" t="inlineStr">
        <is>
          <t>91.07.04-001</t>
        </is>
      </c>
      <c r="C36" s="240" t="inlineStr">
        <is>
          <t>Вибратор глубинный</t>
        </is>
      </c>
      <c r="D36" s="241" t="inlineStr">
        <is>
          <t>маш.-ч</t>
        </is>
      </c>
      <c r="E36" s="198" t="n">
        <v>0.25629419354839</v>
      </c>
      <c r="F36" s="257" t="n">
        <v>1.9</v>
      </c>
      <c r="G36" s="32">
        <f>ROUND(E36*F36,2)</f>
        <v/>
      </c>
      <c r="H36" s="248">
        <f>G36/$G$41</f>
        <v/>
      </c>
      <c r="I36" s="32">
        <f>ROUND(F36*Прил.10!$D$11,2)</f>
        <v/>
      </c>
      <c r="J36" s="32">
        <f>ROUND(I36*E36,2)</f>
        <v/>
      </c>
      <c r="L36" s="153" t="n"/>
    </row>
    <row r="37" outlineLevel="1" ht="14.25" customFormat="1" customHeight="1" s="12">
      <c r="A37" s="241" t="n">
        <v>20</v>
      </c>
      <c r="B37" s="154" t="inlineStr">
        <is>
          <t>91.06.05-011</t>
        </is>
      </c>
      <c r="C37" s="240" t="inlineStr">
        <is>
          <t>Погрузчик, грузоподъемность 5 т</t>
        </is>
      </c>
      <c r="D37" s="241" t="inlineStr">
        <is>
          <t>маш.-ч</t>
        </is>
      </c>
      <c r="E37" s="198" t="n">
        <v>0.0036344239631336</v>
      </c>
      <c r="F37" s="257" t="n">
        <v>91.17</v>
      </c>
      <c r="G37" s="32">
        <f>ROUND(E37*F37,2)</f>
        <v/>
      </c>
      <c r="H37" s="248">
        <f>G37/$G$41</f>
        <v/>
      </c>
      <c r="I37" s="32">
        <f>ROUND(F37*Прил.10!$D$11,2)</f>
        <v/>
      </c>
      <c r="J37" s="32">
        <f>ROUND(I37*E37,2)</f>
        <v/>
      </c>
      <c r="L37" s="153" t="n"/>
    </row>
    <row r="38" outlineLevel="1" ht="25.5" customFormat="1" customHeight="1" s="12">
      <c r="A38" s="241" t="n">
        <v>21</v>
      </c>
      <c r="B38" s="154" t="inlineStr">
        <is>
          <t>91.14.02-002</t>
        </is>
      </c>
      <c r="C38" s="240" t="inlineStr">
        <is>
          <t>Автомобили бортовые, грузоподъемность до 8 т</t>
        </is>
      </c>
      <c r="D38" s="241" t="inlineStr">
        <is>
          <t>маш.-ч</t>
        </is>
      </c>
      <c r="E38" s="198" t="n">
        <v>0.0022717738390642</v>
      </c>
      <c r="F38" s="257" t="n">
        <v>86.59999999999999</v>
      </c>
      <c r="G38" s="32">
        <f>ROUND(E38*F38,2)</f>
        <v/>
      </c>
      <c r="H38" s="248">
        <f>G38/$G$41</f>
        <v/>
      </c>
      <c r="I38" s="32">
        <f>ROUND(F38*Прил.10!$D$11,2)</f>
        <v/>
      </c>
      <c r="J38" s="32">
        <f>ROUND(I38*E38,2)</f>
        <v/>
      </c>
      <c r="L38" s="153" t="n"/>
    </row>
    <row r="39" outlineLevel="1" ht="14.25" customFormat="1" customHeight="1" s="12">
      <c r="A39" s="241" t="n">
        <v>22</v>
      </c>
      <c r="B39" s="154" t="inlineStr">
        <is>
          <t>91.07.04-002</t>
        </is>
      </c>
      <c r="C39" s="240" t="inlineStr">
        <is>
          <t>Вибратор поверхностный</t>
        </is>
      </c>
      <c r="D39" s="241" t="inlineStr">
        <is>
          <t>маш.-ч</t>
        </is>
      </c>
      <c r="E39" s="198" t="n">
        <v>0.10342887203119</v>
      </c>
      <c r="F39" s="257" t="n">
        <v>0.5</v>
      </c>
      <c r="G39" s="32">
        <f>ROUND(E39*F39,2)</f>
        <v/>
      </c>
      <c r="H39" s="248">
        <f>G39/$G$41</f>
        <v/>
      </c>
      <c r="I39" s="32">
        <f>ROUND(F39*Прил.10!$D$11,2)</f>
        <v/>
      </c>
      <c r="J39" s="32">
        <f>ROUND(I39*E39,2)</f>
        <v/>
      </c>
      <c r="L39" s="153" t="n"/>
    </row>
    <row r="40" ht="14.25" customFormat="1" customHeight="1" s="12">
      <c r="A40" s="241" t="n"/>
      <c r="B40" s="241" t="n"/>
      <c r="C40" s="240" t="inlineStr">
        <is>
          <t>Итого прочие машины и механизмы</t>
        </is>
      </c>
      <c r="D40" s="241" t="n"/>
      <c r="E40" s="242" t="n"/>
      <c r="F40" s="32" t="n"/>
      <c r="G40" s="32">
        <f>SUM(G25:G39)</f>
        <v/>
      </c>
      <c r="H40" s="248">
        <f>G40/G41</f>
        <v/>
      </c>
      <c r="I40" s="32" t="n"/>
      <c r="J40" s="32">
        <f>SUM(J25:J39)</f>
        <v/>
      </c>
      <c r="K40" s="153" t="n"/>
      <c r="L40" s="153" t="n"/>
    </row>
    <row r="41" ht="25.5" customFormat="1" customHeight="1" s="12">
      <c r="A41" s="241" t="n"/>
      <c r="B41" s="252" t="n"/>
      <c r="C41" s="200" t="inlineStr">
        <is>
          <t>Итого по разделу «Машины и механизмы»</t>
        </is>
      </c>
      <c r="D41" s="252" t="n"/>
      <c r="E41" s="201" t="n"/>
      <c r="F41" s="202" t="n"/>
      <c r="G41" s="202">
        <f>G24+G40</f>
        <v/>
      </c>
      <c r="H41" s="203" t="n">
        <v>1</v>
      </c>
      <c r="I41" s="202" t="n"/>
      <c r="J41" s="202">
        <f>J24+J40</f>
        <v/>
      </c>
    </row>
    <row r="42" ht="29.25" customHeight="1">
      <c r="A42" s="250" t="n"/>
      <c r="B42" s="236" t="inlineStr">
        <is>
          <t xml:space="preserve">Оборудование </t>
        </is>
      </c>
      <c r="C42" s="316" t="n"/>
      <c r="D42" s="316" t="n"/>
      <c r="E42" s="316" t="n"/>
      <c r="F42" s="316" t="n"/>
      <c r="G42" s="316" t="n"/>
      <c r="H42" s="316" t="n"/>
      <c r="I42" s="316" t="n"/>
      <c r="J42" s="317" t="n"/>
    </row>
    <row r="43" ht="15" customHeight="1">
      <c r="A43" s="241" t="n"/>
      <c r="B43" s="249" t="inlineStr">
        <is>
          <t>Основное оборудование</t>
        </is>
      </c>
    </row>
    <row r="44" ht="76.5" customHeight="1">
      <c r="A44" s="241" t="n">
        <v>23</v>
      </c>
      <c r="B44" s="154" t="inlineStr">
        <is>
          <t>БЦ.63.536</t>
        </is>
      </c>
      <c r="C44" s="240" t="inlineStr">
        <is>
          <t>Разъединитель однополюсный, наружной установки с одним заземляющими ножом и 35 кВ 1000 А, 31,5 кА</t>
        </is>
      </c>
      <c r="D44" s="241" t="inlineStr">
        <is>
          <t>шт.</t>
        </is>
      </c>
      <c r="E44" s="198" t="n">
        <v>2</v>
      </c>
      <c r="F44" s="257">
        <f>ROUND(I44/Прил.10!$D$13,2)</f>
        <v/>
      </c>
      <c r="G44" s="32">
        <f>ROUND(E44*F44,2)</f>
        <v/>
      </c>
      <c r="H44" s="248">
        <f>G44/$G$48</f>
        <v/>
      </c>
      <c r="I44" s="32" t="n">
        <v>1004652.8</v>
      </c>
      <c r="J44" s="32">
        <f>ROUND(I44*E44,2)</f>
        <v/>
      </c>
    </row>
    <row r="45">
      <c r="A45" s="241" t="n"/>
      <c r="B45" s="241" t="n"/>
      <c r="C45" s="240" t="inlineStr">
        <is>
          <t>Итого основное оборудование</t>
        </is>
      </c>
      <c r="D45" s="241" t="n"/>
      <c r="E45" s="198" t="n"/>
      <c r="F45" s="243" t="n"/>
      <c r="G45" s="32">
        <f>SUM(G44)</f>
        <v/>
      </c>
      <c r="H45" s="248">
        <f>G45/$G$48</f>
        <v/>
      </c>
      <c r="I45" s="32" t="n"/>
      <c r="J45" s="32">
        <f>SUM(J44)</f>
        <v/>
      </c>
      <c r="K45" s="153" t="n"/>
    </row>
    <row r="46">
      <c r="A46" s="241" t="n">
        <v>24</v>
      </c>
      <c r="B46" s="154" t="inlineStr">
        <is>
          <t>БЦ.30_1.159</t>
        </is>
      </c>
      <c r="C46" s="240" t="inlineStr">
        <is>
          <t>Шкаф управления разъединителями</t>
        </is>
      </c>
      <c r="D46" s="241" t="inlineStr">
        <is>
          <t>шт.</t>
        </is>
      </c>
      <c r="E46" s="198" t="n">
        <v>2</v>
      </c>
      <c r="F46" s="257">
        <f>ROUND(I46/Прил.10!$D$13,2)</f>
        <v/>
      </c>
      <c r="G46" s="32">
        <f>ROUND(E46*F46,2)</f>
        <v/>
      </c>
      <c r="H46" s="248">
        <f>G46/$G$48</f>
        <v/>
      </c>
      <c r="I46" s="32" t="n">
        <v>345000</v>
      </c>
      <c r="J46" s="32">
        <f>ROUND(I46*E46,2)</f>
        <v/>
      </c>
      <c r="K46" s="153" t="n"/>
    </row>
    <row r="47">
      <c r="A47" s="241" t="n"/>
      <c r="B47" s="241" t="n"/>
      <c r="C47" s="240" t="inlineStr">
        <is>
          <t>Итого прочее оборудование</t>
        </is>
      </c>
      <c r="D47" s="241" t="n"/>
      <c r="E47" s="242" t="n"/>
      <c r="F47" s="243" t="n"/>
      <c r="G47" s="32">
        <f>G46</f>
        <v/>
      </c>
      <c r="H47" s="248">
        <f>G47/$G$48</f>
        <v/>
      </c>
      <c r="I47" s="243" t="n"/>
      <c r="J47" s="32">
        <f>J46</f>
        <v/>
      </c>
      <c r="K47" s="153" t="n"/>
    </row>
    <row r="48">
      <c r="A48" s="241" t="n"/>
      <c r="B48" s="241" t="n"/>
      <c r="C48" s="236" t="inlineStr">
        <is>
          <t>Итого по разделу «Оборудование»</t>
        </is>
      </c>
      <c r="D48" s="241" t="n"/>
      <c r="E48" s="242" t="n"/>
      <c r="F48" s="243" t="n"/>
      <c r="G48" s="32">
        <f>G45+G47</f>
        <v/>
      </c>
      <c r="H48" s="248">
        <f>(G45+G47)/G48</f>
        <v/>
      </c>
      <c r="I48" s="32" t="n"/>
      <c r="J48" s="32">
        <f>J47+J45</f>
        <v/>
      </c>
      <c r="K48" s="153" t="n"/>
    </row>
    <row r="49" ht="25.5" customHeight="1">
      <c r="A49" s="241" t="n"/>
      <c r="B49" s="241" t="n"/>
      <c r="C49" s="240" t="inlineStr">
        <is>
          <t>в том числе технологическое оборудование</t>
        </is>
      </c>
      <c r="D49" s="241" t="n"/>
      <c r="E49" s="242" t="n"/>
      <c r="F49" s="243" t="n"/>
      <c r="G49" s="32">
        <f>G48</f>
        <v/>
      </c>
      <c r="H49" s="248">
        <f>G49/$G$48</f>
        <v/>
      </c>
      <c r="I49" s="32" t="n"/>
      <c r="J49" s="32">
        <f>ROUND(G49*Прил.10!$D$13,2)</f>
        <v/>
      </c>
      <c r="K49" s="153" t="n"/>
    </row>
    <row r="50" ht="30" customFormat="1" customHeight="1" s="12">
      <c r="A50" s="241" t="n"/>
      <c r="B50" s="320" t="inlineStr">
        <is>
          <t xml:space="preserve">Материалы </t>
        </is>
      </c>
      <c r="J50" s="321" t="n"/>
      <c r="K50" s="153" t="n"/>
    </row>
    <row r="51" ht="14.25" customFormat="1" customHeight="1" s="12">
      <c r="A51" s="241" t="n"/>
      <c r="B51" s="240" t="inlineStr">
        <is>
          <t>Основные материалы</t>
        </is>
      </c>
      <c r="C51" s="316" t="n"/>
      <c r="D51" s="316" t="n"/>
      <c r="E51" s="316" t="n"/>
      <c r="F51" s="316" t="n"/>
      <c r="G51" s="316" t="n"/>
      <c r="H51" s="317" t="n"/>
      <c r="I51" s="248" t="n"/>
      <c r="J51" s="248" t="n"/>
    </row>
    <row r="52" ht="25.5" customFormat="1" customHeight="1" s="12">
      <c r="A52" s="241" t="n">
        <v>25</v>
      </c>
      <c r="B52" s="154" t="inlineStr">
        <is>
          <t>21.1.06.10-0411</t>
        </is>
      </c>
      <c r="C52" s="240" t="inlineStr">
        <is>
          <t>Кабель силовой с медными жилами ВВГнг(A)-LS 5х16мк(N, РЕ)-1000</t>
        </is>
      </c>
      <c r="D52" s="241" t="inlineStr">
        <is>
          <t>1000 м</t>
        </is>
      </c>
      <c r="E52" s="198" t="n">
        <v>0.014</v>
      </c>
      <c r="F52" s="257" t="n">
        <v>98440.41</v>
      </c>
      <c r="G52" s="32">
        <f>ROUND(E52*F52,2)</f>
        <v/>
      </c>
      <c r="H52" s="248">
        <f>G52/$G$98</f>
        <v/>
      </c>
      <c r="I52" s="32">
        <f>ROUND(F52*Прил.10!$D$12,2)</f>
        <v/>
      </c>
      <c r="J52" s="32">
        <f>ROUND(I52*E52,2)</f>
        <v/>
      </c>
    </row>
    <row r="53" ht="14.25" customFormat="1" customHeight="1" s="12">
      <c r="A53" s="241" t="n">
        <v>26</v>
      </c>
      <c r="B53" s="154" t="inlineStr">
        <is>
          <t>21.1.08.03-0574</t>
        </is>
      </c>
      <c r="C53" s="240" t="inlineStr">
        <is>
          <t>Кабель контрольный КВВГЭнг(А)-LS 4x2,5</t>
        </is>
      </c>
      <c r="D53" s="241" t="inlineStr">
        <is>
          <t>1000 м</t>
        </is>
      </c>
      <c r="E53" s="198" t="n">
        <v>0.028</v>
      </c>
      <c r="F53" s="257" t="n">
        <v>38348.22</v>
      </c>
      <c r="G53" s="32">
        <f>ROUND(E53*F53,2)</f>
        <v/>
      </c>
      <c r="H53" s="248">
        <f>G53/$G$98</f>
        <v/>
      </c>
      <c r="I53" s="32">
        <f>ROUND(F53*Прил.10!$D$12,2)</f>
        <v/>
      </c>
      <c r="J53" s="32">
        <f>ROUND(I53*E53,2)</f>
        <v/>
      </c>
    </row>
    <row r="54" ht="25.5" customFormat="1" customHeight="1" s="12">
      <c r="A54" s="241" t="n">
        <v>27</v>
      </c>
      <c r="B54" s="154" t="inlineStr">
        <is>
          <t>05.1.01.10-0131</t>
        </is>
      </c>
      <c r="C54" s="240" t="inlineStr">
        <is>
          <t>Лотки каналов и тоннелей железобетонные для прокладки коммуникаций</t>
        </is>
      </c>
      <c r="D54" s="241" t="inlineStr">
        <is>
          <t>м3</t>
        </is>
      </c>
      <c r="E54" s="198" t="n">
        <v>0.5600000000000001</v>
      </c>
      <c r="F54" s="257" t="n">
        <v>1837.28</v>
      </c>
      <c r="G54" s="32">
        <f>ROUND(E54*F54,2)</f>
        <v/>
      </c>
      <c r="H54" s="248">
        <f>G54/$G$98</f>
        <v/>
      </c>
      <c r="I54" s="32">
        <f>ROUND(F54*Прил.10!$D$12,2)</f>
        <v/>
      </c>
      <c r="J54" s="32">
        <f>ROUND(I54*E54,2)</f>
        <v/>
      </c>
    </row>
    <row r="55" ht="25.5" customFormat="1" customHeight="1" s="12">
      <c r="A55" s="241" t="n">
        <v>28</v>
      </c>
      <c r="B55" s="154" t="inlineStr">
        <is>
          <t>04.1.02.05-0046</t>
        </is>
      </c>
      <c r="C55" s="240" t="inlineStr">
        <is>
          <t>Бетон тяжелый, крупность заполнителя 20 мм, класс В25 (М350)</t>
        </is>
      </c>
      <c r="D55" s="241" t="inlineStr">
        <is>
          <t>м3</t>
        </is>
      </c>
      <c r="E55" s="198" t="n">
        <v>1.3195</v>
      </c>
      <c r="F55" s="257" t="n">
        <v>720</v>
      </c>
      <c r="G55" s="32">
        <f>ROUND(E55*F55,2)</f>
        <v/>
      </c>
      <c r="H55" s="248">
        <f>G55/$G$98</f>
        <v/>
      </c>
      <c r="I55" s="32">
        <f>ROUND(F55*Прил.10!$D$12,2)</f>
        <v/>
      </c>
      <c r="J55" s="32">
        <f>ROUND(I55*E55,2)</f>
        <v/>
      </c>
    </row>
    <row r="56" ht="63.75" customFormat="1" customHeight="1" s="12">
      <c r="A56" s="241" t="n">
        <v>29</v>
      </c>
      <c r="B56" s="154" t="inlineStr">
        <is>
          <t>07.2.07.12-0011</t>
        </is>
      </c>
      <c r="C56" s="24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56" s="241" t="inlineStr">
        <is>
          <t>т</t>
        </is>
      </c>
      <c r="E56" s="198" t="n">
        <v>0.08046399999999999</v>
      </c>
      <c r="F56" s="257" t="n">
        <v>11255</v>
      </c>
      <c r="G56" s="32">
        <f>ROUND(E56*F56,2)</f>
        <v/>
      </c>
      <c r="H56" s="248">
        <f>G56/$G$98</f>
        <v/>
      </c>
      <c r="I56" s="32">
        <f>ROUND(F56*Прил.10!$D$12,2)</f>
        <v/>
      </c>
      <c r="J56" s="32">
        <f>ROUND(I56*E56,2)</f>
        <v/>
      </c>
    </row>
    <row r="57" ht="51" customFormat="1" customHeight="1" s="12">
      <c r="A57" s="241" t="n">
        <v>30</v>
      </c>
      <c r="B57" s="154" t="inlineStr">
        <is>
          <t>07.2.07.12-0019</t>
        </is>
      </c>
      <c r="C57" s="24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57" s="241" t="inlineStr">
        <is>
          <t>т</t>
        </is>
      </c>
      <c r="E57" s="198" t="n">
        <v>0.032527</v>
      </c>
      <c r="F57" s="257" t="n">
        <v>8060</v>
      </c>
      <c r="G57" s="32">
        <f>ROUND(E57*F57,2)</f>
        <v/>
      </c>
      <c r="H57" s="248">
        <f>G57/$G$98</f>
        <v/>
      </c>
      <c r="I57" s="32">
        <f>ROUND(F57*Прил.10!$D$12,2)</f>
        <v/>
      </c>
      <c r="J57" s="32">
        <f>ROUND(I57*E57,2)</f>
        <v/>
      </c>
    </row>
    <row r="58" ht="25.5" customFormat="1" customHeight="1" s="12">
      <c r="A58" s="241" t="n">
        <v>31</v>
      </c>
      <c r="B58" s="154" t="inlineStr">
        <is>
          <t>20.1.01.02-0067</t>
        </is>
      </c>
      <c r="C58" s="240" t="inlineStr">
        <is>
          <t>Зажим аппаратный прессуемый: А4А-400-2</t>
        </is>
      </c>
      <c r="D58" s="241" t="inlineStr">
        <is>
          <t>100 шт.</t>
        </is>
      </c>
      <c r="E58" s="198" t="n">
        <v>0.04</v>
      </c>
      <c r="F58" s="257" t="n">
        <v>6505</v>
      </c>
      <c r="G58" s="32">
        <f>ROUND(E58*F58,2)</f>
        <v/>
      </c>
      <c r="H58" s="248">
        <f>G58/$G$98</f>
        <v/>
      </c>
      <c r="I58" s="32">
        <f>ROUND(F58*Прил.10!$D$12,2)</f>
        <v/>
      </c>
      <c r="J58" s="32">
        <f>ROUND(I58*E58,2)</f>
        <v/>
      </c>
    </row>
    <row r="59" ht="25.5" customFormat="1" customHeight="1" s="12">
      <c r="A59" s="241" t="n">
        <v>32</v>
      </c>
      <c r="B59" s="154" t="inlineStr">
        <is>
          <t>02.2.05.04-1777</t>
        </is>
      </c>
      <c r="C59" s="240" t="inlineStr">
        <is>
          <t>Щебень М 800, фракция 20-40 мм, группа 2</t>
        </is>
      </c>
      <c r="D59" s="241" t="inlineStr">
        <is>
          <t>м3</t>
        </is>
      </c>
      <c r="E59" s="198" t="n">
        <v>1.6</v>
      </c>
      <c r="F59" s="257" t="n">
        <v>108.4</v>
      </c>
      <c r="G59" s="32">
        <f>ROUND(E59*F59,2)</f>
        <v/>
      </c>
      <c r="H59" s="248">
        <f>G59/$G$98</f>
        <v/>
      </c>
      <c r="I59" s="32">
        <f>ROUND(F59*Прил.10!$D$12,2)</f>
        <v/>
      </c>
      <c r="J59" s="32">
        <f>ROUND(I59*E59,2)</f>
        <v/>
      </c>
    </row>
    <row r="60" ht="25.5" customFormat="1" customHeight="1" s="12">
      <c r="A60" s="241" t="n">
        <v>33</v>
      </c>
      <c r="B60" s="154" t="inlineStr">
        <is>
          <t>01.7.15.03-0035</t>
        </is>
      </c>
      <c r="C60" s="240" t="inlineStr">
        <is>
          <t>Болты с гайками и шайбами оцинкованные, диаметр 20 мм</t>
        </is>
      </c>
      <c r="D60" s="241" t="inlineStr">
        <is>
          <t>кг</t>
        </is>
      </c>
      <c r="E60" s="198" t="n">
        <v>6.53</v>
      </c>
      <c r="F60" s="257" t="n">
        <v>24.97</v>
      </c>
      <c r="G60" s="32">
        <f>ROUND(E60*F60,2)</f>
        <v/>
      </c>
      <c r="H60" s="248">
        <f>G60/$G$98</f>
        <v/>
      </c>
      <c r="I60" s="32">
        <f>ROUND(F60*Прил.10!$D$12,2)</f>
        <v/>
      </c>
      <c r="J60" s="32">
        <f>ROUND(I60*E60,2)</f>
        <v/>
      </c>
    </row>
    <row r="61" ht="51" customFormat="1" customHeight="1" s="12">
      <c r="A61" s="241" t="n">
        <v>34</v>
      </c>
      <c r="B61" s="154" t="inlineStr">
        <is>
          <t>08.4.01.01-0022</t>
        </is>
      </c>
      <c r="C61" s="24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61" s="241" t="inlineStr">
        <is>
          <t>т</t>
        </is>
      </c>
      <c r="E61" s="198" t="n">
        <v>0.01448</v>
      </c>
      <c r="F61" s="257" t="n">
        <v>10100</v>
      </c>
      <c r="G61" s="32">
        <f>ROUND(E61*F61,2)</f>
        <v/>
      </c>
      <c r="H61" s="248">
        <f>G61/$G$98</f>
        <v/>
      </c>
      <c r="I61" s="32">
        <f>ROUND(F61*Прил.10!$D$12,2)</f>
        <v/>
      </c>
      <c r="J61" s="32">
        <f>ROUND(I61*E61,2)</f>
        <v/>
      </c>
    </row>
    <row r="62" ht="25.5" customFormat="1" customHeight="1" s="12">
      <c r="A62" s="241" t="n">
        <v>35</v>
      </c>
      <c r="B62" s="154" t="inlineStr">
        <is>
          <t>21.2.01.02-0086</t>
        </is>
      </c>
      <c r="C62" s="240" t="inlineStr">
        <is>
          <t>Провод неизолированный для воздушных линий электропередачи АС 70/11</t>
        </is>
      </c>
      <c r="D62" s="241" t="inlineStr">
        <is>
          <t>т</t>
        </is>
      </c>
      <c r="E62" s="198" t="n">
        <v>0.00446</v>
      </c>
      <c r="F62" s="257" t="n">
        <v>31957.37</v>
      </c>
      <c r="G62" s="32">
        <f>ROUND(E62*F62,2)</f>
        <v/>
      </c>
      <c r="H62" s="248">
        <f>G62/$G$98</f>
        <v/>
      </c>
      <c r="I62" s="32">
        <f>ROUND(F62*Прил.10!$D$12,2)</f>
        <v/>
      </c>
      <c r="J62" s="32">
        <f>ROUND(I62*E62,2)</f>
        <v/>
      </c>
    </row>
    <row r="63" ht="14.25" customFormat="1" customHeight="1" s="12">
      <c r="A63" s="241" t="n"/>
      <c r="B63" s="241" t="n"/>
      <c r="C63" s="240" t="inlineStr">
        <is>
          <t>Итого основные материалы</t>
        </is>
      </c>
      <c r="D63" s="241" t="n"/>
      <c r="E63" s="198" t="n"/>
      <c r="F63" s="243" t="n"/>
      <c r="G63" s="32">
        <f>SUM(G52:G62)</f>
        <v/>
      </c>
      <c r="H63" s="248">
        <f>G63/$G$98</f>
        <v/>
      </c>
      <c r="I63" s="32" t="n"/>
      <c r="J63" s="32">
        <f>SUM(J52:J62)</f>
        <v/>
      </c>
      <c r="K63" s="153" t="n"/>
    </row>
    <row r="64" hidden="1" outlineLevel="1" ht="25.5" customFormat="1" customHeight="1" s="12">
      <c r="A64" s="241" t="n">
        <v>36</v>
      </c>
      <c r="B64" s="154" t="inlineStr">
        <is>
          <t>08.4.03.03-0004</t>
        </is>
      </c>
      <c r="C64" s="240" t="inlineStr">
        <is>
          <t>Горячекатанная арматурная сталь класса А500 С, диаметром 12 мм</t>
        </is>
      </c>
      <c r="D64" s="241" t="inlineStr">
        <is>
          <t>т</t>
        </is>
      </c>
      <c r="E64" s="198" t="n">
        <v>0.02496</v>
      </c>
      <c r="F64" s="257" t="n">
        <v>5584.58</v>
      </c>
      <c r="G64" s="32">
        <f>ROUND(F64*E64,2)</f>
        <v/>
      </c>
      <c r="H64" s="248">
        <f>G64/$G$98</f>
        <v/>
      </c>
      <c r="I64" s="32">
        <f>ROUND(F64*Прил.10!$D$12,2)</f>
        <v/>
      </c>
      <c r="J64" s="32">
        <f>ROUND(I64*E64,2)</f>
        <v/>
      </c>
    </row>
    <row r="65" hidden="1" outlineLevel="1" ht="63.75" customFormat="1" customHeight="1" s="12">
      <c r="A65" s="241" t="n">
        <v>37</v>
      </c>
      <c r="B65" s="154" t="inlineStr">
        <is>
          <t>14.4.04.04-0001</t>
        </is>
      </c>
      <c r="C65" s="240" t="inlineStr">
        <is>
          <t>Эмаль кремнийорганическая КО-88 серебристая термостойкая СЕРЕБРОЛ (0,55  кг на м2)  (прим) ((14,64*43,1+7,51*32,1+7,07*25,7+25,71*32,9)*1,03/1000*0,3*6/1000*2)</t>
        </is>
      </c>
      <c r="D65" s="241" t="inlineStr">
        <is>
          <t>т</t>
        </is>
      </c>
      <c r="E65" s="198" t="n">
        <v>0.0017</v>
      </c>
      <c r="F65" s="257" t="n">
        <v>74639.75</v>
      </c>
      <c r="G65" s="32">
        <f>ROUND(F65*E65,2)</f>
        <v/>
      </c>
      <c r="H65" s="248">
        <f>G65/$G$98</f>
        <v/>
      </c>
      <c r="I65" s="32">
        <f>ROUND(F65*Прил.10!$D$12,2)</f>
        <v/>
      </c>
      <c r="J65" s="32">
        <f>ROUND(I65*E65,2)</f>
        <v/>
      </c>
    </row>
    <row r="66" hidden="1" outlineLevel="1" ht="25.5" customFormat="1" customHeight="1" s="12">
      <c r="A66" s="241" t="n">
        <v>38</v>
      </c>
      <c r="B66" s="154" t="inlineStr">
        <is>
          <t>08.3.07.01-0076</t>
        </is>
      </c>
      <c r="C66" s="240" t="inlineStr">
        <is>
          <t>Сталь полосовая, марка стали Ст3сп шириной 50-200 мм толщиной 4-5 мм</t>
        </is>
      </c>
      <c r="D66" s="241" t="inlineStr">
        <is>
          <t>т</t>
        </is>
      </c>
      <c r="E66" s="198" t="n">
        <v>0.024</v>
      </c>
      <c r="F66" s="257" t="n">
        <v>5000</v>
      </c>
      <c r="G66" s="32">
        <f>ROUND(F66*E66,2)</f>
        <v/>
      </c>
      <c r="H66" s="248">
        <f>G66/$G$98</f>
        <v/>
      </c>
      <c r="I66" s="32">
        <f>ROUND(F66*Прил.10!$D$12,2)</f>
        <v/>
      </c>
      <c r="J66" s="32">
        <f>ROUND(I66*E66,2)</f>
        <v/>
      </c>
    </row>
    <row r="67" hidden="1" outlineLevel="1" ht="14.25" customFormat="1" customHeight="1" s="12">
      <c r="A67" s="241" t="n">
        <v>39</v>
      </c>
      <c r="B67" s="154" t="inlineStr">
        <is>
          <t>14.4.02.09-0001</t>
        </is>
      </c>
      <c r="C67" s="240" t="inlineStr">
        <is>
          <t>Краска</t>
        </is>
      </c>
      <c r="D67" s="241" t="inlineStr">
        <is>
          <t>кг</t>
        </is>
      </c>
      <c r="E67" s="198" t="n">
        <v>3.52</v>
      </c>
      <c r="F67" s="257" t="n">
        <v>28.6</v>
      </c>
      <c r="G67" s="32">
        <f>ROUND(F67*E67,2)</f>
        <v/>
      </c>
      <c r="H67" s="248">
        <f>G67/$G$98</f>
        <v/>
      </c>
      <c r="I67" s="32">
        <f>ROUND(F67*Прил.10!$D$12,2)</f>
        <v/>
      </c>
      <c r="J67" s="32">
        <f>ROUND(I67*E67,2)</f>
        <v/>
      </c>
    </row>
    <row r="68" hidden="1" outlineLevel="1" ht="38.25" customFormat="1" customHeight="1" s="12">
      <c r="A68" s="241" t="n">
        <v>40</v>
      </c>
      <c r="B68" s="154" t="inlineStr">
        <is>
          <t>08.4.03.03-0029</t>
        </is>
      </c>
      <c r="C68" s="240" t="inlineStr">
        <is>
          <t>Горячекатаная арматурная сталь периодического профиля класса А-III, диаметром 6 мм</t>
        </is>
      </c>
      <c r="D68" s="241" t="inlineStr">
        <is>
          <t>т</t>
        </is>
      </c>
      <c r="E68" s="198" t="n">
        <v>0.01078</v>
      </c>
      <c r="F68" s="257" t="n">
        <v>8213.360000000001</v>
      </c>
      <c r="G68" s="32">
        <f>ROUND(F68*E68,2)</f>
        <v/>
      </c>
      <c r="H68" s="248">
        <f>G68/$G$98</f>
        <v/>
      </c>
      <c r="I68" s="32">
        <f>ROUND(F68*Прил.10!$D$12,2)</f>
        <v/>
      </c>
      <c r="J68" s="32">
        <f>ROUND(I68*E68,2)</f>
        <v/>
      </c>
    </row>
    <row r="69" hidden="1" outlineLevel="1" ht="14.25" customFormat="1" customHeight="1" s="12">
      <c r="A69" s="241" t="n">
        <v>41</v>
      </c>
      <c r="B69" s="154" t="inlineStr">
        <is>
          <t>04.1.02.05-0003</t>
        </is>
      </c>
      <c r="C69" s="240" t="inlineStr">
        <is>
          <t>Бетон тяжелый, класс В7,5 (М100)</t>
        </is>
      </c>
      <c r="D69" s="241" t="inlineStr">
        <is>
          <t>м3</t>
        </is>
      </c>
      <c r="E69" s="198" t="n">
        <v>0.1428</v>
      </c>
      <c r="F69" s="257" t="n">
        <v>560</v>
      </c>
      <c r="G69" s="32">
        <f>ROUND(F69*E69,2)</f>
        <v/>
      </c>
      <c r="H69" s="248">
        <f>G69/$G$98</f>
        <v/>
      </c>
      <c r="I69" s="32">
        <f>ROUND(F69*Прил.10!$D$12,2)</f>
        <v/>
      </c>
      <c r="J69" s="32">
        <f>ROUND(I69*E69,2)</f>
        <v/>
      </c>
    </row>
    <row r="70" hidden="1" outlineLevel="1" ht="14.25" customFormat="1" customHeight="1" s="12">
      <c r="A70" s="241" t="n">
        <v>42</v>
      </c>
      <c r="B70" s="154" t="inlineStr">
        <is>
          <t>01.7.15.03-0042</t>
        </is>
      </c>
      <c r="C70" s="240" t="inlineStr">
        <is>
          <t>Болты с гайками и шайбами строительные</t>
        </is>
      </c>
      <c r="D70" s="241" t="inlineStr">
        <is>
          <t>кг</t>
        </is>
      </c>
      <c r="E70" s="198" t="n">
        <v>8.779999999999999</v>
      </c>
      <c r="F70" s="257" t="n">
        <v>9.039999999999999</v>
      </c>
      <c r="G70" s="32">
        <f>ROUND(F70*E70,2)</f>
        <v/>
      </c>
      <c r="H70" s="248">
        <f>G70/$G$98</f>
        <v/>
      </c>
      <c r="I70" s="32">
        <f>ROUND(F70*Прил.10!$D$12,2)</f>
        <v/>
      </c>
      <c r="J70" s="32">
        <f>ROUND(I70*E70,2)</f>
        <v/>
      </c>
    </row>
    <row r="71" hidden="1" outlineLevel="1" ht="14.25" customFormat="1" customHeight="1" s="12">
      <c r="A71" s="241" t="n">
        <v>43</v>
      </c>
      <c r="B71" s="154" t="inlineStr">
        <is>
          <t>01.7.11.07-0034</t>
        </is>
      </c>
      <c r="C71" s="240" t="inlineStr">
        <is>
          <t>Электроды диаметром 4 мм Э42А</t>
        </is>
      </c>
      <c r="D71" s="241" t="inlineStr">
        <is>
          <t>кг</t>
        </is>
      </c>
      <c r="E71" s="198" t="n">
        <v>7</v>
      </c>
      <c r="F71" s="257" t="n">
        <v>10.57</v>
      </c>
      <c r="G71" s="32">
        <f>ROUND(F71*E71,2)</f>
        <v/>
      </c>
      <c r="H71" s="248">
        <f>G71/$G$98</f>
        <v/>
      </c>
      <c r="I71" s="32">
        <f>ROUND(F71*Прил.10!$D$12,2)</f>
        <v/>
      </c>
      <c r="J71" s="32">
        <f>ROUND(I71*E71,2)</f>
        <v/>
      </c>
    </row>
    <row r="72" hidden="1" outlineLevel="1" ht="25.5" customFormat="1" customHeight="1" s="12">
      <c r="A72" s="241" t="n">
        <v>44</v>
      </c>
      <c r="B72" s="154" t="inlineStr">
        <is>
          <t>08.4.03.02-0001</t>
        </is>
      </c>
      <c r="C72" s="240" t="inlineStr">
        <is>
          <t>Горячекатаная арматурная сталь гладкая класса А-I, диаметром 6 мм</t>
        </is>
      </c>
      <c r="D72" s="241" t="inlineStr">
        <is>
          <t>т</t>
        </is>
      </c>
      <c r="E72" s="198" t="n">
        <v>0.008</v>
      </c>
      <c r="F72" s="257" t="n">
        <v>7420</v>
      </c>
      <c r="G72" s="32">
        <f>ROUND(F72*E72,2)</f>
        <v/>
      </c>
      <c r="H72" s="248">
        <f>G72/$G$98</f>
        <v/>
      </c>
      <c r="I72" s="32">
        <f>ROUND(F72*Прил.10!$D$12,2)</f>
        <v/>
      </c>
      <c r="J72" s="32">
        <f>ROUND(I72*E72,2)</f>
        <v/>
      </c>
    </row>
    <row r="73" hidden="1" outlineLevel="1" ht="14.25" customFormat="1" customHeight="1" s="12">
      <c r="A73" s="241" t="n">
        <v>45</v>
      </c>
      <c r="B73" s="154" t="inlineStr">
        <is>
          <t>01.2.03.03-0013</t>
        </is>
      </c>
      <c r="C73" s="240" t="inlineStr">
        <is>
          <t>Мастика битумная кровельная горячая</t>
        </is>
      </c>
      <c r="D73" s="241" t="inlineStr">
        <is>
          <t>т</t>
        </is>
      </c>
      <c r="E73" s="198" t="n">
        <v>0.01728</v>
      </c>
      <c r="F73" s="257" t="n">
        <v>3390.05</v>
      </c>
      <c r="G73" s="32">
        <f>ROUND(F73*E73,2)</f>
        <v/>
      </c>
      <c r="H73" s="248">
        <f>G73/$G$98</f>
        <v/>
      </c>
      <c r="I73" s="32">
        <f>ROUND(F73*Прил.10!$D$12,2)</f>
        <v/>
      </c>
      <c r="J73" s="32">
        <f>ROUND(I73*E73,2)</f>
        <v/>
      </c>
    </row>
    <row r="74" hidden="1" outlineLevel="1" ht="14.25" customFormat="1" customHeight="1" s="12">
      <c r="A74" s="241" t="n">
        <v>46</v>
      </c>
      <c r="B74" s="154" t="inlineStr">
        <is>
          <t>01.7.15.11-0026</t>
        </is>
      </c>
      <c r="C74" s="240" t="inlineStr">
        <is>
          <t>Шайбы квадратные</t>
        </is>
      </c>
      <c r="D74" s="241" t="inlineStr">
        <is>
          <t>100 шт.</t>
        </is>
      </c>
      <c r="E74" s="198" t="n">
        <v>0.16</v>
      </c>
      <c r="F74" s="257" t="n">
        <v>254</v>
      </c>
      <c r="G74" s="32">
        <f>ROUND(F74*E74,2)</f>
        <v/>
      </c>
      <c r="H74" s="248">
        <f>G74/$G$98</f>
        <v/>
      </c>
      <c r="I74" s="32">
        <f>ROUND(F74*Прил.10!$D$12,2)</f>
        <v/>
      </c>
      <c r="J74" s="32">
        <f>ROUND(I74*E74,2)</f>
        <v/>
      </c>
    </row>
    <row r="75" hidden="1" outlineLevel="1" ht="25.5" customFormat="1" customHeight="1" s="12">
      <c r="A75" s="241" t="n">
        <v>47</v>
      </c>
      <c r="B75" s="154" t="inlineStr">
        <is>
          <t>01.3.01.06-0050</t>
        </is>
      </c>
      <c r="C75" s="240" t="inlineStr">
        <is>
          <t>Смазка универсальная тугоплавкая УТ (консталин жировой)</t>
        </is>
      </c>
      <c r="D75" s="241" t="inlineStr">
        <is>
          <t>т</t>
        </is>
      </c>
      <c r="E75" s="198" t="n">
        <v>0.002</v>
      </c>
      <c r="F75" s="257" t="n">
        <v>17500</v>
      </c>
      <c r="G75" s="32">
        <f>ROUND(F75*E75,2)</f>
        <v/>
      </c>
      <c r="H75" s="248">
        <f>G75/$G$98</f>
        <v/>
      </c>
      <c r="I75" s="32">
        <f>ROUND(F75*Прил.10!$D$12,2)</f>
        <v/>
      </c>
      <c r="J75" s="32">
        <f>ROUND(I75*E75,2)</f>
        <v/>
      </c>
    </row>
    <row r="76" hidden="1" outlineLevel="1" ht="14.25" customFormat="1" customHeight="1" s="12">
      <c r="A76" s="241" t="n">
        <v>48</v>
      </c>
      <c r="B76" s="154" t="inlineStr">
        <is>
          <t>04.1.02.05-0011</t>
        </is>
      </c>
      <c r="C76" s="240" t="inlineStr">
        <is>
          <t>Бетон тяжелый, класс В30 (М400)</t>
        </is>
      </c>
      <c r="D76" s="241" t="inlineStr">
        <is>
          <t>м3</t>
        </is>
      </c>
      <c r="E76" s="198" t="n">
        <v>0.03672</v>
      </c>
      <c r="F76" s="257" t="n">
        <v>790.03</v>
      </c>
      <c r="G76" s="32">
        <f>ROUND(F76*E76,2)</f>
        <v/>
      </c>
      <c r="H76" s="248">
        <f>G76/$G$98</f>
        <v/>
      </c>
      <c r="I76" s="32">
        <f>ROUND(F76*Прил.10!$D$12,2)</f>
        <v/>
      </c>
      <c r="J76" s="32">
        <f>ROUND(I76*E76,2)</f>
        <v/>
      </c>
    </row>
    <row r="77" hidden="1" outlineLevel="1" ht="14.25" customFormat="1" customHeight="1" s="12">
      <c r="A77" s="241" t="n">
        <v>49</v>
      </c>
      <c r="B77" s="154" t="inlineStr">
        <is>
          <t>11.2.13.04-0011</t>
        </is>
      </c>
      <c r="C77" s="240" t="inlineStr">
        <is>
          <t>Щиты из досок толщиной 25 мм</t>
        </is>
      </c>
      <c r="D77" s="241" t="inlineStr">
        <is>
          <t>м2</t>
        </is>
      </c>
      <c r="E77" s="198" t="n">
        <v>0.6435</v>
      </c>
      <c r="F77" s="257" t="n">
        <v>35.52</v>
      </c>
      <c r="G77" s="32">
        <f>ROUND(F77*E77,2)</f>
        <v/>
      </c>
      <c r="H77" s="248">
        <f>G77/$G$98</f>
        <v/>
      </c>
      <c r="I77" s="32">
        <f>ROUND(F77*Прил.10!$D$12,2)</f>
        <v/>
      </c>
      <c r="J77" s="32">
        <f>ROUND(I77*E77,2)</f>
        <v/>
      </c>
    </row>
    <row r="78" hidden="1" outlineLevel="1" ht="25.5" customFormat="1" customHeight="1" s="12">
      <c r="A78" s="241" t="n">
        <v>50</v>
      </c>
      <c r="B78" s="154" t="inlineStr">
        <is>
          <t>999-9950</t>
        </is>
      </c>
      <c r="C78" s="240" t="inlineStr">
        <is>
          <t>Вспомогательные ненормируемые материалы</t>
        </is>
      </c>
      <c r="D78" s="241" t="inlineStr">
        <is>
          <t>руб</t>
        </is>
      </c>
      <c r="E78" s="198" t="n">
        <v>15.76</v>
      </c>
      <c r="F78" s="257" t="n">
        <v>1</v>
      </c>
      <c r="G78" s="32">
        <f>ROUND(F78*E78,2)</f>
        <v/>
      </c>
      <c r="H78" s="248">
        <f>G78/$G$98</f>
        <v/>
      </c>
      <c r="I78" s="32">
        <f>ROUND(F78*Прил.10!$D$12,2)</f>
        <v/>
      </c>
      <c r="J78" s="32">
        <f>ROUND(I78*E78,2)</f>
        <v/>
      </c>
    </row>
    <row r="79" hidden="1" outlineLevel="1" ht="14.25" customFormat="1" customHeight="1" s="12">
      <c r="A79" s="241" t="n">
        <v>51</v>
      </c>
      <c r="B79" s="154" t="inlineStr">
        <is>
          <t>01.7.20.08-0031</t>
        </is>
      </c>
      <c r="C79" s="240" t="inlineStr">
        <is>
          <t>Бязь суровая арт. 6804</t>
        </is>
      </c>
      <c r="D79" s="241" t="inlineStr">
        <is>
          <t>10 м2</t>
        </is>
      </c>
      <c r="E79" s="198" t="n">
        <v>0.2</v>
      </c>
      <c r="F79" s="257" t="n">
        <v>79.09999999999999</v>
      </c>
      <c r="G79" s="32">
        <f>ROUND(F79*E79,2)</f>
        <v/>
      </c>
      <c r="H79" s="248">
        <f>G79/$G$98</f>
        <v/>
      </c>
      <c r="I79" s="32">
        <f>ROUND(F79*Прил.10!$D$12,2)</f>
        <v/>
      </c>
      <c r="J79" s="32">
        <f>ROUND(I79*E79,2)</f>
        <v/>
      </c>
    </row>
    <row r="80" hidden="1" outlineLevel="1" ht="14.25" customFormat="1" customHeight="1" s="12">
      <c r="A80" s="241" t="n">
        <v>52</v>
      </c>
      <c r="B80" s="154" t="inlineStr">
        <is>
          <t>01.7.11.07-0032</t>
        </is>
      </c>
      <c r="C80" s="240" t="inlineStr">
        <is>
          <t>Электроды диаметром 4 мм Э42</t>
        </is>
      </c>
      <c r="D80" s="241" t="inlineStr">
        <is>
          <t>т</t>
        </is>
      </c>
      <c r="E80" s="198" t="n">
        <v>0.00134536</v>
      </c>
      <c r="F80" s="257" t="n">
        <v>10316.94</v>
      </c>
      <c r="G80" s="32">
        <f>ROUND(F80*E80,2)</f>
        <v/>
      </c>
      <c r="H80" s="248">
        <f>G80/$G$98</f>
        <v/>
      </c>
      <c r="I80" s="32">
        <f>ROUND(F80*Прил.10!$D$12,2)</f>
        <v/>
      </c>
      <c r="J80" s="32">
        <f>ROUND(I80*E80,2)</f>
        <v/>
      </c>
    </row>
    <row r="81" hidden="1" outlineLevel="1" ht="38.25" customFormat="1" customHeight="1" s="12">
      <c r="A81" s="241" t="n">
        <v>53</v>
      </c>
      <c r="B81" s="154" t="inlineStr">
        <is>
          <t>11.1.03.06-0095</t>
        </is>
      </c>
      <c r="C81" s="240" t="inlineStr">
        <is>
          <t>Доски обрезные хвойных пород длиной 4-6,5 м, шириной 75-150 мм, толщиной 44 мм и более, III сорта</t>
        </is>
      </c>
      <c r="D81" s="241" t="inlineStr">
        <is>
          <t>м3</t>
        </is>
      </c>
      <c r="E81" s="198" t="n">
        <v>0.009474</v>
      </c>
      <c r="F81" s="257" t="n">
        <v>1055.52</v>
      </c>
      <c r="G81" s="32">
        <f>ROUND(F81*E81,2)</f>
        <v/>
      </c>
      <c r="H81" s="248">
        <f>G81/$G$98</f>
        <v/>
      </c>
      <c r="I81" s="32">
        <f>ROUND(F81*Прил.10!$D$12,2)</f>
        <v/>
      </c>
      <c r="J81" s="32">
        <f>ROUND(I81*E81,2)</f>
        <v/>
      </c>
    </row>
    <row r="82" hidden="1" outlineLevel="1" ht="14.25" customFormat="1" customHeight="1" s="12">
      <c r="A82" s="241" t="n">
        <v>54</v>
      </c>
      <c r="B82" s="154" t="inlineStr">
        <is>
          <t>01.7.15.06-0111</t>
        </is>
      </c>
      <c r="C82" s="240" t="inlineStr">
        <is>
          <t>Гвозди строительные</t>
        </is>
      </c>
      <c r="D82" s="241" t="inlineStr">
        <is>
          <t>т</t>
        </is>
      </c>
      <c r="E82" s="198" t="n">
        <v>0.000517</v>
      </c>
      <c r="F82" s="257" t="n">
        <v>11972.92</v>
      </c>
      <c r="G82" s="32">
        <f>ROUND(F82*E82,2)</f>
        <v/>
      </c>
      <c r="H82" s="248">
        <f>G82/$G$98</f>
        <v/>
      </c>
      <c r="I82" s="32">
        <f>ROUND(F82*Прил.10!$D$12,2)</f>
        <v/>
      </c>
      <c r="J82" s="32">
        <f>ROUND(I82*E82,2)</f>
        <v/>
      </c>
    </row>
    <row r="83" hidden="1" outlineLevel="1" ht="38.25" customFormat="1" customHeight="1" s="12">
      <c r="A83" s="241" t="n">
        <v>55</v>
      </c>
      <c r="B83" s="154" t="inlineStr">
        <is>
          <t>11.1.02.04-0031</t>
        </is>
      </c>
      <c r="C83" s="240" t="inlineStr">
        <is>
          <t>Лесоматериалы круглые хвойных пород для строительства диаметром 14-24 см, длиной 3-6,5 м</t>
        </is>
      </c>
      <c r="D83" s="241" t="inlineStr">
        <is>
          <t>м3</t>
        </is>
      </c>
      <c r="E83" s="198" t="n">
        <v>0.008970000000000001</v>
      </c>
      <c r="F83" s="257" t="n">
        <v>558.53</v>
      </c>
      <c r="G83" s="32">
        <f>ROUND(F83*E83,2)</f>
        <v/>
      </c>
      <c r="H83" s="248">
        <f>G83/$G$98</f>
        <v/>
      </c>
      <c r="I83" s="32">
        <f>ROUND(F83*Прил.10!$D$12,2)</f>
        <v/>
      </c>
      <c r="J83" s="32">
        <f>ROUND(I83*E83,2)</f>
        <v/>
      </c>
    </row>
    <row r="84" hidden="1" outlineLevel="1" ht="25.5" customFormat="1" customHeight="1" s="12">
      <c r="A84" s="241" t="n">
        <v>56</v>
      </c>
      <c r="B84" s="154" t="inlineStr">
        <is>
          <t>01.3.01.03-0002</t>
        </is>
      </c>
      <c r="C84" s="240" t="inlineStr">
        <is>
          <t>Керосин для технических целей марок КТ-1, КТ-2</t>
        </is>
      </c>
      <c r="D84" s="241" t="inlineStr">
        <is>
          <t>т</t>
        </is>
      </c>
      <c r="E84" s="198" t="n">
        <v>0.001728</v>
      </c>
      <c r="F84" s="257" t="n">
        <v>2609.95</v>
      </c>
      <c r="G84" s="32">
        <f>ROUND(F84*E84,2)</f>
        <v/>
      </c>
      <c r="H84" s="248">
        <f>G84/$G$98</f>
        <v/>
      </c>
      <c r="I84" s="32">
        <f>ROUND(F84*Прил.10!$D$12,2)</f>
        <v/>
      </c>
      <c r="J84" s="32">
        <f>ROUND(I84*E84,2)</f>
        <v/>
      </c>
    </row>
    <row r="85" hidden="1" outlineLevel="1" ht="38.25" customFormat="1" customHeight="1" s="12">
      <c r="A85" s="241" t="n">
        <v>57</v>
      </c>
      <c r="B85" s="154" t="inlineStr">
        <is>
          <t>11.1.03.06-0087</t>
        </is>
      </c>
      <c r="C85" s="240" t="inlineStr">
        <is>
          <t>Доски обрезные хвойных пород длиной 4-6,5 м, шириной 75-150 мм, толщиной 25 мм, III сорта</t>
        </is>
      </c>
      <c r="D85" s="241" t="inlineStr">
        <is>
          <t>м3</t>
        </is>
      </c>
      <c r="E85" s="198" t="n">
        <v>0.003752</v>
      </c>
      <c r="F85" s="257" t="n">
        <v>1100.75</v>
      </c>
      <c r="G85" s="32">
        <f>ROUND(F85*E85,2)</f>
        <v/>
      </c>
      <c r="H85" s="248">
        <f>G85/$G$98</f>
        <v/>
      </c>
      <c r="I85" s="32">
        <f>ROUND(F85*Прил.10!$D$12,2)</f>
        <v/>
      </c>
      <c r="J85" s="32">
        <f>ROUND(I85*E85,2)</f>
        <v/>
      </c>
    </row>
    <row r="86" hidden="1" outlineLevel="1" ht="25.5" customFormat="1" customHeight="1" s="12">
      <c r="A86" s="241" t="n">
        <v>58</v>
      </c>
      <c r="B86" s="154" t="inlineStr">
        <is>
          <t>08.3.03.06-0002</t>
        </is>
      </c>
      <c r="C86" s="240" t="inlineStr">
        <is>
          <t>Проволока горячекатаная в мотках, диаметром 6,3-6,5 мм</t>
        </is>
      </c>
      <c r="D86" s="241" t="inlineStr">
        <is>
          <t>т</t>
        </is>
      </c>
      <c r="E86" s="198" t="n">
        <v>0.00052</v>
      </c>
      <c r="F86" s="257" t="n">
        <v>4461.54</v>
      </c>
      <c r="G86" s="32">
        <f>ROUND(F86*E86,2)</f>
        <v/>
      </c>
      <c r="H86" s="248">
        <f>G86/$G$98</f>
        <v/>
      </c>
      <c r="I86" s="32">
        <f>ROUND(F86*Прил.10!$D$12,2)</f>
        <v/>
      </c>
      <c r="J86" s="32">
        <f>ROUND(I86*E86,2)</f>
        <v/>
      </c>
    </row>
    <row r="87" hidden="1" outlineLevel="1" ht="14.25" customFormat="1" customHeight="1" s="12">
      <c r="A87" s="241" t="n">
        <v>59</v>
      </c>
      <c r="B87" s="154" t="inlineStr">
        <is>
          <t>01.7.07.12-0024</t>
        </is>
      </c>
      <c r="C87" s="240" t="inlineStr">
        <is>
          <t>Пленка полиэтиленовая толщиной 0,15 мм</t>
        </is>
      </c>
      <c r="D87" s="241" t="inlineStr">
        <is>
          <t>м2</t>
        </is>
      </c>
      <c r="E87" s="198" t="n">
        <v>0.4813</v>
      </c>
      <c r="F87" s="257" t="n">
        <v>3.64</v>
      </c>
      <c r="G87" s="32">
        <f>ROUND(F87*E87,2)</f>
        <v/>
      </c>
      <c r="H87" s="248">
        <f>G87/$G$98</f>
        <v/>
      </c>
      <c r="I87" s="32">
        <f>ROUND(F87*Прил.10!$D$12,2)</f>
        <v/>
      </c>
      <c r="J87" s="32">
        <f>ROUND(I87*E87,2)</f>
        <v/>
      </c>
    </row>
    <row r="88" hidden="1" outlineLevel="1" ht="25.5" customFormat="1" customHeight="1" s="12">
      <c r="A88" s="241" t="n">
        <v>60</v>
      </c>
      <c r="B88" s="154" t="inlineStr">
        <is>
          <t>01.2.01.02-0054</t>
        </is>
      </c>
      <c r="C88" s="240" t="inlineStr">
        <is>
          <t>Битумы нефтяные строительные марки БН-90/10</t>
        </is>
      </c>
      <c r="D88" s="241" t="inlineStr">
        <is>
          <t>т</t>
        </is>
      </c>
      <c r="E88" s="198" t="n">
        <v>0.001152</v>
      </c>
      <c r="F88" s="257" t="n">
        <v>1380.21</v>
      </c>
      <c r="G88" s="32">
        <f>ROUND(F88*E88,2)</f>
        <v/>
      </c>
      <c r="H88" s="248">
        <f>G88/$G$98</f>
        <v/>
      </c>
      <c r="I88" s="32">
        <f>ROUND(F88*Прил.10!$D$12,2)</f>
        <v/>
      </c>
      <c r="J88" s="32">
        <f>ROUND(I88*E88,2)</f>
        <v/>
      </c>
    </row>
    <row r="89" hidden="1" outlineLevel="1" ht="38.25" customFormat="1" customHeight="1" s="12">
      <c r="A89" s="241" t="n">
        <v>61</v>
      </c>
      <c r="B89" s="154" t="inlineStr">
        <is>
          <t>11.1.03.01-0079</t>
        </is>
      </c>
      <c r="C89" s="240" t="inlineStr">
        <is>
          <t>Бруски обрезные хвойных пород длиной 4-6,5 м, шириной 75-150 мм, толщиной 40-75 мм, III сорта</t>
        </is>
      </c>
      <c r="D89" s="241" t="inlineStr">
        <is>
          <t>м3</t>
        </is>
      </c>
      <c r="E89" s="198" t="n">
        <v>0.00104</v>
      </c>
      <c r="F89" s="257" t="n">
        <v>1288.46</v>
      </c>
      <c r="G89" s="32">
        <f>ROUND(F89*E89,2)</f>
        <v/>
      </c>
      <c r="H89" s="248">
        <f>G89/$G$98</f>
        <v/>
      </c>
      <c r="I89" s="32">
        <f>ROUND(F89*Прил.10!$D$12,2)</f>
        <v/>
      </c>
      <c r="J89" s="32">
        <f>ROUND(I89*E89,2)</f>
        <v/>
      </c>
    </row>
    <row r="90" hidden="1" outlineLevel="1" ht="14.25" customFormat="1" customHeight="1" s="12">
      <c r="A90" s="241" t="n">
        <v>62</v>
      </c>
      <c r="B90" s="154" t="inlineStr">
        <is>
          <t>01.7.11.07-0054</t>
        </is>
      </c>
      <c r="C90" s="240" t="inlineStr">
        <is>
          <t>Электроды диаметром 6 мм Э42</t>
        </is>
      </c>
      <c r="D90" s="241" t="inlineStr">
        <is>
          <t>т</t>
        </is>
      </c>
      <c r="E90" s="198" t="n">
        <v>5.2e-05</v>
      </c>
      <c r="F90" s="257" t="n">
        <v>9423.08</v>
      </c>
      <c r="G90" s="32">
        <f>ROUND(F90*E90,2)</f>
        <v/>
      </c>
      <c r="H90" s="248">
        <f>G90/$G$98</f>
        <v/>
      </c>
      <c r="I90" s="32">
        <f>ROUND(F90*Прил.10!$D$12,2)</f>
        <v/>
      </c>
      <c r="J90" s="32">
        <f>ROUND(I90*E90,2)</f>
        <v/>
      </c>
    </row>
    <row r="91" hidden="1" outlineLevel="1" ht="25.5" customFormat="1" customHeight="1" s="12">
      <c r="A91" s="241" t="n">
        <v>63</v>
      </c>
      <c r="B91" s="154" t="inlineStr">
        <is>
          <t>03.1.02.03-0011</t>
        </is>
      </c>
      <c r="C91" s="240" t="inlineStr">
        <is>
          <t>Известь строительная негашеная комовая, сорт I</t>
        </is>
      </c>
      <c r="D91" s="241" t="inlineStr">
        <is>
          <t>т</t>
        </is>
      </c>
      <c r="E91" s="198" t="n">
        <v>0.000598</v>
      </c>
      <c r="F91" s="257" t="n">
        <v>735.79</v>
      </c>
      <c r="G91" s="32">
        <f>ROUND(F91*E91,2)</f>
        <v/>
      </c>
      <c r="H91" s="248">
        <f>G91/$G$98</f>
        <v/>
      </c>
      <c r="I91" s="32">
        <f>ROUND(F91*Прил.10!$D$12,2)</f>
        <v/>
      </c>
      <c r="J91" s="32">
        <f>ROUND(I91*E91,2)</f>
        <v/>
      </c>
    </row>
    <row r="92" hidden="1" outlineLevel="1" ht="14.25" customFormat="1" customHeight="1" s="12">
      <c r="A92" s="241" t="n">
        <v>64</v>
      </c>
      <c r="B92" s="154" t="inlineStr">
        <is>
          <t>01.7.03.01-0001</t>
        </is>
      </c>
      <c r="C92" s="240" t="inlineStr">
        <is>
          <t>Вода</t>
        </is>
      </c>
      <c r="D92" s="241" t="inlineStr">
        <is>
          <t>м3</t>
        </is>
      </c>
      <c r="E92" s="198" t="n">
        <v>0.038461</v>
      </c>
      <c r="F92" s="257" t="n">
        <v>2.34</v>
      </c>
      <c r="G92" s="32">
        <f>ROUND(F92*E92,2)</f>
        <v/>
      </c>
      <c r="H92" s="248">
        <f>G92/$G$98</f>
        <v/>
      </c>
      <c r="I92" s="32">
        <f>ROUND(F92*Прил.10!$D$12,2)</f>
        <v/>
      </c>
      <c r="J92" s="32">
        <f>ROUND(I92*E92,2)</f>
        <v/>
      </c>
    </row>
    <row r="93" hidden="1" outlineLevel="1" ht="14.25" customFormat="1" customHeight="1" s="12">
      <c r="A93" s="241" t="n">
        <v>65</v>
      </c>
      <c r="B93" s="154" t="inlineStr">
        <is>
          <t>14.4.03.03-0102</t>
        </is>
      </c>
      <c r="C93" s="240" t="inlineStr">
        <is>
          <t>Лак БТ-577</t>
        </is>
      </c>
      <c r="D93" s="241" t="inlineStr">
        <is>
          <t>т</t>
        </is>
      </c>
      <c r="E93" s="198" t="n">
        <v>8.780000000000001e-06</v>
      </c>
      <c r="F93" s="257" t="n">
        <v>9111.309999999999</v>
      </c>
      <c r="G93" s="32">
        <f>ROUND(F93*E93,2)</f>
        <v/>
      </c>
      <c r="H93" s="248">
        <f>G93/$G$98</f>
        <v/>
      </c>
      <c r="I93" s="32">
        <f>ROUND(F93*Прил.10!$D$12,2)</f>
        <v/>
      </c>
      <c r="J93" s="32">
        <f>ROUND(I93*E93,2)</f>
        <v/>
      </c>
    </row>
    <row r="94" hidden="1" outlineLevel="1" ht="14.25" customFormat="1" customHeight="1" s="12">
      <c r="A94" s="241" t="n">
        <v>66</v>
      </c>
      <c r="B94" s="154" t="inlineStr">
        <is>
          <t>07.2.07.02-0001</t>
        </is>
      </c>
      <c r="C94" s="240" t="inlineStr">
        <is>
          <t>Кондуктор инвентарный металлический</t>
        </is>
      </c>
      <c r="D94" s="241" t="inlineStr">
        <is>
          <t>шт.</t>
        </is>
      </c>
      <c r="E94" s="198" t="n">
        <v>0.00015</v>
      </c>
      <c r="F94" s="257" t="n">
        <v>333.33</v>
      </c>
      <c r="G94" s="32">
        <f>ROUND(F94*E94,2)</f>
        <v/>
      </c>
      <c r="H94" s="248">
        <f>G94/$G$98</f>
        <v/>
      </c>
      <c r="I94" s="32">
        <f>ROUND(F94*Прил.10!$D$12,2)</f>
        <v/>
      </c>
      <c r="J94" s="32">
        <f>ROUND(I94*E94,2)</f>
        <v/>
      </c>
    </row>
    <row r="95" hidden="1" outlineLevel="1" ht="14.25" customFormat="1" customHeight="1" s="12">
      <c r="A95" s="241" t="n">
        <v>67</v>
      </c>
      <c r="B95" s="154" t="inlineStr">
        <is>
          <t>01.7.20.08-0051</t>
        </is>
      </c>
      <c r="C95" s="240" t="inlineStr">
        <is>
          <t>Ветошь</t>
        </is>
      </c>
      <c r="D95" s="241" t="inlineStr">
        <is>
          <t>кг</t>
        </is>
      </c>
      <c r="E95" s="198" t="n">
        <v>0.0072</v>
      </c>
      <c r="F95" s="257" t="n">
        <v>1.39</v>
      </c>
      <c r="G95" s="32">
        <f>ROUND(F95*E95,2)</f>
        <v/>
      </c>
      <c r="H95" s="248">
        <f>G95/$G$98</f>
        <v/>
      </c>
      <c r="I95" s="32">
        <f>ROUND(F95*Прил.10!$D$12,2)</f>
        <v/>
      </c>
      <c r="J95" s="32">
        <f>ROUND(I95*E95,2)</f>
        <v/>
      </c>
    </row>
    <row r="96" hidden="1" outlineLevel="1" ht="14.25" customFormat="1" customHeight="1" s="12">
      <c r="A96" s="241" t="n">
        <v>68</v>
      </c>
      <c r="B96" s="154" t="inlineStr">
        <is>
          <t>14.5.07.01-0012</t>
        </is>
      </c>
      <c r="C96" s="240" t="inlineStr">
        <is>
          <t>Пудра алюминиевая, марки ПАП-2</t>
        </is>
      </c>
      <c r="D96" s="241" t="inlineStr">
        <is>
          <t>т</t>
        </is>
      </c>
      <c r="E96" s="198" t="n">
        <v>-1.478e-05</v>
      </c>
      <c r="F96" s="257" t="n">
        <v>23680.76</v>
      </c>
      <c r="G96" s="32">
        <f>ROUND(F96*E96,2)</f>
        <v/>
      </c>
      <c r="H96" s="248">
        <f>G96/$G$98</f>
        <v/>
      </c>
      <c r="I96" s="32">
        <f>ROUND(F96*Прил.10!$D$12,2)</f>
        <v/>
      </c>
      <c r="J96" s="32">
        <f>ROUND(I96*E96,2)</f>
        <v/>
      </c>
    </row>
    <row r="97" collapsed="1" ht="14.25" customFormat="1" customHeight="1" s="12">
      <c r="A97" s="241" t="n"/>
      <c r="B97" s="241" t="n"/>
      <c r="C97" s="240" t="inlineStr">
        <is>
          <t>Итого прочие материалы</t>
        </is>
      </c>
      <c r="D97" s="241" t="n"/>
      <c r="E97" s="242" t="n"/>
      <c r="F97" s="243" t="n"/>
      <c r="G97" s="32">
        <f>SUM(G64:G96)</f>
        <v/>
      </c>
      <c r="H97" s="248">
        <f>G97/G98</f>
        <v/>
      </c>
      <c r="I97" s="32" t="n"/>
      <c r="J97" s="32">
        <f>SUM(J64:J96)</f>
        <v/>
      </c>
    </row>
    <row r="98" ht="14.25" customFormat="1" customHeight="1" s="12">
      <c r="A98" s="241" t="n"/>
      <c r="B98" s="241" t="n"/>
      <c r="C98" s="236" t="inlineStr">
        <is>
          <t>Итого по разделу «Материалы»</t>
        </is>
      </c>
      <c r="D98" s="241" t="n"/>
      <c r="E98" s="242" t="n"/>
      <c r="F98" s="243" t="n"/>
      <c r="G98" s="32">
        <f>G63+G97</f>
        <v/>
      </c>
      <c r="H98" s="248" t="n">
        <v>1</v>
      </c>
      <c r="I98" s="243" t="n"/>
      <c r="J98" s="32">
        <f>J63+J97</f>
        <v/>
      </c>
      <c r="K98" s="153" t="n"/>
    </row>
    <row r="99" ht="14.25" customFormat="1" customHeight="1" s="12">
      <c r="A99" s="241" t="n"/>
      <c r="B99" s="241" t="n"/>
      <c r="C99" s="240" t="inlineStr">
        <is>
          <t>ИТОГО ПО РМ</t>
        </is>
      </c>
      <c r="D99" s="241" t="n"/>
      <c r="E99" s="242" t="n"/>
      <c r="F99" s="243" t="n"/>
      <c r="G99" s="32">
        <f>G14+G41+G98</f>
        <v/>
      </c>
      <c r="H99" s="248" t="n"/>
      <c r="I99" s="243" t="n"/>
      <c r="J99" s="32">
        <f>J14+J41+J98</f>
        <v/>
      </c>
    </row>
    <row r="100" ht="14.25" customFormat="1" customHeight="1" s="12">
      <c r="A100" s="241" t="n"/>
      <c r="B100" s="241" t="n"/>
      <c r="C100" s="240" t="inlineStr">
        <is>
          <t>Накладные расходы</t>
        </is>
      </c>
      <c r="D100" s="241" t="inlineStr">
        <is>
          <t>%</t>
        </is>
      </c>
      <c r="E100" s="16">
        <f>ROUND(G100/(G14+G16),2)</f>
        <v/>
      </c>
      <c r="F100" s="243" t="n"/>
      <c r="G100" s="32" t="n">
        <v>1135.67</v>
      </c>
      <c r="H100" s="248" t="n"/>
      <c r="I100" s="243" t="n"/>
      <c r="J100" s="32">
        <f>ROUND(E100*(J14+J16),2)</f>
        <v/>
      </c>
      <c r="K100" s="28" t="n"/>
    </row>
    <row r="101" ht="14.25" customFormat="1" customHeight="1" s="12">
      <c r="A101" s="241" t="n"/>
      <c r="B101" s="241" t="n"/>
      <c r="C101" s="240" t="inlineStr">
        <is>
          <t>Сметная прибыль</t>
        </is>
      </c>
      <c r="D101" s="241" t="inlineStr">
        <is>
          <t>%</t>
        </is>
      </c>
      <c r="E101" s="16">
        <f>ROUND(G101/(G14+G16),2)</f>
        <v/>
      </c>
      <c r="F101" s="243" t="n"/>
      <c r="G101" s="32" t="n">
        <v>745.41</v>
      </c>
      <c r="H101" s="248" t="n"/>
      <c r="I101" s="243" t="n"/>
      <c r="J101" s="32">
        <f>ROUND(E101*(J14+J16),2)</f>
        <v/>
      </c>
      <c r="K101" s="28" t="n"/>
    </row>
    <row r="102" ht="14.25" customFormat="1" customHeight="1" s="12">
      <c r="A102" s="241" t="n"/>
      <c r="B102" s="241" t="n"/>
      <c r="C102" s="240" t="inlineStr">
        <is>
          <t>Итого СМР (с НР и СП)</t>
        </is>
      </c>
      <c r="D102" s="241" t="n"/>
      <c r="E102" s="242" t="n"/>
      <c r="F102" s="243" t="n"/>
      <c r="G102" s="32">
        <f>G14+G41+G98+G100+G101</f>
        <v/>
      </c>
      <c r="H102" s="248" t="n"/>
      <c r="I102" s="243" t="n"/>
      <c r="J102" s="32">
        <f>J14+J41+J98+J100+J101</f>
        <v/>
      </c>
      <c r="L102" s="155" t="n"/>
    </row>
    <row r="103" ht="14.25" customFormat="1" customHeight="1" s="12">
      <c r="A103" s="241" t="n"/>
      <c r="B103" s="241" t="n"/>
      <c r="C103" s="240" t="inlineStr">
        <is>
          <t>ВСЕГО СМР + ОБОРУДОВАНИЕ</t>
        </is>
      </c>
      <c r="D103" s="241" t="n"/>
      <c r="E103" s="242" t="n"/>
      <c r="F103" s="243" t="n"/>
      <c r="G103" s="32">
        <f>G102+G48</f>
        <v/>
      </c>
      <c r="H103" s="248" t="n"/>
      <c r="I103" s="243" t="n"/>
      <c r="J103" s="32">
        <f>J102+J48</f>
        <v/>
      </c>
      <c r="L103" s="28" t="n"/>
    </row>
    <row r="104" ht="14.25" customFormat="1" customHeight="1" s="12">
      <c r="A104" s="241" t="n"/>
      <c r="B104" s="241" t="n"/>
      <c r="C104" s="240" t="inlineStr">
        <is>
          <t>ИТОГО ПОКАЗАТЕЛЬ НА ЕД. ИЗМ.</t>
        </is>
      </c>
      <c r="D104" s="241" t="inlineStr">
        <is>
          <t>ед.</t>
        </is>
      </c>
      <c r="E104" s="205">
        <f>'Прил.1 Сравнит табл'!D15</f>
        <v/>
      </c>
      <c r="F104" s="243" t="n"/>
      <c r="G104" s="32">
        <f>G103/E104</f>
        <v/>
      </c>
      <c r="H104" s="248" t="n"/>
      <c r="I104" s="243" t="n"/>
      <c r="J104" s="32">
        <f>J103/E104</f>
        <v/>
      </c>
      <c r="L104" s="28" t="n"/>
    </row>
    <row r="105" ht="14.25" customFormat="1" customHeight="1" s="12">
      <c r="A105" s="310" t="n"/>
      <c r="B105" s="310" t="n"/>
      <c r="C105" s="311" t="n"/>
      <c r="D105" s="310" t="n"/>
      <c r="E105" s="312" t="n"/>
      <c r="F105" s="313" t="n"/>
      <c r="G105" s="314" t="n"/>
      <c r="H105" s="315" t="n"/>
      <c r="I105" s="313" t="n"/>
      <c r="J105" s="314" t="n"/>
      <c r="L105" s="28" t="n"/>
    </row>
    <row r="106" ht="14.25" customFormat="1" customHeight="1" s="12">
      <c r="A106" s="310" t="n"/>
      <c r="B106" s="310" t="n"/>
      <c r="C106" s="311" t="n"/>
      <c r="D106" s="310" t="n"/>
      <c r="E106" s="312" t="n"/>
      <c r="F106" s="313" t="n"/>
      <c r="G106" s="314" t="n"/>
      <c r="H106" s="315" t="n"/>
      <c r="I106" s="313" t="n"/>
      <c r="J106" s="314" t="n"/>
      <c r="L106" s="28" t="n"/>
    </row>
    <row r="108" ht="14.25" customFormat="1" customHeight="1" s="12">
      <c r="A108" s="30" t="n"/>
    </row>
    <row r="109" ht="14.25" customFormat="1" customHeight="1" s="12">
      <c r="B109" s="4" t="inlineStr">
        <is>
          <t>Составил ______________________        Е. М. Добровольская</t>
        </is>
      </c>
    </row>
    <row r="110" ht="14.25" customFormat="1" customHeight="1" s="12">
      <c r="B110" s="33" t="inlineStr">
        <is>
          <t xml:space="preserve">                         (подпись, инициалы, фамилия)</t>
        </is>
      </c>
    </row>
    <row r="111" ht="14.25" customFormat="1" customHeight="1" s="12">
      <c r="B111" s="4" t="n"/>
    </row>
    <row r="112" ht="14.25" customFormat="1" customHeight="1" s="12">
      <c r="B112" s="4" t="inlineStr">
        <is>
          <t>Проверил ______________________        А.В. Костянецкая</t>
        </is>
      </c>
    </row>
    <row r="113" ht="14.25" customFormat="1" customHeight="1" s="12">
      <c r="B113" s="33" t="inlineStr">
        <is>
          <t xml:space="preserve">                        (подпись, инициалы, фамилия)</t>
        </is>
      </c>
    </row>
  </sheetData>
  <mergeCells count="20">
    <mergeCell ref="H9:H10"/>
    <mergeCell ref="B42:J42"/>
    <mergeCell ref="B15:H15"/>
    <mergeCell ref="B51:H51"/>
    <mergeCell ref="C9:C10"/>
    <mergeCell ref="E9:E10"/>
    <mergeCell ref="D6:H6"/>
    <mergeCell ref="A7:H7"/>
    <mergeCell ref="B9:B10"/>
    <mergeCell ref="D9:D10"/>
    <mergeCell ref="B18:H18"/>
    <mergeCell ref="B12:H12"/>
    <mergeCell ref="B50:J50"/>
    <mergeCell ref="F9:G9"/>
    <mergeCell ref="A4:H4"/>
    <mergeCell ref="B17:H17"/>
    <mergeCell ref="A9:A10"/>
    <mergeCell ref="A6:C6"/>
    <mergeCell ref="B43:J43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 cellComments="atEnd"/>
  <rowBreaks count="1" manualBreakCount="1">
    <brk id="5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3" workbookViewId="0">
      <selection activeCell="B21" sqref="B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8" t="inlineStr">
        <is>
          <t>Расчет стоимости оборудования</t>
        </is>
      </c>
    </row>
    <row r="4" ht="25.5" customHeight="1">
      <c r="A4" s="312">
        <f>'Прил.1 Сравнит табл'!B7</f>
        <v/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1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17" t="n"/>
    </row>
    <row r="7">
      <c r="A7" s="319" t="n"/>
      <c r="B7" s="319" t="n"/>
      <c r="C7" s="319" t="n"/>
      <c r="D7" s="319" t="n"/>
      <c r="E7" s="319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0" t="inlineStr">
        <is>
          <t>ИНЖЕНЕРНОЕ ОБОРУДОВАНИЕ</t>
        </is>
      </c>
      <c r="C9" s="316" t="n"/>
      <c r="D9" s="316" t="n"/>
      <c r="E9" s="316" t="n"/>
      <c r="F9" s="316" t="n"/>
      <c r="G9" s="317" t="n"/>
    </row>
    <row r="10" ht="27" customHeight="1">
      <c r="A10" s="241" t="n"/>
      <c r="B10" s="236" t="n"/>
      <c r="C10" s="240" t="inlineStr">
        <is>
          <t>ИТОГО ИНЖЕНЕРНОЕ ОБОРУДОВАНИЕ</t>
        </is>
      </c>
      <c r="D10" s="236" t="n"/>
      <c r="E10" s="105" t="n"/>
      <c r="F10" s="243" t="n"/>
      <c r="G10" s="243" t="n">
        <v>0</v>
      </c>
    </row>
    <row r="11">
      <c r="A11" s="241" t="n"/>
      <c r="B11" s="240" t="inlineStr">
        <is>
          <t>ТЕХНОЛОГИЧЕСКОЕ ОБОРУДОВАНИЕ</t>
        </is>
      </c>
      <c r="C11" s="316" t="n"/>
      <c r="D11" s="316" t="n"/>
      <c r="E11" s="316" t="n"/>
      <c r="F11" s="316" t="n"/>
      <c r="G11" s="317" t="n"/>
    </row>
    <row r="12" ht="76.5" customHeight="1">
      <c r="A12" s="241" t="n">
        <v>1</v>
      </c>
      <c r="B12" s="154" t="inlineStr">
        <is>
          <t>БЦ.64.94</t>
        </is>
      </c>
      <c r="C12" s="240" t="inlineStr">
        <is>
          <t>Разъединитель однополюсный, наружной установки с одним заземляющими ножом со стороны подвижной колонки Uном=35 кВ Iном.=1000 А, Iоткл.=31,5 кА с ручными приводами для главных и заземляющих ножей</t>
        </is>
      </c>
      <c r="D12" s="114" t="inlineStr">
        <is>
          <t>шт.</t>
        </is>
      </c>
      <c r="E12" s="187" t="n">
        <v>2</v>
      </c>
      <c r="F12" s="32">
        <f>'Прил.5 Расчет СМР и ОБ'!F44</f>
        <v/>
      </c>
      <c r="G12" s="32">
        <f>ROUND(E12*F12,2)</f>
        <v/>
      </c>
    </row>
    <row r="13" ht="76.5" customHeight="1">
      <c r="A13" s="241" t="n">
        <v>2</v>
      </c>
      <c r="B13" s="206" t="inlineStr">
        <is>
          <t>БЦ.30_1.159</t>
        </is>
      </c>
      <c r="C13" s="114" t="inlineStr">
        <is>
          <t>Шкаф управления разъединителями</t>
        </is>
      </c>
      <c r="D13" s="114" t="inlineStr">
        <is>
          <t>шт.</t>
        </is>
      </c>
      <c r="E13" s="187" t="n">
        <v>2</v>
      </c>
      <c r="F13" s="32">
        <f>'Прил.5 Расчет СМР и ОБ'!F46</f>
        <v/>
      </c>
      <c r="G13" s="32">
        <f>ROUND(E13*F13,2)</f>
        <v/>
      </c>
    </row>
    <row r="14" ht="25.5" customHeight="1">
      <c r="A14" s="241" t="n">
        <v>3</v>
      </c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43" t="n"/>
      <c r="G14" s="32">
        <f>SUM(G12:G13)</f>
        <v/>
      </c>
    </row>
    <row r="15" ht="19.5" customHeight="1">
      <c r="A15" s="241" t="n">
        <v>4</v>
      </c>
      <c r="B15" s="240" t="n"/>
      <c r="C15" s="240" t="inlineStr">
        <is>
          <t>Всего по разделу «Оборудование»</t>
        </is>
      </c>
      <c r="D15" s="240" t="n"/>
      <c r="E15" s="257" t="n"/>
      <c r="F15" s="243" t="n"/>
      <c r="G15" s="32">
        <f>G10+G14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B17" s="4" t="inlineStr">
        <is>
          <t>Составил ______________________        Е. М. Добровольская</t>
        </is>
      </c>
      <c r="C17" s="12" t="n"/>
      <c r="E17" s="30" t="n"/>
      <c r="F17" s="30" t="n"/>
      <c r="G17" s="30" t="n"/>
    </row>
    <row r="18">
      <c r="B18" s="33" t="inlineStr">
        <is>
          <t xml:space="preserve">                         (подпись, инициалы, фамилия)</t>
        </is>
      </c>
      <c r="C18" s="12" t="n"/>
      <c r="E18" s="30" t="n"/>
      <c r="F18" s="30" t="n"/>
      <c r="G18" s="30" t="n"/>
    </row>
    <row r="19">
      <c r="B19" s="4" t="n"/>
      <c r="C19" s="12" t="n"/>
      <c r="E19" s="30" t="n"/>
      <c r="F19" s="30" t="n"/>
      <c r="G19" s="30" t="n"/>
    </row>
    <row r="20">
      <c r="B20" s="4" t="inlineStr">
        <is>
          <t>Проверил ______________________        А.В. Костянецкая</t>
        </is>
      </c>
      <c r="C20" s="12" t="n"/>
      <c r="E20" s="30" t="n"/>
      <c r="F20" s="30" t="n"/>
      <c r="G20" s="30" t="n"/>
    </row>
    <row r="21">
      <c r="B21" s="33" t="inlineStr">
        <is>
          <t xml:space="preserve">                        (подпись, инициалы, фамилия)</t>
        </is>
      </c>
      <c r="C21" s="12" t="n"/>
      <c r="E21" s="30" t="n"/>
      <c r="F21" s="30" t="n"/>
      <c r="G21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 ht="24.75" customHeight="1">
      <c r="A3" s="218" t="inlineStr">
        <is>
          <t>Расчет показателя УНЦ</t>
        </is>
      </c>
    </row>
    <row r="4" ht="24.75" customHeight="1">
      <c r="A4" s="218" t="n"/>
      <c r="B4" s="218" t="n"/>
      <c r="C4" s="218" t="n"/>
      <c r="D4" s="218" t="n"/>
    </row>
    <row r="5" ht="59.25" customHeight="1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ОБ'!D6:H6</f>
        <v/>
      </c>
    </row>
    <row r="6" ht="19.9" customHeight="1">
      <c r="A6" s="221" t="inlineStr">
        <is>
          <t>Единица измерения  — 1 ед</t>
        </is>
      </c>
      <c r="D6" s="221" t="n"/>
    </row>
    <row r="7">
      <c r="A7" s="4" t="n"/>
      <c r="B7" s="4" t="n"/>
      <c r="C7" s="4" t="n"/>
      <c r="D7" s="4" t="n"/>
    </row>
    <row r="8" ht="14.45" customHeight="1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 ht="15" customHeight="1">
      <c r="A9" s="319" t="n"/>
      <c r="B9" s="319" t="n"/>
      <c r="C9" s="319" t="n"/>
      <c r="D9" s="319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И5-05-2</t>
        </is>
      </c>
      <c r="B11" s="241" t="inlineStr">
        <is>
          <t xml:space="preserve">УНЦ элементов ПС с устройством фундаментов </t>
        </is>
      </c>
      <c r="C11" s="209">
        <f>D5</f>
        <v/>
      </c>
      <c r="D11" s="210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B20" sqref="B20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33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134" t="n"/>
    </row>
    <row r="8" ht="47.25" customHeight="1">
      <c r="B8" s="230" t="inlineStr">
        <is>
          <t>Наименование индекса / норм сопутствующих затрат</t>
        </is>
      </c>
      <c r="C8" s="230" t="inlineStr">
        <is>
          <t>Дата применения и обоснование индекса / норм сопутствующих затрат</t>
        </is>
      </c>
      <c r="D8" s="230" t="inlineStr">
        <is>
          <t>Размер индекса / норма сопутствующих затрат</t>
        </is>
      </c>
    </row>
    <row r="9" ht="15.75" customHeight="1">
      <c r="B9" s="230" t="n">
        <v>1</v>
      </c>
      <c r="C9" s="230" t="n">
        <v>2</v>
      </c>
      <c r="D9" s="230" t="n">
        <v>3</v>
      </c>
    </row>
    <row r="10" ht="45" customHeight="1">
      <c r="B10" s="230" t="inlineStr">
        <is>
          <t xml:space="preserve">Индекс изменения сметной стоимости на 1 квартал 2023 года. ОЗП </t>
        </is>
      </c>
      <c r="C10" s="230" t="inlineStr">
        <is>
          <t>Письмо Минстроя России от 30.03.2023г. №17106-ИФ/09  прил.1</t>
        </is>
      </c>
      <c r="D10" s="230" t="n">
        <v>44.29</v>
      </c>
    </row>
    <row r="11" ht="29.25" customHeight="1">
      <c r="B11" s="230" t="inlineStr">
        <is>
          <t>Индекс изменения сметной стоимости на 1 квартал 2023 года. ЭМ</t>
        </is>
      </c>
      <c r="C11" s="230" t="inlineStr">
        <is>
          <t>Письмо Минстроя России от 30.03.2023г. №17106-ИФ/09  прил.1</t>
        </is>
      </c>
      <c r="D11" s="230" t="n">
        <v>13.47</v>
      </c>
    </row>
    <row r="12" ht="29.25" customHeight="1">
      <c r="B12" s="230" t="inlineStr">
        <is>
          <t>Индекс изменения сметной стоимости на 1 квартал 2023 года. МАТ</t>
        </is>
      </c>
      <c r="C12" s="230" t="inlineStr">
        <is>
          <t>Письмо Минстроя России от 30.03.2023г. №17106-ИФ/09  прил.1</t>
        </is>
      </c>
      <c r="D12" s="230" t="n">
        <v>8.039999999999999</v>
      </c>
    </row>
    <row r="13" ht="30.75" customHeight="1">
      <c r="B13" s="23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30" t="n">
        <v>6.26</v>
      </c>
    </row>
    <row r="14" ht="89.25" customHeight="1">
      <c r="B14" s="230" t="inlineStr">
        <is>
          <t>Временные здания и сооружения</t>
        </is>
      </c>
      <c r="C14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0.039</v>
      </c>
    </row>
    <row r="15" ht="78.75" customHeight="1">
      <c r="B15" s="230" t="inlineStr">
        <is>
          <t>Дополнительные затраты при производстве строительно-монтажных работ в зимнее время</t>
        </is>
      </c>
      <c r="C15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0.021</v>
      </c>
    </row>
    <row r="16" ht="34.5" customHeight="1">
      <c r="B16" s="230" t="inlineStr">
        <is>
          <t>Пусконаладочные работы</t>
        </is>
      </c>
      <c r="C16" s="230" t="n"/>
      <c r="D16" s="230" t="inlineStr">
        <is>
          <t>Расчет</t>
        </is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4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40" t="n">
        <v>0.002</v>
      </c>
    </row>
    <row r="19" ht="24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40" t="n">
        <v>0.03</v>
      </c>
    </row>
    <row r="20" ht="18.75" customHeight="1">
      <c r="B20" s="134" t="n"/>
    </row>
    <row r="21" ht="18.75" customHeight="1">
      <c r="B21" s="134" t="n"/>
    </row>
    <row r="22" ht="18.75" customHeight="1">
      <c r="B22" s="134" t="n"/>
    </row>
    <row r="23" ht="18.75" customHeight="1">
      <c r="B23" s="134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2" sqref="D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26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2" t="inlineStr">
        <is>
          <t>Составлен в уровне цен на 01.01.2023 г.</t>
        </is>
      </c>
    </row>
    <row r="5">
      <c r="A5" s="290" t="inlineStr">
        <is>
          <t>№ пп.</t>
        </is>
      </c>
      <c r="B5" s="290" t="inlineStr">
        <is>
          <t>Наименование элемента</t>
        </is>
      </c>
      <c r="C5" s="290" t="inlineStr">
        <is>
          <t>Обозначение</t>
        </is>
      </c>
      <c r="D5" s="290" t="inlineStr">
        <is>
          <t>Формула</t>
        </is>
      </c>
      <c r="E5" s="290" t="inlineStr">
        <is>
          <t>Величина элемента</t>
        </is>
      </c>
      <c r="F5" s="290" t="inlineStr">
        <is>
          <t>Наименования обосновывающих документов</t>
        </is>
      </c>
    </row>
    <row r="6">
      <c r="A6" s="290" t="n">
        <v>1</v>
      </c>
      <c r="B6" s="290" t="n">
        <v>2</v>
      </c>
      <c r="C6" s="290" t="n">
        <v>3</v>
      </c>
      <c r="D6" s="290" t="n">
        <v>4</v>
      </c>
      <c r="E6" s="290" t="n">
        <v>5</v>
      </c>
      <c r="F6" s="290" t="n">
        <v>6</v>
      </c>
    </row>
    <row r="7" ht="105" customHeight="1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9" t="inlineStr">
        <is>
          <t>С1ср</t>
        </is>
      </c>
      <c r="D7" s="289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289" t="inlineStr">
        <is>
          <t>tср</t>
        </is>
      </c>
      <c r="D8" s="289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289" t="inlineStr">
        <is>
          <t>Кув</t>
        </is>
      </c>
      <c r="D9" s="289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289" t="n"/>
      <c r="D10" s="289" t="n"/>
      <c r="E10" s="126" t="n">
        <v>3.7</v>
      </c>
      <c r="F10" s="63" t="inlineStr">
        <is>
          <t>РТМ</t>
        </is>
      </c>
      <c r="G10" s="125" t="n"/>
    </row>
    <row r="11" ht="75" customHeight="1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289" t="inlineStr">
        <is>
          <t>КТ</t>
        </is>
      </c>
      <c r="D11" s="289" t="inlineStr">
        <is>
          <t>-</t>
        </is>
      </c>
      <c r="E11" s="127" t="n">
        <v>1.293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289" t="inlineStr">
        <is>
          <t>Кинф</t>
        </is>
      </c>
      <c r="D12" s="289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n"/>
    </row>
    <row r="13" ht="60" customHeight="1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289" t="inlineStr">
        <is>
          <t>ФОТр.тек.</t>
        </is>
      </c>
      <c r="D13" s="289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2025-01-24T12:02:16Z</dcterms:modified>
  <cp:lastModifiedBy>Danil</cp:lastModifiedBy>
  <cp:lastPrinted>2023-11-28T06:50:28Z</cp:lastPrinted>
</cp:coreProperties>
</file>