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'Прил.3'!$A$1:$H$120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10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#,##0.0000"/>
    <numFmt numFmtId="173" formatCode="#,##0.00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E7E6E6"/>
      <sz val="11"/>
    </font>
    <font>
      <name val="Times New Roman"/>
      <color rgb="FF000000"/>
      <sz val="11"/>
    </font>
    <font>
      <name val="Calibri"/>
      <color rgb="FFBFBFBF"/>
      <sz val="11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49" fontId="1" fillId="0" borderId="0" applyAlignment="1" pivotButton="0" quotePrefix="0" xfId="0">
      <alignment horizontal="left" vertical="center"/>
    </xf>
    <xf numFmtId="49" fontId="0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 vertical="center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top" wrapText="1"/>
    </xf>
    <xf numFmtId="0" fontId="15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vertical="top"/>
    </xf>
    <xf numFmtId="0" fontId="2" fillId="0" borderId="0" applyAlignment="1" pivotButton="0" quotePrefix="0" xfId="0">
      <alignment horizontal="center" vertical="center"/>
    </xf>
    <xf numFmtId="165" fontId="4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4" fontId="4" fillId="0" borderId="0" pivotButton="0" quotePrefix="0" xfId="0"/>
    <xf numFmtId="169" fontId="20" fillId="4" borderId="0" pivotButton="0" quotePrefix="0" xfId="0"/>
    <xf numFmtId="0" fontId="0" fillId="0" borderId="1" applyAlignment="1" pivotButton="0" quotePrefix="0" xfId="0">
      <alignment horizontal="center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9" fillId="0" borderId="1" applyAlignment="1" pivotButton="0" quotePrefix="0" xfId="0">
      <alignment vertical="center" wrapText="1"/>
    </xf>
    <xf numFmtId="14" fontId="21" fillId="0" borderId="1" applyAlignment="1" pivotButton="0" quotePrefix="0" xfId="0">
      <alignment horizontal="center" vertical="center" wrapText="1"/>
    </xf>
    <xf numFmtId="2" fontId="21" fillId="0" borderId="1" applyAlignment="1" pivotButton="0" quotePrefix="0" xfId="0">
      <alignment horizontal="center" vertical="center" wrapText="1"/>
    </xf>
    <xf numFmtId="170" fontId="13" fillId="4" borderId="0" pivotButton="0" quotePrefix="0" xfId="0"/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5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49" fontId="19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171" fontId="22" fillId="0" borderId="0" pivotButton="0" quotePrefix="0" xfId="0"/>
    <xf numFmtId="168" fontId="1" fillId="0" borderId="4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4" fillId="0" borderId="0" applyAlignment="1" pivotButton="0" quotePrefix="0" xfId="0">
      <alignment horizontal="left"/>
    </xf>
    <xf numFmtId="4" fontId="1" fillId="0" borderId="1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172" fontId="1" fillId="0" borderId="1" applyAlignment="1" pivotButton="0" quotePrefix="0" xfId="0">
      <alignment horizontal="center" vertical="center" wrapText="1"/>
    </xf>
    <xf numFmtId="173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9" fillId="0" borderId="5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 wrapText="1"/>
    </xf>
    <xf numFmtId="49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left" vertical="center" wrapText="1"/>
    </xf>
    <xf numFmtId="2" fontId="19" fillId="0" borderId="1" applyAlignment="1" pivotButton="0" quotePrefix="0" xfId="0">
      <alignment horizontal="center" vertical="center"/>
    </xf>
    <xf numFmtId="2" fontId="19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2" fontId="24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3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right" vertical="center" wrapText="1"/>
    </xf>
    <xf numFmtId="0" fontId="25" fillId="0" borderId="0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2" applyAlignment="1" pivotButton="0" quotePrefix="0" xfId="0">
      <alignment horizontal="left" vertical="center" wrapText="1"/>
    </xf>
    <xf numFmtId="0" fontId="1" fillId="0" borderId="1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6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8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2" applyAlignment="1" pivotButton="0" quotePrefix="0" xfId="0">
      <alignment horizontal="center" vertical="center" wrapText="1"/>
    </xf>
    <xf numFmtId="0" fontId="0" fillId="4" borderId="15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5" pivotButton="0" quotePrefix="0" xfId="0"/>
    <xf numFmtId="0" fontId="0" fillId="0" borderId="18" pivotButton="0" quotePrefix="0" xfId="0"/>
    <xf numFmtId="0" fontId="0" fillId="0" borderId="4" pivotButton="0" quotePrefix="0" xfId="0"/>
    <xf numFmtId="0" fontId="2" fillId="0" borderId="18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G32"/>
  <sheetViews>
    <sheetView view="pageBreakPreview" topLeftCell="A10" zoomScale="60" zoomScaleNormal="85" workbookViewId="0">
      <selection activeCell="C26" sqref="C26"/>
    </sheetView>
  </sheetViews>
  <sheetFormatPr baseColWidth="8" defaultRowHeight="15"/>
  <cols>
    <col width="36.85546875" customWidth="1" style="204" min="3" max="3"/>
    <col width="39.42578125" customWidth="1" style="204" min="4" max="4"/>
    <col width="14.28515625" customWidth="1" style="204" min="7" max="7"/>
    <col width="15" customWidth="1" style="204" min="10" max="10"/>
  </cols>
  <sheetData>
    <row r="3" ht="15.75" customHeight="1" s="204">
      <c r="B3" s="234" t="inlineStr">
        <is>
          <t>Приложение № 1</t>
        </is>
      </c>
    </row>
    <row r="4" ht="18.75" customHeight="1" s="204">
      <c r="B4" s="235" t="inlineStr">
        <is>
          <t>Сравнительная таблица отбора объекта-представителя</t>
        </is>
      </c>
    </row>
    <row r="5" ht="84" customHeight="1" s="204">
      <c r="B5" s="23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4">
      <c r="B6" s="181" t="n"/>
      <c r="C6" s="181" t="n"/>
      <c r="D6" s="181" t="n"/>
    </row>
    <row r="7" ht="64.5" customHeight="1" s="204">
      <c r="B7" s="233" t="inlineStr">
        <is>
          <t>Наименование разрабатываемого показателя УНЦ - Однополюсный разъединитель с устройством фундамента напряжение 110 кВ</t>
        </is>
      </c>
    </row>
    <row r="8" ht="31.5" customHeight="1" s="204">
      <c r="B8" s="233" t="inlineStr">
        <is>
          <t>Сопоставимый уровень цен: 3 квартал 2015 г</t>
        </is>
      </c>
    </row>
    <row r="9" ht="15.75" customHeight="1" s="204">
      <c r="B9" s="233" t="inlineStr">
        <is>
          <t>Единица измерения  — 1 ед.</t>
        </is>
      </c>
    </row>
    <row r="10" ht="18.75" customHeight="1" s="204">
      <c r="B10" s="134" t="n"/>
    </row>
    <row r="11" ht="15.75" customHeight="1" s="204">
      <c r="B11" s="239" t="inlineStr">
        <is>
          <t>№ п/п</t>
        </is>
      </c>
      <c r="C11" s="239" t="inlineStr">
        <is>
          <t>Параметр</t>
        </is>
      </c>
      <c r="D11" s="239" t="inlineStr">
        <is>
          <t xml:space="preserve">Объект-представитель </t>
        </is>
      </c>
    </row>
    <row r="12" ht="75" customHeight="1" s="204">
      <c r="B12" s="239" t="n">
        <v>1</v>
      </c>
      <c r="C12" s="159" t="inlineStr">
        <is>
          <t>Наименование объекта-представителя</t>
        </is>
      </c>
      <c r="D12" s="182" t="inlineStr">
        <is>
          <t>ПС «Б-10» 220/110/10 кВ (установка выпрямительного устройства плавки гололёда (ВУПГ) организация плавки гололёда на проводах и тросах на отходящих ВЛ 220 кВ (МЭС Юга)</t>
        </is>
      </c>
    </row>
    <row r="13" ht="31.5" customHeight="1" s="204">
      <c r="B13" s="239" t="n">
        <v>2</v>
      </c>
      <c r="C13" s="159" t="inlineStr">
        <is>
          <t>Наименование субъекта Российской Федерации</t>
        </is>
      </c>
      <c r="D13" s="182" t="inlineStr">
        <is>
          <t>Ростовская область</t>
        </is>
      </c>
    </row>
    <row r="14" ht="15.75" customHeight="1" s="204">
      <c r="B14" s="239" t="n">
        <v>3</v>
      </c>
      <c r="C14" s="159" t="inlineStr">
        <is>
          <t>Климатический район и подрайон</t>
        </is>
      </c>
      <c r="D14" s="294" t="inlineStr">
        <is>
          <t>IIIВ</t>
        </is>
      </c>
    </row>
    <row r="15" ht="15.75" customHeight="1" s="204">
      <c r="B15" s="239" t="n">
        <v>4</v>
      </c>
      <c r="C15" s="159" t="inlineStr">
        <is>
          <t>Мощность объекта</t>
        </is>
      </c>
      <c r="D15" s="182" t="n">
        <v>3</v>
      </c>
    </row>
    <row r="16" ht="94.5" customHeight="1" s="204">
      <c r="B16" s="239" t="n">
        <v>5</v>
      </c>
      <c r="C16" s="13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2" t="inlineStr">
        <is>
          <t>Разъединитель однополюсный, наружной установки с одним заземляющими ножом  Uном=110 кВ Iном.=1000 А, Iоткл.=63 кА
 Свайные фундаменты.</t>
        </is>
      </c>
    </row>
    <row r="17" ht="78.75" customHeight="1" s="204">
      <c r="B17" s="239" t="n">
        <v>6</v>
      </c>
      <c r="C17" s="13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61">
        <f>'Прил.2 Расч стоим'!J12</f>
        <v/>
      </c>
    </row>
    <row r="18" ht="15.75" customHeight="1" s="204">
      <c r="B18" s="219" t="inlineStr">
        <is>
          <t>6.1</t>
        </is>
      </c>
      <c r="C18" s="159" t="inlineStr">
        <is>
          <t>строительно-монтажные работы</t>
        </is>
      </c>
      <c r="D18" s="161">
        <f>'Прил.2 Расч стоим'!G12</f>
        <v/>
      </c>
    </row>
    <row r="19" ht="15.75" customHeight="1" s="204">
      <c r="B19" s="219" t="inlineStr">
        <is>
          <t>6.2</t>
        </is>
      </c>
      <c r="C19" s="159" t="inlineStr">
        <is>
          <t>оборудование и инвентарь</t>
        </is>
      </c>
      <c r="D19" s="161">
        <f>'Прил.2 Расч стоим'!H12</f>
        <v/>
      </c>
    </row>
    <row r="20" ht="15.75" customHeight="1" s="204">
      <c r="B20" s="219" t="inlineStr">
        <is>
          <t>6.3</t>
        </is>
      </c>
      <c r="C20" s="159" t="inlineStr">
        <is>
          <t>пусконаладочные работы</t>
        </is>
      </c>
      <c r="D20" s="161">
        <f>D19*0.07*0.8</f>
        <v/>
      </c>
    </row>
    <row r="21" ht="15.75" customHeight="1" s="204">
      <c r="B21" s="219" t="inlineStr">
        <is>
          <t>6.4</t>
        </is>
      </c>
      <c r="C21" s="159" t="inlineStr">
        <is>
          <t>прочие и лимитированные затраты</t>
        </is>
      </c>
      <c r="D21" s="161">
        <f>D17-D18-D19-D20</f>
        <v/>
      </c>
    </row>
    <row r="22" ht="15.75" customHeight="1" s="204">
      <c r="B22" s="239" t="n">
        <v>7</v>
      </c>
      <c r="C22" s="159" t="inlineStr">
        <is>
          <t>Сопоставимый уровень цен</t>
        </is>
      </c>
      <c r="D22" s="160" t="inlineStr">
        <is>
          <t>3 квартал 2015 г</t>
        </is>
      </c>
      <c r="G22" s="189" t="n"/>
    </row>
    <row r="23" ht="110.25" customHeight="1" s="204">
      <c r="B23" s="239" t="n">
        <v>8</v>
      </c>
      <c r="C23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61">
        <f>D17</f>
        <v/>
      </c>
    </row>
    <row r="24" ht="47.25" customHeight="1" s="204">
      <c r="B24" s="239" t="n">
        <v>9</v>
      </c>
      <c r="C24" s="136" t="inlineStr">
        <is>
          <t>Приведенная сметная стоимость на единицу мощности, тыс. руб. (строка 8/строку 4)</t>
        </is>
      </c>
      <c r="D24" s="161">
        <f>D23/D15</f>
        <v/>
      </c>
      <c r="G24" s="189" t="n"/>
    </row>
    <row r="25" hidden="1" ht="110.25" customHeight="1" s="204">
      <c r="B25" s="239" t="n">
        <v>10</v>
      </c>
      <c r="C25" s="159" t="inlineStr">
        <is>
          <t>Примечание</t>
        </is>
      </c>
      <c r="D25" s="159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204">
      <c r="B26" s="184" t="n"/>
      <c r="C26" s="185" t="n"/>
      <c r="D26" s="185" t="n"/>
    </row>
    <row r="27">
      <c r="B27" s="205" t="inlineStr">
        <is>
          <t>Составил ______________________        Е. М. Добровольская</t>
        </is>
      </c>
      <c r="C27" s="215" t="n"/>
    </row>
    <row r="28">
      <c r="B28" s="216" t="inlineStr">
        <is>
          <t xml:space="preserve">                         (подпись, инициалы, фамилия)</t>
        </is>
      </c>
      <c r="C28" s="215" t="n"/>
    </row>
    <row r="29">
      <c r="B29" s="205" t="n"/>
      <c r="C29" s="215" t="n"/>
    </row>
    <row r="30">
      <c r="B30" s="205" t="inlineStr">
        <is>
          <t>Проверил ______________________        А.В. Костянецкая</t>
        </is>
      </c>
      <c r="C30" s="215" t="n"/>
    </row>
    <row r="31">
      <c r="B31" s="216" t="inlineStr">
        <is>
          <t xml:space="preserve">                        (подпись, инициалы, фамилия)</t>
        </is>
      </c>
      <c r="C31" s="215" t="n"/>
    </row>
    <row r="32" ht="15.75" customHeight="1" s="204">
      <c r="B32" s="185" t="n"/>
      <c r="C32" s="185" t="n"/>
      <c r="D32" s="185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70" workbookViewId="0">
      <selection activeCell="C21" sqref="C21"/>
    </sheetView>
  </sheetViews>
  <sheetFormatPr baseColWidth="8" defaultRowHeight="15"/>
  <cols>
    <col width="5.5703125" customWidth="1" style="204" min="1" max="1"/>
    <col width="35.28515625" customWidth="1" style="204" min="3" max="3"/>
    <col width="17.7109375" customWidth="1" style="204" min="4" max="4"/>
    <col width="17.42578125" customWidth="1" style="204" min="5" max="5"/>
    <col width="12.7109375" customWidth="1" style="204" min="6" max="6"/>
    <col width="14.85546875" customWidth="1" style="204" min="7" max="7"/>
    <col width="16.7109375" customWidth="1" style="204" min="8" max="8"/>
    <col width="13" customWidth="1" style="204" min="9" max="10"/>
    <col width="18" customWidth="1" style="204" min="11" max="11"/>
  </cols>
  <sheetData>
    <row r="3" ht="15.75" customHeight="1" s="204">
      <c r="B3" s="234" t="inlineStr">
        <is>
          <t>Приложение № 2</t>
        </is>
      </c>
    </row>
    <row r="4" ht="15.75" customHeight="1" s="204">
      <c r="B4" s="238" t="inlineStr">
        <is>
          <t>Расчет стоимости основных видов работ для выбора объекта-представителя</t>
        </is>
      </c>
    </row>
    <row r="5" ht="15.75" customHeight="1" s="204">
      <c r="B5" s="137" t="n"/>
      <c r="C5" s="137" t="n"/>
      <c r="D5" s="137" t="n"/>
      <c r="E5" s="137" t="n"/>
      <c r="F5" s="137" t="n"/>
      <c r="G5" s="137" t="n"/>
      <c r="H5" s="137" t="n"/>
      <c r="I5" s="137" t="n"/>
      <c r="J5" s="137" t="n"/>
      <c r="K5" s="137" t="n"/>
    </row>
    <row r="6" ht="15.75" customHeight="1" s="204">
      <c r="B6" s="233">
        <f>'Прил.1 Сравнит табл'!B7</f>
        <v/>
      </c>
    </row>
    <row r="7" ht="15.75" customHeight="1" s="204">
      <c r="B7" s="233">
        <f>'Прил.1 Сравнит табл'!B9</f>
        <v/>
      </c>
    </row>
    <row r="8" ht="18.75" customHeight="1" s="204">
      <c r="B8" s="134" t="n"/>
    </row>
    <row r="9" ht="15.75" customHeight="1" s="204">
      <c r="B9" s="239" t="inlineStr">
        <is>
          <t>№ п/п</t>
        </is>
      </c>
      <c r="C9" s="23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9" t="inlineStr">
        <is>
          <t>Объект-представитель 1</t>
        </is>
      </c>
      <c r="E9" s="318" t="n"/>
      <c r="F9" s="318" t="n"/>
      <c r="G9" s="318" t="n"/>
      <c r="H9" s="318" t="n"/>
      <c r="I9" s="318" t="n"/>
      <c r="J9" s="319" t="n"/>
    </row>
    <row r="10" ht="15.75" customHeight="1" s="204">
      <c r="B10" s="320" t="n"/>
      <c r="C10" s="320" t="n"/>
      <c r="D10" s="239" t="inlineStr">
        <is>
          <t>Номер сметы</t>
        </is>
      </c>
      <c r="E10" s="239" t="inlineStr">
        <is>
          <t>Наименование сметы</t>
        </is>
      </c>
      <c r="F10" s="239" t="inlineStr">
        <is>
          <t>Сметная стоимость в уровне цен 3кв. 2015 г., тыс. руб.</t>
        </is>
      </c>
      <c r="G10" s="318" t="n"/>
      <c r="H10" s="318" t="n"/>
      <c r="I10" s="318" t="n"/>
      <c r="J10" s="319" t="n"/>
    </row>
    <row r="11" ht="31.5" customHeight="1" s="204">
      <c r="B11" s="321" t="n"/>
      <c r="C11" s="321" t="n"/>
      <c r="D11" s="321" t="n"/>
      <c r="E11" s="321" t="n"/>
      <c r="F11" s="239" t="inlineStr">
        <is>
          <t>Строительные работы</t>
        </is>
      </c>
      <c r="G11" s="239" t="inlineStr">
        <is>
          <t>Монтажные работы</t>
        </is>
      </c>
      <c r="H11" s="239" t="inlineStr">
        <is>
          <t>Оборудование</t>
        </is>
      </c>
      <c r="I11" s="239" t="inlineStr">
        <is>
          <t>Прочее</t>
        </is>
      </c>
      <c r="J11" s="239" t="inlineStr">
        <is>
          <t>Всего</t>
        </is>
      </c>
    </row>
    <row r="12" ht="109.5" customFormat="1" customHeight="1" s="223">
      <c r="B12" s="217" t="n">
        <v>1</v>
      </c>
      <c r="C12" s="239" t="inlineStr">
        <is>
          <t>Разъединитель однополюсный, наружной установки с одним заземляющими ножом  Uном=110 кВ Iном.=1000 А, Iоткл.=63 кА
 Свайные фундаменты.</t>
        </is>
      </c>
      <c r="D12" s="219" t="inlineStr">
        <is>
          <t>ЛС 02-07-03,
 ЛС 02-07-07</t>
        </is>
      </c>
      <c r="E12" s="220" t="inlineStr">
        <is>
          <t>ПС Б-10. Силовое электрооборудование; ПС Б-10. Конструкции строительные</t>
        </is>
      </c>
      <c r="F12" s="221" t="n"/>
      <c r="G12" s="221">
        <f>12758.19*6.37/1000</f>
        <v/>
      </c>
      <c r="H12" s="221">
        <f>113404.66*4.18/1000</f>
        <v/>
      </c>
      <c r="I12" s="221">
        <f>65950.59*6.37/1000</f>
        <v/>
      </c>
      <c r="J12" s="222">
        <f>SUM(F12:I12)</f>
        <v/>
      </c>
    </row>
    <row r="13" ht="15.75" customHeight="1" s="204">
      <c r="B13" s="237" t="inlineStr">
        <is>
          <t>Всего по объекту:</t>
        </is>
      </c>
      <c r="C13" s="318" t="n"/>
      <c r="D13" s="318" t="n"/>
      <c r="E13" s="319" t="n"/>
      <c r="F13" s="224">
        <f>F12</f>
        <v/>
      </c>
      <c r="G13" s="224">
        <f>G12</f>
        <v/>
      </c>
      <c r="H13" s="224">
        <f>H12</f>
        <v/>
      </c>
      <c r="I13" s="224">
        <f>I12</f>
        <v/>
      </c>
      <c r="J13" s="224">
        <f>J12</f>
        <v/>
      </c>
    </row>
    <row r="14" ht="28.5" customHeight="1" s="204">
      <c r="B14" s="237" t="inlineStr">
        <is>
          <t>Всего по объекту в сопоставимом уровне цен 3 кв. 2015 г:</t>
        </is>
      </c>
      <c r="C14" s="318" t="n"/>
      <c r="D14" s="318" t="n"/>
      <c r="E14" s="319" t="n"/>
      <c r="F14" s="224">
        <f>F13</f>
        <v/>
      </c>
      <c r="G14" s="224">
        <f>G13</f>
        <v/>
      </c>
      <c r="H14" s="224">
        <f>H13</f>
        <v/>
      </c>
      <c r="I14" s="224">
        <f>I13</f>
        <v/>
      </c>
      <c r="J14" s="224">
        <f>J13</f>
        <v/>
      </c>
    </row>
    <row r="18">
      <c r="C18" s="205" t="inlineStr">
        <is>
          <t>Составил ______________________        Е. М. Добровольская</t>
        </is>
      </c>
      <c r="D18" s="215" t="n"/>
    </row>
    <row r="19">
      <c r="C19" s="216" t="inlineStr">
        <is>
          <t xml:space="preserve">                         (подпись, инициалы, фамилия)</t>
        </is>
      </c>
      <c r="D19" s="215" t="n"/>
    </row>
    <row r="20">
      <c r="C20" s="205" t="n"/>
      <c r="D20" s="215" t="n"/>
    </row>
    <row r="21">
      <c r="C21" s="205" t="inlineStr">
        <is>
          <t>Проверил ______________________        А.В. Костянецкая</t>
        </is>
      </c>
      <c r="D21" s="215" t="n"/>
    </row>
    <row r="22">
      <c r="C22" s="216" t="inlineStr">
        <is>
          <t xml:space="preserve">                        (подпись, инициалы, фамилия)</t>
        </is>
      </c>
      <c r="D22" s="215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1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20"/>
  <sheetViews>
    <sheetView view="pageBreakPreview" topLeftCell="A94" zoomScale="70" workbookViewId="0">
      <selection activeCell="D116" sqref="D116"/>
    </sheetView>
  </sheetViews>
  <sheetFormatPr baseColWidth="8" defaultRowHeight="15"/>
  <cols>
    <col width="12.5703125" customWidth="1" style="204" min="2" max="2"/>
    <col width="17" customWidth="1" style="204" min="3" max="3"/>
    <col width="49.7109375" customWidth="1" style="204" min="4" max="4"/>
    <col width="16.28515625" customWidth="1" style="204" min="5" max="5"/>
    <col width="20.7109375" customWidth="1" style="204" min="6" max="6"/>
    <col width="16.140625" customWidth="1" style="204" min="7" max="7"/>
    <col width="16.7109375" customWidth="1" style="204" min="8" max="8"/>
    <col width="4.5703125" customWidth="1" style="204" min="9" max="9"/>
    <col width="5.140625" customWidth="1" style="204" min="10" max="10"/>
    <col width="13" customWidth="1" style="204" min="11" max="11"/>
    <col width="9.140625" customWidth="1" style="204" min="12" max="12"/>
  </cols>
  <sheetData>
    <row r="2" ht="15.75" customHeight="1" s="204">
      <c r="A2" s="234" t="inlineStr">
        <is>
          <t xml:space="preserve">Приложение № 3 </t>
        </is>
      </c>
    </row>
    <row r="3" ht="18.75" customHeight="1" s="204">
      <c r="A3" s="235" t="inlineStr">
        <is>
          <t>Объектная ресурсная ведомость</t>
        </is>
      </c>
    </row>
    <row r="4">
      <c r="B4" s="151" t="n"/>
    </row>
    <row r="5" ht="18.75" customHeight="1" s="204">
      <c r="A5" s="235" t="n"/>
      <c r="B5" s="235" t="n"/>
      <c r="C5" s="24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 ht="18.75" customHeight="1" s="204">
      <c r="A6" s="134" t="n"/>
    </row>
    <row r="7" ht="32.25" customHeight="1" s="204">
      <c r="A7" s="240">
        <f>'Прил.1 Сравнит табл'!B7</f>
        <v/>
      </c>
    </row>
    <row r="8" ht="15.75" customHeight="1" s="204">
      <c r="A8" s="138" t="n"/>
      <c r="B8" s="138" t="n"/>
      <c r="C8" s="138" t="n"/>
      <c r="D8" s="138" t="n"/>
      <c r="E8" s="138" t="n"/>
      <c r="F8" s="138" t="n"/>
      <c r="G8" s="138" t="n"/>
      <c r="H8" s="156" t="n"/>
    </row>
    <row r="9" ht="38.25" customHeight="1" s="204">
      <c r="A9" s="239" t="inlineStr">
        <is>
          <t>п/п</t>
        </is>
      </c>
      <c r="B9" s="239" t="inlineStr">
        <is>
          <t>№ЛСР</t>
        </is>
      </c>
      <c r="C9" s="239" t="inlineStr">
        <is>
          <t>Код ресурса</t>
        </is>
      </c>
      <c r="D9" s="239" t="inlineStr">
        <is>
          <t>Наименование ресурса</t>
        </is>
      </c>
      <c r="E9" s="239" t="inlineStr">
        <is>
          <t>Ед. изм.</t>
        </is>
      </c>
      <c r="F9" s="239" t="inlineStr">
        <is>
          <t>Кол-во единиц по данным объекта-представителя</t>
        </is>
      </c>
      <c r="G9" s="239" t="inlineStr">
        <is>
          <t>Сметная стоимость в ценах на 01.01.2000 (руб.)</t>
        </is>
      </c>
      <c r="H9" s="319" t="n"/>
    </row>
    <row r="10" ht="40.5" customHeight="1" s="204">
      <c r="A10" s="321" t="n"/>
      <c r="B10" s="321" t="n"/>
      <c r="C10" s="321" t="n"/>
      <c r="D10" s="321" t="n"/>
      <c r="E10" s="321" t="n"/>
      <c r="F10" s="321" t="n"/>
      <c r="G10" s="239" t="inlineStr">
        <is>
          <t>на ед.изм.</t>
        </is>
      </c>
      <c r="H10" s="239" t="inlineStr">
        <is>
          <t>общая</t>
        </is>
      </c>
    </row>
    <row r="11" ht="15.75" customHeight="1" s="204">
      <c r="A11" s="239" t="n">
        <v>1</v>
      </c>
      <c r="B11" s="149" t="n"/>
      <c r="C11" s="239" t="n">
        <v>2</v>
      </c>
      <c r="D11" s="239" t="inlineStr">
        <is>
          <t>З</t>
        </is>
      </c>
      <c r="E11" s="239" t="n">
        <v>4</v>
      </c>
      <c r="F11" s="239" t="n">
        <v>5</v>
      </c>
      <c r="G11" s="149" t="n">
        <v>6</v>
      </c>
      <c r="H11" s="149" t="n">
        <v>7</v>
      </c>
    </row>
    <row r="12" ht="15" customHeight="1" s="204">
      <c r="A12" s="241" t="inlineStr">
        <is>
          <t>Затраты труда рабочих</t>
        </is>
      </c>
      <c r="B12" s="318" t="n"/>
      <c r="C12" s="318" t="n"/>
      <c r="D12" s="318" t="n"/>
      <c r="E12" s="318" t="n"/>
      <c r="F12" s="150">
        <f>SUM(F13:F23)</f>
        <v/>
      </c>
      <c r="G12" s="10" t="n"/>
      <c r="H12" s="150">
        <f>SUM(H13:H23)</f>
        <v/>
      </c>
      <c r="J12" s="162" t="n"/>
      <c r="K12" s="120" t="n"/>
    </row>
    <row r="13">
      <c r="A13" s="142" t="n">
        <v>1</v>
      </c>
      <c r="B13" s="157" t="n"/>
      <c r="C13" s="142" t="inlineStr">
        <is>
          <t>1-4-0</t>
        </is>
      </c>
      <c r="D13" s="143" t="inlineStr">
        <is>
          <t>Затраты труда рабочих (средний разряд работы 4,0)</t>
        </is>
      </c>
      <c r="E13" s="268" t="inlineStr">
        <is>
          <t>чел.-ч</t>
        </is>
      </c>
      <c r="F13" s="268" t="n">
        <v>196.2698596496</v>
      </c>
      <c r="G13" s="145" t="n">
        <v>9.619999999999999</v>
      </c>
      <c r="H13" s="145">
        <f>ROUND(F13*G13,2)</f>
        <v/>
      </c>
    </row>
    <row r="14">
      <c r="A14" s="146">
        <f>A13+1</f>
        <v/>
      </c>
      <c r="B14" s="157" t="n"/>
      <c r="C14" s="142" t="inlineStr">
        <is>
          <t>1-3-7</t>
        </is>
      </c>
      <c r="D14" s="143" t="inlineStr">
        <is>
          <t>Затраты труда рабочих (средний разряд работы 3,7)</t>
        </is>
      </c>
      <c r="E14" s="268" t="inlineStr">
        <is>
          <t>чел.-ч</t>
        </is>
      </c>
      <c r="F14" s="268" t="n">
        <v>29.987970686962</v>
      </c>
      <c r="G14" s="145" t="n">
        <v>9.289999999999999</v>
      </c>
      <c r="H14" s="145">
        <f>ROUND(F14*G14,2)</f>
        <v/>
      </c>
    </row>
    <row r="15">
      <c r="A15" s="146">
        <f>A14+1</f>
        <v/>
      </c>
      <c r="B15" s="157" t="n"/>
      <c r="C15" s="142" t="inlineStr">
        <is>
          <t>1-2-9</t>
        </is>
      </c>
      <c r="D15" s="143" t="inlineStr">
        <is>
          <t>Затраты труда рабочих (средний разряд работы 2,9)</t>
        </is>
      </c>
      <c r="E15" s="268" t="inlineStr">
        <is>
          <t>чел.-ч</t>
        </is>
      </c>
      <c r="F15" s="268" t="n">
        <v>15.730832623218</v>
      </c>
      <c r="G15" s="145" t="n">
        <v>8.460000000000001</v>
      </c>
      <c r="H15" s="145">
        <f>ROUND(F15*G15,2)</f>
        <v/>
      </c>
    </row>
    <row r="16">
      <c r="A16" s="146">
        <f>A15+1</f>
        <v/>
      </c>
      <c r="B16" s="157" t="n"/>
      <c r="C16" s="142" t="inlineStr">
        <is>
          <t>1-3-8</t>
        </is>
      </c>
      <c r="D16" s="143" t="inlineStr">
        <is>
          <t>Затраты труда рабочих (средний разряд работы 3,8)</t>
        </is>
      </c>
      <c r="E16" s="268" t="inlineStr">
        <is>
          <t>чел.-ч</t>
        </is>
      </c>
      <c r="F16" s="268" t="n">
        <v>5.4322046100568</v>
      </c>
      <c r="G16" s="145" t="n">
        <v>9.4</v>
      </c>
      <c r="H16" s="145">
        <f>ROUND(F16*G16,2)</f>
        <v/>
      </c>
    </row>
    <row r="17">
      <c r="A17" s="146">
        <f>A16+1</f>
        <v/>
      </c>
      <c r="B17" s="157" t="n"/>
      <c r="C17" s="142" t="inlineStr">
        <is>
          <t>1-3-5</t>
        </is>
      </c>
      <c r="D17" s="143" t="inlineStr">
        <is>
          <t>Затраты труда рабочих (средний разряд работы 3,5)</t>
        </is>
      </c>
      <c r="E17" s="268" t="inlineStr">
        <is>
          <t>чел.-ч</t>
        </is>
      </c>
      <c r="F17" s="268" t="n">
        <v>3.4243610527103</v>
      </c>
      <c r="G17" s="145" t="n">
        <v>9.07</v>
      </c>
      <c r="H17" s="145">
        <f>ROUND(F17*G17,2)</f>
        <v/>
      </c>
    </row>
    <row r="18">
      <c r="A18" s="146">
        <f>A17+1</f>
        <v/>
      </c>
      <c r="B18" s="157" t="n"/>
      <c r="C18" s="142" t="inlineStr">
        <is>
          <t>1-3-9</t>
        </is>
      </c>
      <c r="D18" s="143" t="inlineStr">
        <is>
          <t>Затраты труда рабочих (средний разряд работы 3,9)</t>
        </is>
      </c>
      <c r="E18" s="268" t="inlineStr">
        <is>
          <t>чел.-ч</t>
        </is>
      </c>
      <c r="F18" s="268" t="n">
        <v>3.2652208082688</v>
      </c>
      <c r="G18" s="145" t="n">
        <v>9.51</v>
      </c>
      <c r="H18" s="145">
        <f>ROUND(F18*G18,2)</f>
        <v/>
      </c>
    </row>
    <row r="19">
      <c r="A19" s="146">
        <f>A18+1</f>
        <v/>
      </c>
      <c r="B19" s="157" t="n"/>
      <c r="C19" s="142" t="inlineStr">
        <is>
          <t>1-2-2</t>
        </is>
      </c>
      <c r="D19" s="143" t="inlineStr">
        <is>
          <t>Затраты труда рабочих (средний разряд работы 2,2)</t>
        </is>
      </c>
      <c r="E19" s="268" t="inlineStr">
        <is>
          <t>чел.-ч</t>
        </is>
      </c>
      <c r="F19" s="268" t="n">
        <v>2.9791416879092</v>
      </c>
      <c r="G19" s="145" t="n">
        <v>7.94</v>
      </c>
      <c r="H19" s="145">
        <f>ROUND(F19*G19,2)</f>
        <v/>
      </c>
    </row>
    <row r="20">
      <c r="A20" s="146">
        <f>A19+1</f>
        <v/>
      </c>
      <c r="B20" s="157" t="n"/>
      <c r="C20" s="142" t="inlineStr">
        <is>
          <t>1-2-5</t>
        </is>
      </c>
      <c r="D20" s="143" t="inlineStr">
        <is>
          <t>Затраты труда рабочих (средний разряд работы 2,5)</t>
        </is>
      </c>
      <c r="E20" s="268" t="inlineStr">
        <is>
          <t>чел.-ч</t>
        </is>
      </c>
      <c r="F20" s="268" t="n">
        <v>1.7772462627538</v>
      </c>
      <c r="G20" s="145" t="n">
        <v>8.17</v>
      </c>
      <c r="H20" s="145">
        <f>ROUND(F20*G20,2)</f>
        <v/>
      </c>
    </row>
    <row r="21">
      <c r="A21" s="146">
        <f>A20+1</f>
        <v/>
      </c>
      <c r="B21" s="157" t="n"/>
      <c r="C21" s="142" t="inlineStr">
        <is>
          <t>1-1-5</t>
        </is>
      </c>
      <c r="D21" s="143" t="inlineStr">
        <is>
          <t>Затраты труда рабочих (средний разряд работы 1,5)</t>
        </is>
      </c>
      <c r="E21" s="268" t="inlineStr">
        <is>
          <t>чел.-ч</t>
        </is>
      </c>
      <c r="F21" s="268" t="n">
        <v>0.36107964704709</v>
      </c>
      <c r="G21" s="145" t="n">
        <v>7.5</v>
      </c>
      <c r="H21" s="145">
        <f>ROUND(F21*G21,2)</f>
        <v/>
      </c>
      <c r="L21" s="141" t="n"/>
    </row>
    <row r="22">
      <c r="A22" s="146">
        <f>A21+1</f>
        <v/>
      </c>
      <c r="B22" s="157" t="n"/>
      <c r="C22" s="142" t="inlineStr">
        <is>
          <t>1-2-0</t>
        </is>
      </c>
      <c r="D22" s="143" t="inlineStr">
        <is>
          <t>Затраты труда рабочих (средний разряд работы 2,0)</t>
        </is>
      </c>
      <c r="E22" s="268" t="inlineStr">
        <is>
          <t>чел.-ч</t>
        </is>
      </c>
      <c r="F22" s="268" t="n">
        <v>0.13998466316594</v>
      </c>
      <c r="G22" s="145" t="n">
        <v>7.8</v>
      </c>
      <c r="H22" s="145">
        <f>ROUND(F22*G22,2)</f>
        <v/>
      </c>
    </row>
    <row r="23">
      <c r="A23" s="146">
        <f>A22+1</f>
        <v/>
      </c>
      <c r="B23" s="157" t="n"/>
      <c r="C23" s="142" t="inlineStr">
        <is>
          <t>1-3-0</t>
        </is>
      </c>
      <c r="D23" s="143" t="inlineStr">
        <is>
          <t>Затраты труда рабочих (средний разряд работы 3,0)</t>
        </is>
      </c>
      <c r="E23" s="268" t="inlineStr">
        <is>
          <t>чел.-ч</t>
        </is>
      </c>
      <c r="F23" s="268" t="n">
        <v>0.038341762521187</v>
      </c>
      <c r="G23" s="145" t="n">
        <v>8.529999999999999</v>
      </c>
      <c r="H23" s="145">
        <f>ROUND(F23*G23,2)</f>
        <v/>
      </c>
    </row>
    <row r="24" ht="15" customHeight="1" s="204">
      <c r="A24" s="245" t="inlineStr">
        <is>
          <t>Затраты труда машинистов</t>
        </is>
      </c>
      <c r="B24" s="318" t="n"/>
      <c r="C24" s="318" t="n"/>
      <c r="D24" s="318" t="n"/>
      <c r="E24" s="319" t="n"/>
      <c r="F24" s="10" t="n"/>
      <c r="G24" s="10" t="n"/>
      <c r="H24" s="150">
        <f>H25</f>
        <v/>
      </c>
    </row>
    <row r="25">
      <c r="A25" s="146">
        <f>A23+1</f>
        <v/>
      </c>
      <c r="B25" s="157" t="n"/>
      <c r="C25" s="142" t="n">
        <v>2</v>
      </c>
      <c r="D25" s="143" t="inlineStr">
        <is>
          <t>Затраты труда машинистов</t>
        </is>
      </c>
      <c r="E25" s="268" t="inlineStr">
        <is>
          <t>чел.-ч</t>
        </is>
      </c>
      <c r="F25" s="268">
        <f>'Прил.5 Расчет СМР и ОБ'!E16</f>
        <v/>
      </c>
      <c r="G25" s="145" t="n"/>
      <c r="H25" s="139">
        <f>'Прил.5 Расчет СМР и ОБ'!G16</f>
        <v/>
      </c>
      <c r="L25" s="141" t="n"/>
    </row>
    <row r="26" ht="15" customHeight="1" s="204">
      <c r="A26" s="245" t="inlineStr">
        <is>
          <t>Машины и механизмы</t>
        </is>
      </c>
      <c r="B26" s="318" t="n"/>
      <c r="C26" s="318" t="n"/>
      <c r="D26" s="318" t="n"/>
      <c r="E26" s="319" t="n"/>
      <c r="F26" s="10" t="n"/>
      <c r="G26" s="10" t="n"/>
      <c r="H26" s="150">
        <f>SUM(H27:H50)</f>
        <v/>
      </c>
    </row>
    <row r="27">
      <c r="A27" s="142">
        <f>A25+1</f>
        <v/>
      </c>
      <c r="B27" s="157" t="n"/>
      <c r="C27" s="142" t="inlineStr">
        <is>
          <t>91.10.01-002</t>
        </is>
      </c>
      <c r="D27" s="143" t="inlineStr">
        <is>
          <t>Агрегаты наполнительно-опрессовочные до 300 м3/ч</t>
        </is>
      </c>
      <c r="E27" s="268" t="inlineStr">
        <is>
          <t>маш.-ч</t>
        </is>
      </c>
      <c r="F27" s="268" t="n">
        <v>5.1336</v>
      </c>
      <c r="G27" s="147" t="n">
        <v>287.99</v>
      </c>
      <c r="H27" s="145">
        <f>ROUND(F27*G27,2)</f>
        <v/>
      </c>
    </row>
    <row r="28" ht="25.5" customHeight="1" s="204">
      <c r="A28" s="142">
        <f>A27+1</f>
        <v/>
      </c>
      <c r="B28" s="157" t="n"/>
      <c r="C28" s="142" t="inlineStr">
        <is>
          <t>91.05.05-014</t>
        </is>
      </c>
      <c r="D28" s="143" t="inlineStr">
        <is>
          <t>Краны на автомобильном ходу, грузоподъемность 10 т</t>
        </is>
      </c>
      <c r="E28" s="268" t="inlineStr">
        <is>
          <t>маш.-ч</t>
        </is>
      </c>
      <c r="F28" s="148" t="n">
        <v>9.505687999999999</v>
      </c>
      <c r="G28" s="147" t="n">
        <v>111.99</v>
      </c>
      <c r="H28" s="145">
        <f>ROUND(F28*G28,2)</f>
        <v/>
      </c>
    </row>
    <row r="29" ht="38.25" customHeight="1" s="204">
      <c r="A29" s="142">
        <f>A28+1</f>
        <v/>
      </c>
      <c r="B29" s="157" t="n"/>
      <c r="C29" s="142" t="inlineStr">
        <is>
          <t>91.02.04-032</t>
        </is>
      </c>
      <c r="D29" s="143" t="inlineStr">
        <is>
          <t>Установки буровые для бурения скважин под сваи ковшового бурения, глубиной до 24 м, диаметром до 1200 мм</t>
        </is>
      </c>
      <c r="E29" s="268" t="inlineStr">
        <is>
          <t>маш.-ч</t>
        </is>
      </c>
      <c r="F29" s="268" t="n">
        <v>3.48</v>
      </c>
      <c r="G29" s="147" t="n">
        <v>166.23</v>
      </c>
      <c r="H29" s="145">
        <f>ROUND(F29*G29,2)</f>
        <v/>
      </c>
    </row>
    <row r="30" ht="25.5" customHeight="1" s="204">
      <c r="A30" s="142">
        <f>A29+1</f>
        <v/>
      </c>
      <c r="B30" s="157" t="n"/>
      <c r="C30" s="142" t="inlineStr">
        <is>
          <t>91.05.06-012</t>
        </is>
      </c>
      <c r="D30" s="143" t="inlineStr">
        <is>
          <t>Краны на гусеничном ходу, грузоподъемность до 16 т</t>
        </is>
      </c>
      <c r="E30" s="268" t="inlineStr">
        <is>
          <t>маш.-ч</t>
        </is>
      </c>
      <c r="F30" s="268" t="n">
        <v>5.10064</v>
      </c>
      <c r="G30" s="147" t="n">
        <v>96.89</v>
      </c>
      <c r="H30" s="145">
        <f>ROUND(F30*G30,2)</f>
        <v/>
      </c>
    </row>
    <row r="31">
      <c r="A31" s="142">
        <f>A30+1</f>
        <v/>
      </c>
      <c r="B31" s="157" t="n"/>
      <c r="C31" s="142" t="inlineStr">
        <is>
          <t>91.06.06-042</t>
        </is>
      </c>
      <c r="D31" s="143" t="inlineStr">
        <is>
          <t>Подъемники гидравлические высотой подъема: 10 м</t>
        </is>
      </c>
      <c r="E31" s="268" t="inlineStr">
        <is>
          <t>маш.-ч</t>
        </is>
      </c>
      <c r="F31" s="268" t="n">
        <v>14.2278</v>
      </c>
      <c r="G31" s="147" t="n">
        <v>29.6</v>
      </c>
      <c r="H31" s="145">
        <f>ROUND(F31*G31,2)</f>
        <v/>
      </c>
    </row>
    <row r="32">
      <c r="A32" s="142">
        <f>A31+1</f>
        <v/>
      </c>
      <c r="B32" s="157" t="n"/>
      <c r="C32" s="142" t="inlineStr">
        <is>
          <t>91.14.02-001</t>
        </is>
      </c>
      <c r="D32" s="143" t="inlineStr">
        <is>
          <t>Автомобили бортовые, грузоподъемность до 5 т</t>
        </is>
      </c>
      <c r="E32" s="268" t="inlineStr">
        <is>
          <t>маш.-ч</t>
        </is>
      </c>
      <c r="F32" s="268" t="n">
        <v>4.006178</v>
      </c>
      <c r="G32" s="147" t="n">
        <v>65.70999999999999</v>
      </c>
      <c r="H32" s="145">
        <f>ROUND(F32*G32,2)</f>
        <v/>
      </c>
    </row>
    <row r="33" ht="25.5" customHeight="1" s="204">
      <c r="A33" s="142">
        <f>A32+1</f>
        <v/>
      </c>
      <c r="B33" s="157" t="n"/>
      <c r="C33" s="142" t="inlineStr">
        <is>
          <t>91.01.05-104</t>
        </is>
      </c>
      <c r="D33" s="143" t="inlineStr">
        <is>
          <t>Экскаваторы одноковшовые дизельные на пневмоколесном ходу, емкость ковша 0,4 м3</t>
        </is>
      </c>
      <c r="E33" s="268" t="inlineStr">
        <is>
          <t>маш.-ч</t>
        </is>
      </c>
      <c r="F33" s="268" t="n">
        <v>1.56</v>
      </c>
      <c r="G33" s="147" t="n">
        <v>98.90000000000001</v>
      </c>
      <c r="H33" s="145">
        <f>ROUND(F33*G33,2)</f>
        <v/>
      </c>
    </row>
    <row r="34" ht="25.5" customHeight="1" s="204">
      <c r="A34" s="142">
        <f>A33+1</f>
        <v/>
      </c>
      <c r="B34" s="157" t="n"/>
      <c r="C34" s="142" t="inlineStr">
        <is>
          <t>91.06.03-058</t>
        </is>
      </c>
      <c r="D34" s="143" t="inlineStr">
        <is>
          <t>Лебедки электрические тяговым усилием 156,96 кН (16 т)</t>
        </is>
      </c>
      <c r="E34" s="268" t="inlineStr">
        <is>
          <t>маш.-ч</t>
        </is>
      </c>
      <c r="F34" s="268" t="n">
        <v>0.4968</v>
      </c>
      <c r="G34" s="147" t="n">
        <v>131.44</v>
      </c>
      <c r="H34" s="145">
        <f>ROUND(F34*G34,2)</f>
        <v/>
      </c>
    </row>
    <row r="35" ht="25.5" customHeight="1" s="204">
      <c r="A35" s="142">
        <f>A34+1</f>
        <v/>
      </c>
      <c r="B35" s="157" t="n"/>
      <c r="C35" s="142" t="inlineStr">
        <is>
          <t>91.17.04-233</t>
        </is>
      </c>
      <c r="D35" s="143" t="inlineStr">
        <is>
          <t>Установки для сварки ручной дуговой (постоянного тока)</t>
        </is>
      </c>
      <c r="E35" s="268" t="inlineStr">
        <is>
          <t>маш.-ч</t>
        </is>
      </c>
      <c r="F35" s="268" t="n">
        <v>6.02278</v>
      </c>
      <c r="G35" s="147" t="n">
        <v>8.1</v>
      </c>
      <c r="H35" s="145">
        <f>ROUND(F35*G35,2)</f>
        <v/>
      </c>
    </row>
    <row r="36" ht="38.25" customHeight="1" s="204">
      <c r="A36" s="142">
        <f>A35+1</f>
        <v/>
      </c>
      <c r="B36" s="157" t="n"/>
      <c r="C36" s="142" t="inlineStr">
        <is>
          <t>91.18.01-007</t>
        </is>
      </c>
      <c r="D36" s="14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6" s="268" t="inlineStr">
        <is>
          <t>маш.-ч</t>
        </is>
      </c>
      <c r="F36" s="268" t="n">
        <v>0.34308</v>
      </c>
      <c r="G36" s="147" t="n">
        <v>90</v>
      </c>
      <c r="H36" s="145">
        <f>ROUND(F36*G36,2)</f>
        <v/>
      </c>
    </row>
    <row r="37" ht="25.5" customHeight="1" s="204">
      <c r="A37" s="142">
        <f>A36+1</f>
        <v/>
      </c>
      <c r="B37" s="157" t="n"/>
      <c r="C37" s="142" t="inlineStr">
        <is>
          <t>91.01.05-106</t>
        </is>
      </c>
      <c r="D37" s="143" t="inlineStr">
        <is>
          <t>Экскаваторы одноковшовые дизельные на пневмоколесном ходу, емкость ковша 0,25 м3</t>
        </is>
      </c>
      <c r="E37" s="268" t="inlineStr">
        <is>
          <t>маш.-ч</t>
        </is>
      </c>
      <c r="F37" s="268" t="n">
        <v>0.35116</v>
      </c>
      <c r="G37" s="147" t="n">
        <v>70.01000000000001</v>
      </c>
      <c r="H37" s="145">
        <f>ROUND(F37*G37,2)</f>
        <v/>
      </c>
    </row>
    <row r="38">
      <c r="A38" s="142">
        <f>A37+1</f>
        <v/>
      </c>
      <c r="B38" s="157" t="n"/>
      <c r="C38" s="142" t="inlineStr">
        <is>
          <t>91.07.04-001</t>
        </is>
      </c>
      <c r="D38" s="143" t="inlineStr">
        <is>
          <t>Вибратор глубинный</t>
        </is>
      </c>
      <c r="E38" s="268" t="inlineStr">
        <is>
          <t>маш.-ч</t>
        </is>
      </c>
      <c r="F38" s="268" t="n">
        <v>8.68736</v>
      </c>
      <c r="G38" s="147" t="n">
        <v>1.9</v>
      </c>
      <c r="H38" s="145">
        <f>ROUND(F38*G38,2)</f>
        <v/>
      </c>
    </row>
    <row r="39">
      <c r="A39" s="142">
        <f>A38+1</f>
        <v/>
      </c>
      <c r="B39" s="157" t="n"/>
      <c r="C39" s="142" t="inlineStr">
        <is>
          <t>91.14.03-002</t>
        </is>
      </c>
      <c r="D39" s="143" t="inlineStr">
        <is>
          <t>Автомобиль-самосвал, грузоподъемность до 10 т</t>
        </is>
      </c>
      <c r="E39" s="268" t="inlineStr">
        <is>
          <t>маш.-ч</t>
        </is>
      </c>
      <c r="F39" s="268" t="n">
        <v>0.18793</v>
      </c>
      <c r="G39" s="147" t="n">
        <v>87.48999999999999</v>
      </c>
      <c r="H39" s="145">
        <f>ROUND(F39*G39,2)</f>
        <v/>
      </c>
    </row>
    <row r="40" ht="25.5" customHeight="1" s="204">
      <c r="A40" s="142">
        <f>A39+1</f>
        <v/>
      </c>
      <c r="B40" s="157" t="n"/>
      <c r="C40" s="142" t="inlineStr">
        <is>
          <t>91.06.01-003</t>
        </is>
      </c>
      <c r="D40" s="143" t="inlineStr">
        <is>
          <t>Домкраты гидравлические, грузоподъемность 63-100 т</t>
        </is>
      </c>
      <c r="E40" s="268" t="inlineStr">
        <is>
          <t>маш.-ч</t>
        </is>
      </c>
      <c r="F40" s="268" t="n">
        <v>12.5028</v>
      </c>
      <c r="G40" s="147" t="n">
        <v>0.9</v>
      </c>
      <c r="H40" s="145">
        <f>ROUND(F40*G40,2)</f>
        <v/>
      </c>
    </row>
    <row r="41">
      <c r="A41" s="142">
        <f>A40+1</f>
        <v/>
      </c>
      <c r="B41" s="157" t="n"/>
      <c r="C41" s="142" t="inlineStr">
        <is>
          <t>91.08.04-021</t>
        </is>
      </c>
      <c r="D41" s="143" t="inlineStr">
        <is>
          <t>Котлы битумные передвижные 400 л</t>
        </is>
      </c>
      <c r="E41" s="268" t="inlineStr">
        <is>
          <t>маш.-ч</t>
        </is>
      </c>
      <c r="F41" s="268" t="n">
        <v>0.29445</v>
      </c>
      <c r="G41" s="147" t="n">
        <v>30</v>
      </c>
      <c r="H41" s="145">
        <f>ROUND(F41*G41,2)</f>
        <v/>
      </c>
    </row>
    <row r="42" ht="25.5" customHeight="1" s="204">
      <c r="A42" s="142">
        <f>A41+1</f>
        <v/>
      </c>
      <c r="B42" s="157" t="n"/>
      <c r="C42" s="142" t="inlineStr">
        <is>
          <t>91.06.05-057</t>
        </is>
      </c>
      <c r="D42" s="143" t="inlineStr">
        <is>
          <t>Погрузчики одноковшовые универсальные фронтальные пневмоколесные, грузоподъемность 3 т</t>
        </is>
      </c>
      <c r="E42" s="268" t="inlineStr">
        <is>
          <t>маш.-ч</t>
        </is>
      </c>
      <c r="F42" s="268" t="n">
        <v>0.05808</v>
      </c>
      <c r="G42" s="147" t="n">
        <v>90.40000000000001</v>
      </c>
      <c r="H42" s="145">
        <f>ROUND(F42*G42,2)</f>
        <v/>
      </c>
    </row>
    <row r="43">
      <c r="A43" s="142">
        <f>A42+1</f>
        <v/>
      </c>
      <c r="B43" s="157" t="n"/>
      <c r="C43" s="142" t="inlineStr">
        <is>
          <t>91.01.01-034</t>
        </is>
      </c>
      <c r="D43" s="143" t="inlineStr">
        <is>
          <t>Бульдозеры, мощность 59 кВт (80 л.с.)</t>
        </is>
      </c>
      <c r="E43" s="268" t="inlineStr">
        <is>
          <t>маш.-ч</t>
        </is>
      </c>
      <c r="F43" s="268" t="n">
        <v>0.0682</v>
      </c>
      <c r="G43" s="147" t="n">
        <v>59.47</v>
      </c>
      <c r="H43" s="145">
        <f>ROUND(F43*G43,2)</f>
        <v/>
      </c>
    </row>
    <row r="44" ht="25.5" customHeight="1" s="204">
      <c r="A44" s="142">
        <f>A43+1</f>
        <v/>
      </c>
      <c r="B44" s="157" t="n"/>
      <c r="C44" s="142" t="inlineStr">
        <is>
          <t>91.06.06-048</t>
        </is>
      </c>
      <c r="D44" s="143" t="inlineStr">
        <is>
          <t>Подъемники одномачтовые, грузоподъемность до 500 кг, высота подъема 45 м</t>
        </is>
      </c>
      <c r="E44" s="268" t="inlineStr">
        <is>
          <t>маш.-ч</t>
        </is>
      </c>
      <c r="F44" s="268" t="n">
        <v>0.10804</v>
      </c>
      <c r="G44" s="147" t="n">
        <v>31.26</v>
      </c>
      <c r="H44" s="145">
        <f>ROUND(F44*G44,2)</f>
        <v/>
      </c>
    </row>
    <row r="45">
      <c r="A45" s="142">
        <f>A44+1</f>
        <v/>
      </c>
      <c r="B45" s="157" t="n"/>
      <c r="C45" s="142" t="inlineStr">
        <is>
          <t>91.01.01-035</t>
        </is>
      </c>
      <c r="D45" s="143" t="inlineStr">
        <is>
          <t>Бульдозеры, мощность 79 кВт (108 л.с.)</t>
        </is>
      </c>
      <c r="E45" s="268" t="inlineStr">
        <is>
          <t>маш.-ч</t>
        </is>
      </c>
      <c r="F45" s="268" t="n">
        <v>0.01304</v>
      </c>
      <c r="G45" s="147" t="n">
        <v>79.06999999999999</v>
      </c>
      <c r="H45" s="145">
        <f>ROUND(F45*G45,2)</f>
        <v/>
      </c>
    </row>
    <row r="46">
      <c r="A46" s="142">
        <f>A45+1</f>
        <v/>
      </c>
      <c r="B46" s="157" t="n"/>
      <c r="C46" s="142" t="inlineStr">
        <is>
          <t>91.06.05-011</t>
        </is>
      </c>
      <c r="D46" s="143" t="inlineStr">
        <is>
          <t>Погрузчик, грузоподъемность 5 т</t>
        </is>
      </c>
      <c r="E46" s="268" t="inlineStr">
        <is>
          <t>маш.-ч</t>
        </is>
      </c>
      <c r="F46" s="268" t="n">
        <v>0.0101</v>
      </c>
      <c r="G46" s="147" t="n">
        <v>89.98999999999999</v>
      </c>
      <c r="H46" s="145">
        <f>ROUND(F46*G46,2)</f>
        <v/>
      </c>
    </row>
    <row r="47">
      <c r="A47" s="142">
        <f>A46+1</f>
        <v/>
      </c>
      <c r="B47" s="157" t="n"/>
      <c r="C47" s="142" t="inlineStr">
        <is>
          <t>91.07.04-002</t>
        </is>
      </c>
      <c r="D47" s="143" t="inlineStr">
        <is>
          <t>Вибратор поверхностный</t>
        </is>
      </c>
      <c r="E47" s="268" t="inlineStr">
        <is>
          <t>маш.-ч</t>
        </is>
      </c>
      <c r="F47" s="268" t="n">
        <v>0.83147</v>
      </c>
      <c r="G47" s="147" t="n">
        <v>0.5</v>
      </c>
      <c r="H47" s="145">
        <f>ROUND(F47*G47,2)</f>
        <v/>
      </c>
    </row>
    <row r="48" ht="25.5" customHeight="1" s="204">
      <c r="A48" s="142">
        <f>A47+1</f>
        <v/>
      </c>
      <c r="B48" s="157" t="n"/>
      <c r="C48" s="142" t="inlineStr">
        <is>
          <t>91.21.01-012</t>
        </is>
      </c>
      <c r="D48" s="143" t="inlineStr">
        <is>
          <t>Агрегаты окрасочные высокого давления для окраски поверхностей конструкций, мощность 1 кВт</t>
        </is>
      </c>
      <c r="E48" s="268" t="inlineStr">
        <is>
          <t>маш.-ч</t>
        </is>
      </c>
      <c r="F48" s="268" t="n">
        <v>0.0598</v>
      </c>
      <c r="G48" s="147" t="n">
        <v>6.82</v>
      </c>
      <c r="H48" s="145">
        <f>ROUND(F48*G48,2)</f>
        <v/>
      </c>
    </row>
    <row r="49" ht="25.5" customHeight="1" s="204">
      <c r="A49" s="142">
        <f>A48+1</f>
        <v/>
      </c>
      <c r="B49" s="157" t="n"/>
      <c r="C49" s="142" t="inlineStr">
        <is>
          <t>91.08.09-023</t>
        </is>
      </c>
      <c r="D49" s="143" t="inlineStr">
        <is>
          <t>Трамбовки пневматические при работе от передвижных компрессорных станций</t>
        </is>
      </c>
      <c r="E49" s="268" t="inlineStr">
        <is>
          <t>маш.-ч</t>
        </is>
      </c>
      <c r="F49" s="268" t="n">
        <v>0.70446</v>
      </c>
      <c r="G49" s="147" t="n">
        <v>0.55</v>
      </c>
      <c r="H49" s="145">
        <f>ROUND(F49*G49,2)</f>
        <v/>
      </c>
    </row>
    <row r="50">
      <c r="A50" s="142">
        <f>A49+1</f>
        <v/>
      </c>
      <c r="B50" s="157" t="n"/>
      <c r="C50" s="142" t="inlineStr">
        <is>
          <t>91.14.03-001</t>
        </is>
      </c>
      <c r="D50" s="143" t="inlineStr">
        <is>
          <t>Автомобиль-самосвал, грузоподъемность до 7 т</t>
        </is>
      </c>
      <c r="E50" s="268" t="inlineStr">
        <is>
          <t>маш.-ч</t>
        </is>
      </c>
      <c r="F50" s="268" t="n">
        <v>0.00028</v>
      </c>
      <c r="G50" s="147" t="n">
        <v>89.54000000000001</v>
      </c>
      <c r="H50" s="145">
        <f>ROUND(F50*G50,2)</f>
        <v/>
      </c>
    </row>
    <row r="51" ht="15" customHeight="1" s="204">
      <c r="A51" s="245" t="inlineStr">
        <is>
          <t>Оборудование</t>
        </is>
      </c>
      <c r="B51" s="318" t="n"/>
      <c r="C51" s="318" t="n"/>
      <c r="D51" s="318" t="n"/>
      <c r="E51" s="319" t="n"/>
      <c r="F51" s="10" t="n"/>
      <c r="G51" s="10" t="n"/>
      <c r="H51" s="150">
        <f>SUM(H52:H53)</f>
        <v/>
      </c>
    </row>
    <row r="52" ht="38.25" customHeight="1" s="204">
      <c r="A52" s="146">
        <f>A50+1</f>
        <v/>
      </c>
      <c r="B52" s="245" t="n"/>
      <c r="C52" s="142" t="inlineStr">
        <is>
          <t>Прайс из СД ОП</t>
        </is>
      </c>
      <c r="D52" s="143" t="inlineStr">
        <is>
          <t>Разъединитель РГН.1-ОП-110.II/1000-40 УХЛ1, 1-но пол., с приводами ПД-14-00 УХЛ1 и ПД-14-01УХЛ1, с БУ-Г(3)-11, с опорными стойками</t>
        </is>
      </c>
      <c r="E52" s="268" t="inlineStr">
        <is>
          <t>1-но пол компл</t>
        </is>
      </c>
      <c r="F52" s="268" t="inlineStr">
        <is>
          <t>3</t>
        </is>
      </c>
      <c r="G52" s="145" t="n">
        <v>110825.33</v>
      </c>
      <c r="H52" s="145" t="n">
        <v>332475.99</v>
      </c>
    </row>
    <row r="53">
      <c r="A53" s="146">
        <f>A52+1</f>
        <v/>
      </c>
      <c r="B53" s="245" t="n"/>
      <c r="C53" s="142" t="inlineStr">
        <is>
          <t>Прайс из СД ОП</t>
        </is>
      </c>
      <c r="D53" s="248" t="inlineStr">
        <is>
          <t>Шкаф управления разъединителями</t>
        </is>
      </c>
      <c r="E53" s="268" t="inlineStr">
        <is>
          <t>шт.</t>
        </is>
      </c>
      <c r="F53" s="268" t="n">
        <v>3</v>
      </c>
      <c r="G53" s="145" t="n">
        <v>7738</v>
      </c>
      <c r="H53" s="145" t="n">
        <v>23214</v>
      </c>
    </row>
    <row r="54" ht="15" customHeight="1" s="204">
      <c r="A54" s="245" t="inlineStr">
        <is>
          <t>Материалы</t>
        </is>
      </c>
      <c r="B54" s="318" t="n"/>
      <c r="C54" s="318" t="n"/>
      <c r="D54" s="318" t="n"/>
      <c r="E54" s="319" t="n"/>
      <c r="F54" s="10" t="n"/>
      <c r="G54" s="10" t="n"/>
      <c r="H54" s="150">
        <f>SUM(H55:H110)</f>
        <v/>
      </c>
    </row>
    <row r="55" ht="38.25" customHeight="1" s="204">
      <c r="A55" s="146">
        <f>A53+1</f>
        <v/>
      </c>
      <c r="B55" s="157" t="n"/>
      <c r="C55" s="142" t="inlineStr">
        <is>
          <t>04.1.02.02-0006</t>
        </is>
      </c>
      <c r="D55" s="143" t="inlineStr">
        <is>
          <t>Смеси бетонные тяжелого бетона (БСТ) для гидротехнических сооружений на сульфатостойких цементах, класс В15 (М200)</t>
        </is>
      </c>
      <c r="E55" s="268" t="inlineStr">
        <is>
          <t>м3</t>
        </is>
      </c>
      <c r="F55" s="268" t="n">
        <v>17.151</v>
      </c>
      <c r="G55" s="145" t="n">
        <v>708.91</v>
      </c>
      <c r="H55" s="145">
        <f>ROUND(F55*G55,2)</f>
        <v/>
      </c>
    </row>
    <row r="56" ht="25.5" customHeight="1" s="204">
      <c r="A56" s="146">
        <f>A55+1</f>
        <v/>
      </c>
      <c r="B56" s="157" t="n"/>
      <c r="C56" s="142" t="inlineStr">
        <is>
          <t>21.2.01.02-0101</t>
        </is>
      </c>
      <c r="D56" s="143" t="inlineStr">
        <is>
          <t>Провод неизолированный для воздушных линий электропередачи АС 500/26</t>
        </is>
      </c>
      <c r="E56" s="268" t="inlineStr">
        <is>
          <t>т</t>
        </is>
      </c>
      <c r="F56" s="268" t="n">
        <v>0.1</v>
      </c>
      <c r="G56" s="145" t="n">
        <v>34240.97</v>
      </c>
      <c r="H56" s="145">
        <f>ROUND(F56*G56,2)</f>
        <v/>
      </c>
    </row>
    <row r="57" ht="25.5" customHeight="1" s="204">
      <c r="A57" s="146">
        <f>A56+1</f>
        <v/>
      </c>
      <c r="B57" s="157" t="n"/>
      <c r="C57" s="142" t="inlineStr">
        <is>
          <t>08.4.03.03-0034</t>
        </is>
      </c>
      <c r="D57" s="143" t="inlineStr">
        <is>
          <t>Сталь арматурная, горячекатаная, периодического профиля, класс А-III, диаметр 16-18 мм</t>
        </is>
      </c>
      <c r="E57" s="268" t="inlineStr">
        <is>
          <t>т</t>
        </is>
      </c>
      <c r="F57" s="268" t="n">
        <v>0.337</v>
      </c>
      <c r="G57" s="145" t="n">
        <v>7956.21</v>
      </c>
      <c r="H57" s="145">
        <f>ROUND(F57*G57,2)</f>
        <v/>
      </c>
    </row>
    <row r="58" ht="25.5" customHeight="1" s="204">
      <c r="A58" s="146">
        <f>A57+1</f>
        <v/>
      </c>
      <c r="B58" s="157" t="n"/>
      <c r="C58" s="142" t="inlineStr">
        <is>
          <t>21.1.06.10-0411</t>
        </is>
      </c>
      <c r="D58" s="143" t="inlineStr">
        <is>
          <t>Кабель силовой с медными жилами ВВГнг(A)-LS 5х16мк(N, РЕ)-1000</t>
        </is>
      </c>
      <c r="E58" s="268" t="inlineStr">
        <is>
          <t>1000 м</t>
        </is>
      </c>
      <c r="F58" s="268" t="n">
        <v>0.027</v>
      </c>
      <c r="G58" s="145" t="n">
        <v>98440.41</v>
      </c>
      <c r="H58" s="145">
        <f>ROUND(F58*G58,2)</f>
        <v/>
      </c>
    </row>
    <row r="59" ht="25.5" customHeight="1" s="204">
      <c r="A59" s="146">
        <f>A58+1</f>
        <v/>
      </c>
      <c r="B59" s="157" t="n"/>
      <c r="C59" s="142" t="inlineStr">
        <is>
          <t>04.1.02.05-0043</t>
        </is>
      </c>
      <c r="D59" s="143" t="inlineStr">
        <is>
          <t>Смеси бетонные тяжелого бетона (БСТ), крупность заполнителя 20 мм, класс В15 (М200)</t>
        </is>
      </c>
      <c r="E59" s="268" t="inlineStr">
        <is>
          <t>м3</t>
        </is>
      </c>
      <c r="F59" s="268" t="n">
        <v>3.451</v>
      </c>
      <c r="G59" s="145" t="n">
        <v>665</v>
      </c>
      <c r="H59" s="145">
        <f>ROUND(F59*G59,2)</f>
        <v/>
      </c>
    </row>
    <row r="60">
      <c r="A60" s="146">
        <f>A59+1</f>
        <v/>
      </c>
      <c r="B60" s="157" t="n"/>
      <c r="C60" s="142" t="inlineStr">
        <is>
          <t>21.1.08.03-0574</t>
        </is>
      </c>
      <c r="D60" s="143" t="inlineStr">
        <is>
          <t>Кабель контрольный КВВГЭнг(А)-LS 4x2,5</t>
        </is>
      </c>
      <c r="E60" s="268" t="inlineStr">
        <is>
          <t>1000 м</t>
        </is>
      </c>
      <c r="F60" s="268" t="n">
        <v>0.048</v>
      </c>
      <c r="G60" s="145" t="n">
        <v>38348.22</v>
      </c>
      <c r="H60" s="145">
        <f>ROUND(F60*G60,2)</f>
        <v/>
      </c>
    </row>
    <row r="61" ht="25.5" customHeight="1" s="204">
      <c r="A61" s="146">
        <f>A60+1</f>
        <v/>
      </c>
      <c r="B61" s="157" t="n"/>
      <c r="C61" s="142" t="inlineStr">
        <is>
          <t>08.4.03.03-0032</t>
        </is>
      </c>
      <c r="D61" s="143" t="inlineStr">
        <is>
          <t>Сталь арматурная, горячекатаная, периодического профиля, класс А-III, диаметр 12 мм</t>
        </is>
      </c>
      <c r="E61" s="268" t="inlineStr">
        <is>
          <t>т</t>
        </is>
      </c>
      <c r="F61" s="268" t="n">
        <v>0.196</v>
      </c>
      <c r="G61" s="145" t="n">
        <v>7997.23</v>
      </c>
      <c r="H61" s="145">
        <f>ROUND(F61*G61,2)</f>
        <v/>
      </c>
    </row>
    <row r="62" ht="25.5" customHeight="1" s="204">
      <c r="A62" s="146">
        <f>A61+1</f>
        <v/>
      </c>
      <c r="B62" s="157" t="n"/>
      <c r="C62" s="142" t="inlineStr">
        <is>
          <t>05.1.01.10-0131</t>
        </is>
      </c>
      <c r="D62" s="143" t="inlineStr">
        <is>
          <t>Лотки каналов и тоннелей железобетонные для прокладки коммуникаций</t>
        </is>
      </c>
      <c r="E62" s="268" t="inlineStr">
        <is>
          <t>м3</t>
        </is>
      </c>
      <c r="F62" s="268" t="n">
        <v>0.84</v>
      </c>
      <c r="G62" s="145" t="n">
        <v>1837.28</v>
      </c>
      <c r="H62" s="145">
        <f>ROUND(F62*G62,2)</f>
        <v/>
      </c>
    </row>
    <row r="63" ht="25.5" customHeight="1" s="204">
      <c r="A63" s="146">
        <f>A62+1</f>
        <v/>
      </c>
      <c r="B63" s="157" t="n"/>
      <c r="C63" s="142" t="inlineStr">
        <is>
          <t>08.4.03.03-0031</t>
        </is>
      </c>
      <c r="D63" s="143" t="inlineStr">
        <is>
          <t>Сталь арматурная, горячекатаная, периодического профиля, класс А-III, диаметр 10 мм</t>
        </is>
      </c>
      <c r="E63" s="268" t="inlineStr">
        <is>
          <t>т</t>
        </is>
      </c>
      <c r="F63" s="268" t="n">
        <v>0.105</v>
      </c>
      <c r="G63" s="145" t="n">
        <v>8014.15</v>
      </c>
      <c r="H63" s="145">
        <f>ROUND(F63*G63,2)</f>
        <v/>
      </c>
    </row>
    <row r="64" ht="25.5" customHeight="1" s="204">
      <c r="A64" s="146">
        <f>A63+1</f>
        <v/>
      </c>
      <c r="B64" s="157" t="n"/>
      <c r="C64" s="142" t="inlineStr">
        <is>
          <t>08.4.01.01-0022</t>
        </is>
      </c>
      <c r="D64" s="143" t="inlineStr">
        <is>
          <t>Детали анкерные с резьбой из прямых или гнутых круглых стержней</t>
        </is>
      </c>
      <c r="E64" s="268" t="inlineStr">
        <is>
          <t>т</t>
        </is>
      </c>
      <c r="F64" s="268" t="n">
        <v>0.055</v>
      </c>
      <c r="G64" s="145" t="n">
        <v>10100</v>
      </c>
      <c r="H64" s="145">
        <f>ROUND(F64*G64,2)</f>
        <v/>
      </c>
    </row>
    <row r="65" ht="51" customHeight="1" s="204">
      <c r="A65" s="146">
        <f>A64+1</f>
        <v/>
      </c>
      <c r="B65" s="157" t="n"/>
      <c r="C65" s="142" t="inlineStr">
        <is>
          <t>01.2.03.05-0004</t>
        </is>
      </c>
      <c r="D65" s="143" t="inlineStr">
        <is>
          <t>Праймер битумный для подготовки (огрунтовки) изолируемых поверхностей перед укладкой наплавляемых битумных и битумно-полимерных материалов</t>
        </is>
      </c>
      <c r="E65" s="268" t="inlineStr">
        <is>
          <t>кг</t>
        </is>
      </c>
      <c r="F65" s="268" t="n">
        <v>2.4</v>
      </c>
      <c r="G65" s="145" t="n">
        <v>216.25</v>
      </c>
      <c r="H65" s="145">
        <f>ROUND(F65*G65,2)</f>
        <v/>
      </c>
    </row>
    <row r="66" ht="25.5" customHeight="1" s="204">
      <c r="A66" s="146">
        <f>A65+1</f>
        <v/>
      </c>
      <c r="B66" s="157" t="n"/>
      <c r="C66" s="142" t="inlineStr">
        <is>
          <t>08.4.03.03-0029</t>
        </is>
      </c>
      <c r="D66" s="143" t="inlineStr">
        <is>
          <t>Сталь арматурная, горячекатаная, периодического профиля, класс А-III, диаметр 6 мм</t>
        </is>
      </c>
      <c r="E66" s="268" t="inlineStr">
        <is>
          <t>т</t>
        </is>
      </c>
      <c r="F66" s="268" t="n">
        <v>0.054</v>
      </c>
      <c r="G66" s="145" t="n">
        <v>8213.719999999999</v>
      </c>
      <c r="H66" s="145">
        <f>ROUND(F66*G66,2)</f>
        <v/>
      </c>
    </row>
    <row r="67">
      <c r="A67" s="146">
        <f>A66+1</f>
        <v/>
      </c>
      <c r="B67" s="157" t="n"/>
      <c r="C67" s="142" t="inlineStr">
        <is>
          <t>20.1.01.02-0067</t>
        </is>
      </c>
      <c r="D67" s="143" t="inlineStr">
        <is>
          <t>Зажим аппаратный прессуемый: А4А-400-2</t>
        </is>
      </c>
      <c r="E67" s="268" t="inlineStr">
        <is>
          <t>100 шт.</t>
        </is>
      </c>
      <c r="F67" s="268" t="n">
        <v>0.06</v>
      </c>
      <c r="G67" s="145" t="n">
        <v>6505</v>
      </c>
      <c r="H67" s="145">
        <f>ROUND(F67*G67,2)</f>
        <v/>
      </c>
    </row>
    <row r="68">
      <c r="A68" s="146">
        <f>A67+1</f>
        <v/>
      </c>
      <c r="B68" s="157" t="n"/>
      <c r="C68" s="142" t="inlineStr">
        <is>
          <t>02.2.05.04-1777</t>
        </is>
      </c>
      <c r="D68" s="143" t="inlineStr">
        <is>
          <t>Щебень М 800, фракция 20-40 мм, группа 2</t>
        </is>
      </c>
      <c r="E68" s="268" t="inlineStr">
        <is>
          <t>м3</t>
        </is>
      </c>
      <c r="F68" s="268" t="n">
        <v>3</v>
      </c>
      <c r="G68" s="145" t="n">
        <v>108.4</v>
      </c>
      <c r="H68" s="145">
        <f>ROUND(F68*G68,2)</f>
        <v/>
      </c>
    </row>
    <row r="69" ht="38.25" customHeight="1" s="204">
      <c r="A69" s="146">
        <f>A68+1</f>
        <v/>
      </c>
      <c r="B69" s="157" t="n"/>
      <c r="C69" s="142" t="inlineStr">
        <is>
          <t>23.3.01.04-0074</t>
        </is>
      </c>
      <c r="D69" s="143" t="inlineStr">
        <is>
          <t>Трубы бесшовные обсадные из стали группы Д и Б с короткой треугольной резьбой, наружный диаметр 377 мм, толщина стенки 12 мм</t>
        </is>
      </c>
      <c r="E69" s="268" t="inlineStr">
        <is>
          <t>м</t>
        </is>
      </c>
      <c r="F69" s="268" t="n">
        <v>0.3</v>
      </c>
      <c r="G69" s="145" t="n">
        <v>1001.3</v>
      </c>
      <c r="H69" s="145">
        <f>ROUND(F69*G69,2)</f>
        <v/>
      </c>
    </row>
    <row r="70" ht="25.5" customHeight="1" s="204">
      <c r="A70" s="146">
        <f>A69+1</f>
        <v/>
      </c>
      <c r="B70" s="157" t="n"/>
      <c r="C70" s="142" t="inlineStr">
        <is>
          <t>25.1.01.05-0032</t>
        </is>
      </c>
      <c r="D70" s="143" t="inlineStr">
        <is>
          <t>Шпалы пропитанные для железных дорог широкой колеи, обрезные и необрезные, лиственничные, тип II</t>
        </is>
      </c>
      <c r="E70" s="268" t="inlineStr">
        <is>
          <t>шт.</t>
        </is>
      </c>
      <c r="F70" s="268" t="n">
        <v>1.08</v>
      </c>
      <c r="G70" s="145" t="n">
        <v>276.17</v>
      </c>
      <c r="H70" s="145">
        <f>ROUND(F70*G70,2)</f>
        <v/>
      </c>
    </row>
    <row r="71">
      <c r="A71" s="146">
        <f>A70+1</f>
        <v/>
      </c>
      <c r="B71" s="157" t="n"/>
      <c r="C71" s="142" t="inlineStr">
        <is>
          <t>20.1.02.23-0121</t>
        </is>
      </c>
      <c r="D71" s="143" t="inlineStr">
        <is>
          <t>Проводник заземляющий П-750</t>
        </is>
      </c>
      <c r="E71" s="268" t="inlineStr">
        <is>
          <t>шт.</t>
        </is>
      </c>
      <c r="F71" s="268" t="n">
        <v>20</v>
      </c>
      <c r="G71" s="145" t="n">
        <v>13.55</v>
      </c>
      <c r="H71" s="145">
        <f>ROUND(F71*G71,2)</f>
        <v/>
      </c>
    </row>
    <row r="72">
      <c r="A72" s="146">
        <f>A71+1</f>
        <v/>
      </c>
      <c r="B72" s="157" t="n"/>
      <c r="C72" s="142" t="inlineStr">
        <is>
          <t>01.7.15.03-0042</t>
        </is>
      </c>
      <c r="D72" s="143" t="inlineStr">
        <is>
          <t>Болты с гайками и шайбами строительные</t>
        </is>
      </c>
      <c r="E72" s="268" t="inlineStr">
        <is>
          <t>кг</t>
        </is>
      </c>
      <c r="F72" s="268" t="n">
        <v>18.368</v>
      </c>
      <c r="G72" s="145" t="n">
        <v>9.039999999999999</v>
      </c>
      <c r="H72" s="145">
        <f>ROUND(F72*G72,2)</f>
        <v/>
      </c>
    </row>
    <row r="73">
      <c r="A73" s="146">
        <f>A72+1</f>
        <v/>
      </c>
      <c r="B73" s="157" t="n"/>
      <c r="C73" s="142" t="inlineStr">
        <is>
          <t>11.2.13.04-0011</t>
        </is>
      </c>
      <c r="D73" s="143" t="inlineStr">
        <is>
          <t>Щиты из досок, толщина 25 мм</t>
        </is>
      </c>
      <c r="E73" s="268" t="inlineStr">
        <is>
          <t>м2</t>
        </is>
      </c>
      <c r="F73" s="268" t="n">
        <v>4.059</v>
      </c>
      <c r="G73" s="145" t="n">
        <v>35.53</v>
      </c>
      <c r="H73" s="145">
        <f>ROUND(F73*G73,2)</f>
        <v/>
      </c>
    </row>
    <row r="74">
      <c r="A74" s="146">
        <f>A73+1</f>
        <v/>
      </c>
      <c r="B74" s="157" t="n"/>
      <c r="C74" s="142" t="inlineStr">
        <is>
          <t>01.2.03.03-0013</t>
        </is>
      </c>
      <c r="D74" s="143" t="inlineStr">
        <is>
          <t>Мастика битумная кровельная горячая</t>
        </is>
      </c>
      <c r="E74" s="268" t="inlineStr">
        <is>
          <t>т</t>
        </is>
      </c>
      <c r="F74" s="268" t="n">
        <v>0.03624</v>
      </c>
      <c r="G74" s="145" t="n">
        <v>3390</v>
      </c>
      <c r="H74" s="145">
        <f>ROUND(F74*G74,2)</f>
        <v/>
      </c>
    </row>
    <row r="75" ht="63.75" customHeight="1" s="204">
      <c r="A75" s="146">
        <f>A74+1</f>
        <v/>
      </c>
      <c r="B75" s="157" t="n"/>
      <c r="C75" s="142" t="inlineStr">
        <is>
          <t>08.4.01.02-0013</t>
        </is>
      </c>
      <c r="D75" s="143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E75" s="268" t="inlineStr">
        <is>
          <t>т</t>
        </is>
      </c>
      <c r="F75" s="268" t="n">
        <v>0.017</v>
      </c>
      <c r="G75" s="145" t="n">
        <v>6800</v>
      </c>
      <c r="H75" s="145">
        <f>ROUND(F75*G75,2)</f>
        <v/>
      </c>
    </row>
    <row r="76" ht="25.5" customHeight="1" s="204">
      <c r="A76" s="146">
        <f>A75+1</f>
        <v/>
      </c>
      <c r="B76" s="157" t="n"/>
      <c r="C76" s="142" t="inlineStr">
        <is>
          <t>02.2.05.04-1777</t>
        </is>
      </c>
      <c r="D76" s="143" t="inlineStr">
        <is>
          <t>Щебень из природного камня для строительных работ марка: 800, фракция 20-40 мм</t>
        </is>
      </c>
      <c r="E76" s="268" t="inlineStr">
        <is>
          <t>м3</t>
        </is>
      </c>
      <c r="F76" s="268" t="n">
        <v>0.94424</v>
      </c>
      <c r="G76" s="145" t="n">
        <v>108.4</v>
      </c>
      <c r="H76" s="145">
        <f>ROUND(F76*G76,2)</f>
        <v/>
      </c>
    </row>
    <row r="77">
      <c r="A77" s="146">
        <f>A76+1</f>
        <v/>
      </c>
      <c r="B77" s="157" t="n"/>
      <c r="C77" s="142" t="inlineStr">
        <is>
          <t>04.3.01.09-0015</t>
        </is>
      </c>
      <c r="D77" s="143" t="inlineStr">
        <is>
          <t>Раствор готовый кладочный, цементный, М150</t>
        </is>
      </c>
      <c r="E77" s="268" t="inlineStr">
        <is>
          <t>м3</t>
        </is>
      </c>
      <c r="F77" s="268" t="n">
        <v>0.18615</v>
      </c>
      <c r="G77" s="145" t="n">
        <v>548.3</v>
      </c>
      <c r="H77" s="145">
        <f>ROUND(F77*G77,2)</f>
        <v/>
      </c>
    </row>
    <row r="78">
      <c r="A78" s="146">
        <f>A77+1</f>
        <v/>
      </c>
      <c r="B78" s="157" t="n"/>
      <c r="C78" s="142" t="inlineStr">
        <is>
          <t>01.7.15.11-0026</t>
        </is>
      </c>
      <c r="D78" s="143" t="inlineStr">
        <is>
          <t>Шайбы квадратные</t>
        </is>
      </c>
      <c r="E78" s="268" t="inlineStr">
        <is>
          <t>100 шт.</t>
        </is>
      </c>
      <c r="F78" s="268" t="n">
        <v>0.36</v>
      </c>
      <c r="G78" s="145" t="n">
        <v>254</v>
      </c>
      <c r="H78" s="145">
        <f>ROUND(F78*G78,2)</f>
        <v/>
      </c>
    </row>
    <row r="79" ht="25.5" customHeight="1" s="204">
      <c r="A79" s="146">
        <f>A78+1</f>
        <v/>
      </c>
      <c r="B79" s="157" t="n"/>
      <c r="C79" s="142" t="inlineStr">
        <is>
          <t>08.4.03.02-0001</t>
        </is>
      </c>
      <c r="D79" s="143" t="inlineStr">
        <is>
          <t>Сталь арматурная, горячекатаная, гладкая, класс А-I, диаметр 6 мм</t>
        </is>
      </c>
      <c r="E79" s="268" t="inlineStr">
        <is>
          <t>т</t>
        </is>
      </c>
      <c r="F79" s="268" t="n">
        <v>0.012</v>
      </c>
      <c r="G79" s="145" t="n">
        <v>7418.82</v>
      </c>
      <c r="H79" s="145">
        <f>ROUND(F79*G79,2)</f>
        <v/>
      </c>
    </row>
    <row r="80" ht="25.5" customHeight="1" s="204">
      <c r="A80" s="146">
        <f>A79+1</f>
        <v/>
      </c>
      <c r="B80" s="157" t="n"/>
      <c r="C80" s="142" t="inlineStr">
        <is>
          <t>08.3.07.01-0076</t>
        </is>
      </c>
      <c r="D80" s="143" t="inlineStr">
        <is>
          <t>Прокат полосовой, горячекатаный, марка стали Ст3сп, ширина 50-200 мм, толщина 4-5 мм</t>
        </is>
      </c>
      <c r="E80" s="268" t="inlineStr">
        <is>
          <t>т</t>
        </is>
      </c>
      <c r="F80" s="268" t="n">
        <v>0.01689</v>
      </c>
      <c r="G80" s="145" t="n">
        <v>5000</v>
      </c>
      <c r="H80" s="145">
        <f>ROUND(F80*G80,2)</f>
        <v/>
      </c>
    </row>
    <row r="81" ht="25.5" customHeight="1" s="204">
      <c r="A81" s="146">
        <f>A80+1</f>
        <v/>
      </c>
      <c r="B81" s="157" t="n"/>
      <c r="C81" s="142" t="inlineStr">
        <is>
          <t>20.2.10.03-0002</t>
        </is>
      </c>
      <c r="D81" s="143" t="inlineStr">
        <is>
          <t>Наконечники кабельные медные для электротехнических установок</t>
        </is>
      </c>
      <c r="E81" s="268" t="inlineStr">
        <is>
          <t>100 шт.</t>
        </is>
      </c>
      <c r="F81" s="268" t="n">
        <v>0.0204</v>
      </c>
      <c r="G81" s="145" t="n">
        <v>3986</v>
      </c>
      <c r="H81" s="145">
        <f>ROUND(F81*G81,2)</f>
        <v/>
      </c>
    </row>
    <row r="82" ht="25.5" customHeight="1" s="204">
      <c r="A82" s="146">
        <f>A81+1</f>
        <v/>
      </c>
      <c r="B82" s="157" t="n"/>
      <c r="C82" s="142" t="inlineStr">
        <is>
          <t>14.4.04.04-0002</t>
        </is>
      </c>
      <c r="D82" s="143" t="inlineStr">
        <is>
          <t>Эмаль кремнийорганическая КО-168 атмосферостойкая разных цветов</t>
        </is>
      </c>
      <c r="E82" s="268" t="inlineStr">
        <is>
          <t>т</t>
        </is>
      </c>
      <c r="F82" s="268" t="n">
        <v>0.002</v>
      </c>
      <c r="G82" s="145" t="n">
        <v>33915</v>
      </c>
      <c r="H82" s="145">
        <f>ROUND(F82*G82,2)</f>
        <v/>
      </c>
    </row>
    <row r="83">
      <c r="A83" s="146">
        <f>A82+1</f>
        <v/>
      </c>
      <c r="B83" s="157" t="n"/>
      <c r="C83" s="142" t="inlineStr">
        <is>
          <t>14.4.02.09-0001</t>
        </is>
      </c>
      <c r="D83" s="143" t="inlineStr">
        <is>
          <t>Краска</t>
        </is>
      </c>
      <c r="E83" s="268" t="inlineStr">
        <is>
          <t>кг</t>
        </is>
      </c>
      <c r="F83" s="268" t="n">
        <v>2.061</v>
      </c>
      <c r="G83" s="145" t="n">
        <v>28.6</v>
      </c>
      <c r="H83" s="145">
        <f>ROUND(F83*G83,2)</f>
        <v/>
      </c>
    </row>
    <row r="84">
      <c r="A84" s="146">
        <f>A83+1</f>
        <v/>
      </c>
      <c r="B84" s="157" t="n"/>
      <c r="C84" s="142" t="inlineStr">
        <is>
          <t>01.7.11.07-0034</t>
        </is>
      </c>
      <c r="D84" s="143" t="inlineStr">
        <is>
          <t>Электроды сварочные Э42А, диаметр 4 мм</t>
        </is>
      </c>
      <c r="E84" s="268" t="inlineStr">
        <is>
          <t>кг</t>
        </is>
      </c>
      <c r="F84" s="268" t="n">
        <v>4.851</v>
      </c>
      <c r="G84" s="145" t="n">
        <v>10.57</v>
      </c>
      <c r="H84" s="145">
        <f>ROUND(F84*G84,2)</f>
        <v/>
      </c>
    </row>
    <row r="85" ht="25.5" customHeight="1" s="204">
      <c r="A85" s="146">
        <f>A84+1</f>
        <v/>
      </c>
      <c r="B85" s="157" t="n"/>
      <c r="C85" s="142" t="inlineStr">
        <is>
          <t>01.3.01.06-0050</t>
        </is>
      </c>
      <c r="D85" s="143" t="inlineStr">
        <is>
          <t>Смазка универсальная тугоплавкая УТ (консталин жировой)</t>
        </is>
      </c>
      <c r="E85" s="268" t="inlineStr">
        <is>
          <t>т</t>
        </is>
      </c>
      <c r="F85" s="268" t="n">
        <v>0.00246</v>
      </c>
      <c r="G85" s="145" t="n">
        <v>17500</v>
      </c>
      <c r="H85" s="145">
        <f>ROUND(F85*G85,2)</f>
        <v/>
      </c>
    </row>
    <row r="86">
      <c r="A86" s="146">
        <f>A85+1</f>
        <v/>
      </c>
      <c r="B86" s="157" t="n"/>
      <c r="C86" s="142" t="inlineStr">
        <is>
          <t>999-9950</t>
        </is>
      </c>
      <c r="D86" s="143" t="inlineStr">
        <is>
          <t>Вспомогательные ненормируемые материалы</t>
        </is>
      </c>
      <c r="E86" s="268" t="inlineStr">
        <is>
          <t>руб</t>
        </is>
      </c>
      <c r="F86" s="268" t="n">
        <v>26.8719</v>
      </c>
      <c r="G86" s="145" t="n">
        <v>1</v>
      </c>
      <c r="H86" s="145">
        <f>ROUND(F86*G86,2)</f>
        <v/>
      </c>
    </row>
    <row r="87" ht="25.5" customHeight="1" s="204">
      <c r="A87" s="146">
        <f>A86+1</f>
        <v/>
      </c>
      <c r="B87" s="157" t="n"/>
      <c r="C87" s="142" t="inlineStr">
        <is>
          <t>11.1.03.06-0095</t>
        </is>
      </c>
      <c r="D87" s="143" t="inlineStr">
        <is>
          <t>Доска обрезная, хвойных пород, ширина 75-150 мм, толщина 44 мм и более, длина 4-6,5 м, сорт III</t>
        </is>
      </c>
      <c r="E87" s="268" t="inlineStr">
        <is>
          <t>м3</t>
        </is>
      </c>
      <c r="F87" s="268" t="n">
        <v>0.02346</v>
      </c>
      <c r="G87" s="145" t="n">
        <v>1056</v>
      </c>
      <c r="H87" s="145">
        <f>ROUND(F87*G87,2)</f>
        <v/>
      </c>
    </row>
    <row r="88">
      <c r="A88" s="146">
        <f>A87+1</f>
        <v/>
      </c>
      <c r="B88" s="157" t="n"/>
      <c r="C88" s="142" t="inlineStr">
        <is>
          <t>01.7.15.07-0014</t>
        </is>
      </c>
      <c r="D88" s="143" t="inlineStr">
        <is>
          <t>Дюбели распорные полипропиленовые</t>
        </is>
      </c>
      <c r="E88" s="268" t="inlineStr">
        <is>
          <t>100 шт.</t>
        </is>
      </c>
      <c r="F88" s="268" t="n">
        <v>0.2448</v>
      </c>
      <c r="G88" s="145" t="n">
        <v>86</v>
      </c>
      <c r="H88" s="145">
        <f>ROUND(F88*G88,2)</f>
        <v/>
      </c>
    </row>
    <row r="89" ht="63.75" customHeight="1" s="204">
      <c r="A89" s="146">
        <f>A88+1</f>
        <v/>
      </c>
      <c r="B89" s="157" t="n"/>
      <c r="C89" s="142" t="inlineStr">
        <is>
          <t>08.4.01.02-0014</t>
        </is>
      </c>
      <c r="D89" s="143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приваренными к стержням каркасов и сеток</t>
        </is>
      </c>
      <c r="E89" s="268" t="inlineStr">
        <is>
          <t>т</t>
        </is>
      </c>
      <c r="F89" s="268" t="n">
        <v>0.002</v>
      </c>
      <c r="G89" s="145" t="n">
        <v>8073</v>
      </c>
      <c r="H89" s="145">
        <f>ROUND(F89*G89,2)</f>
        <v/>
      </c>
    </row>
    <row r="90">
      <c r="A90" s="146">
        <f>A89+1</f>
        <v/>
      </c>
      <c r="B90" s="157" t="n"/>
      <c r="C90" s="142" t="inlineStr">
        <is>
          <t>01.7.15.06-0111</t>
        </is>
      </c>
      <c r="D90" s="143" t="inlineStr">
        <is>
          <t>Гвозди строительные</t>
        </is>
      </c>
      <c r="E90" s="268" t="inlineStr">
        <is>
          <t>т</t>
        </is>
      </c>
      <c r="F90" s="268" t="n">
        <v>0.001258</v>
      </c>
      <c r="G90" s="145" t="n">
        <v>11978</v>
      </c>
      <c r="H90" s="145">
        <f>ROUND(F90*G90,2)</f>
        <v/>
      </c>
    </row>
    <row r="91" ht="25.5" customHeight="1" s="204">
      <c r="A91" s="146">
        <f>A90+1</f>
        <v/>
      </c>
      <c r="B91" s="157" t="n"/>
      <c r="C91" s="142" t="inlineStr">
        <is>
          <t>11.1.02.04-0031</t>
        </is>
      </c>
      <c r="D91" s="143" t="inlineStr">
        <is>
          <t>Лесоматериалы круглые, хвойных пород, для строительства, диаметр 14-24 см, длина 3-6,5 м</t>
        </is>
      </c>
      <c r="E91" s="268" t="inlineStr">
        <is>
          <t>м3</t>
        </is>
      </c>
      <c r="F91" s="268" t="n">
        <v>0.02346</v>
      </c>
      <c r="G91" s="145" t="n">
        <v>558.33</v>
      </c>
      <c r="H91" s="145">
        <f>ROUND(F91*G91,2)</f>
        <v/>
      </c>
    </row>
    <row r="92">
      <c r="A92" s="146">
        <f>A91+1</f>
        <v/>
      </c>
      <c r="B92" s="157" t="n"/>
      <c r="C92" s="142" t="inlineStr">
        <is>
          <t>01.7.20.08-0031</t>
        </is>
      </c>
      <c r="D92" s="143" t="inlineStr">
        <is>
          <t>Бязь суровая</t>
        </is>
      </c>
      <c r="E92" s="268" t="inlineStr">
        <is>
          <t>10 м2</t>
        </is>
      </c>
      <c r="F92" s="268" t="n">
        <v>0.1386</v>
      </c>
      <c r="G92" s="145" t="n">
        <v>79.09999999999999</v>
      </c>
      <c r="H92" s="145">
        <f>ROUND(F92*G92,2)</f>
        <v/>
      </c>
    </row>
    <row r="93">
      <c r="A93" s="146">
        <f>A92+1</f>
        <v/>
      </c>
      <c r="B93" s="157" t="n"/>
      <c r="C93" s="142" t="inlineStr">
        <is>
          <t>07.2.07.02-0001</t>
        </is>
      </c>
      <c r="D93" s="143" t="inlineStr">
        <is>
          <t>Кондуктор инвентарный металлический</t>
        </is>
      </c>
      <c r="E93" s="268" t="inlineStr">
        <is>
          <t>шт.</t>
        </is>
      </c>
      <c r="F93" s="268" t="n">
        <v>0.03055</v>
      </c>
      <c r="G93" s="145" t="n">
        <v>346</v>
      </c>
      <c r="H93" s="145">
        <f>ROUND(F93*G93,2)</f>
        <v/>
      </c>
    </row>
    <row r="94">
      <c r="A94" s="146">
        <f>A93+1</f>
        <v/>
      </c>
      <c r="B94" s="157" t="n"/>
      <c r="C94" s="142" t="inlineStr">
        <is>
          <t>14.5.09.07-0029</t>
        </is>
      </c>
      <c r="D94" s="143" t="inlineStr">
        <is>
          <t>Растворитель марки: Р-4</t>
        </is>
      </c>
      <c r="E94" s="268" t="inlineStr">
        <is>
          <t>т</t>
        </is>
      </c>
      <c r="F94" s="268" t="n">
        <v>0.001104</v>
      </c>
      <c r="G94" s="145" t="n">
        <v>9420</v>
      </c>
      <c r="H94" s="145">
        <f>ROUND(F94*G94,2)</f>
        <v/>
      </c>
    </row>
    <row r="95">
      <c r="A95" s="146">
        <f>A94+1</f>
        <v/>
      </c>
      <c r="B95" s="157" t="n"/>
      <c r="C95" s="142" t="inlineStr">
        <is>
          <t>01.3.01.03-0002</t>
        </is>
      </c>
      <c r="D95" s="143" t="inlineStr">
        <is>
          <t>Керосин для технических целей</t>
        </is>
      </c>
      <c r="E95" s="268" t="inlineStr">
        <is>
          <t>т</t>
        </is>
      </c>
      <c r="F95" s="268" t="n">
        <v>0.003624</v>
      </c>
      <c r="G95" s="145" t="n">
        <v>2606.9</v>
      </c>
      <c r="H95" s="145">
        <f>ROUND(F95*G95,2)</f>
        <v/>
      </c>
    </row>
    <row r="96" ht="25.5" customHeight="1" s="204">
      <c r="A96" s="146">
        <f>A95+1</f>
        <v/>
      </c>
      <c r="B96" s="157" t="n"/>
      <c r="C96" s="142" t="inlineStr">
        <is>
          <t>11.1.03.06-0087</t>
        </is>
      </c>
      <c r="D96" s="143" t="inlineStr">
        <is>
          <t>Доска обрезная, хвойных пород, ширина 75-150 мм, толщина 25 мм, длина 4-6,5 м, сорт III</t>
        </is>
      </c>
      <c r="E96" s="268" t="inlineStr">
        <is>
          <t>м3</t>
        </is>
      </c>
      <c r="F96" s="268" t="n">
        <v>0.0068</v>
      </c>
      <c r="G96" s="145" t="n">
        <v>1100</v>
      </c>
      <c r="H96" s="145">
        <f>ROUND(F96*G96,2)</f>
        <v/>
      </c>
    </row>
    <row r="97" ht="25.5" customHeight="1" s="204">
      <c r="A97" s="146">
        <f>A96+1</f>
        <v/>
      </c>
      <c r="B97" s="157" t="n"/>
      <c r="C97" s="142" t="inlineStr">
        <is>
          <t>08.3.03.06-0002</t>
        </is>
      </c>
      <c r="D97" s="143" t="inlineStr">
        <is>
          <t>Проволока горячекатаная в мотках, диаметр 6,3-6,5 мм</t>
        </is>
      </c>
      <c r="E97" s="268" t="inlineStr">
        <is>
          <t>т</t>
        </is>
      </c>
      <c r="F97" s="268" t="n">
        <v>0.00136</v>
      </c>
      <c r="G97" s="145" t="n">
        <v>4455.2</v>
      </c>
      <c r="H97" s="145">
        <f>ROUND(F97*G97,2)</f>
        <v/>
      </c>
    </row>
    <row r="98">
      <c r="A98" s="146">
        <f>A97+1</f>
        <v/>
      </c>
      <c r="B98" s="157" t="n"/>
      <c r="C98" s="142" t="inlineStr">
        <is>
          <t>20.1.02.23-0082</t>
        </is>
      </c>
      <c r="D98" s="143" t="inlineStr">
        <is>
          <t>Перемычки гибкие, тип ПГС-50</t>
        </is>
      </c>
      <c r="E98" s="268" t="inlineStr">
        <is>
          <t>10 шт.</t>
        </is>
      </c>
      <c r="F98" s="268" t="n">
        <v>0.1</v>
      </c>
      <c r="G98" s="145" t="n">
        <v>39</v>
      </c>
      <c r="H98" s="145">
        <f>ROUND(F98*G98,2)</f>
        <v/>
      </c>
    </row>
    <row r="99">
      <c r="A99" s="146">
        <f>A98+1</f>
        <v/>
      </c>
      <c r="B99" s="157" t="n"/>
      <c r="C99" s="142" t="inlineStr">
        <is>
          <t>14.4.03.13-0002</t>
        </is>
      </c>
      <c r="D99" s="143" t="inlineStr">
        <is>
          <t>Лак ХВ-784</t>
        </is>
      </c>
      <c r="E99" s="268" t="inlineStr">
        <is>
          <t>т</t>
        </is>
      </c>
      <c r="F99" s="268" t="n">
        <v>0.000208</v>
      </c>
      <c r="G99" s="145" t="n">
        <v>18460</v>
      </c>
      <c r="H99" s="145">
        <f>ROUND(F99*G99,2)</f>
        <v/>
      </c>
    </row>
    <row r="100" ht="25.5" customHeight="1" s="204">
      <c r="A100" s="146">
        <f>A99+1</f>
        <v/>
      </c>
      <c r="B100" s="157" t="n"/>
      <c r="C100" s="142" t="inlineStr">
        <is>
          <t>11.1.03.01-0079</t>
        </is>
      </c>
      <c r="D100" s="143" t="inlineStr">
        <is>
          <t>Бруски обрезные, хвойных пород, длина 4-6,5 м, ширина 75-150 мм, толщина 40-75 мм, сорт III</t>
        </is>
      </c>
      <c r="E100" s="268" t="inlineStr">
        <is>
          <t>м3</t>
        </is>
      </c>
      <c r="F100" s="268" t="n">
        <v>0.00272</v>
      </c>
      <c r="G100" s="145" t="n">
        <v>1287</v>
      </c>
      <c r="H100" s="145">
        <f>ROUND(F100*G100,2)</f>
        <v/>
      </c>
    </row>
    <row r="101">
      <c r="A101" s="146">
        <f>A100+1</f>
        <v/>
      </c>
      <c r="B101" s="157" t="n"/>
      <c r="C101" s="142" t="inlineStr">
        <is>
          <t>01.7.11.07-0054</t>
        </is>
      </c>
      <c r="D101" s="143" t="inlineStr">
        <is>
          <t>Электроды сварочные Э42, диаметр 6 мм</t>
        </is>
      </c>
      <c r="E101" s="268" t="inlineStr">
        <is>
          <t>т</t>
        </is>
      </c>
      <c r="F101" s="268" t="n">
        <v>0.000136</v>
      </c>
      <c r="G101" s="145" t="n">
        <v>9424</v>
      </c>
      <c r="H101" s="145">
        <f>ROUND(F101*G101,2)</f>
        <v/>
      </c>
    </row>
    <row r="102">
      <c r="A102" s="146">
        <f>A101+1</f>
        <v/>
      </c>
      <c r="B102" s="157" t="n"/>
      <c r="C102" s="142" t="inlineStr">
        <is>
          <t>01.7.07.12-0024</t>
        </is>
      </c>
      <c r="D102" s="143" t="inlineStr">
        <is>
          <t>Пленка полиэтиленовая, толщина 0,15 мм</t>
        </is>
      </c>
      <c r="E102" s="268" t="inlineStr">
        <is>
          <t>м2</t>
        </is>
      </c>
      <c r="F102" s="268" t="n">
        <v>0.3434</v>
      </c>
      <c r="G102" s="145" t="n">
        <v>3.62</v>
      </c>
      <c r="H102" s="145">
        <f>ROUND(F102*G102,2)</f>
        <v/>
      </c>
    </row>
    <row r="103">
      <c r="A103" s="146">
        <f>A102+1</f>
        <v/>
      </c>
      <c r="B103" s="157" t="n"/>
      <c r="C103" s="142" t="inlineStr">
        <is>
          <t>03.1.02.03-0011</t>
        </is>
      </c>
      <c r="D103" s="143" t="inlineStr">
        <is>
          <t>Известь строительная негашеная комовая, сорт I</t>
        </is>
      </c>
      <c r="E103" s="268" t="inlineStr">
        <is>
          <t>т</t>
        </is>
      </c>
      <c r="F103" s="268" t="n">
        <v>0.001564</v>
      </c>
      <c r="G103" s="145" t="n">
        <v>734.5</v>
      </c>
      <c r="H103" s="145">
        <f>ROUND(F103*G103,2)</f>
        <v/>
      </c>
    </row>
    <row r="104">
      <c r="A104" s="146">
        <f>A103+1</f>
        <v/>
      </c>
      <c r="B104" s="157" t="n"/>
      <c r="C104" s="142" t="inlineStr">
        <is>
          <t>01.7.11.07-0032</t>
        </is>
      </c>
      <c r="D104" s="143" t="inlineStr">
        <is>
          <t>Электроды сварочные Э42, диаметр 4 мм</t>
        </is>
      </c>
      <c r="E104" s="268" t="inlineStr">
        <is>
          <t>т</t>
        </is>
      </c>
      <c r="F104" s="268" t="n">
        <v>0.00011</v>
      </c>
      <c r="G104" s="145" t="n">
        <v>10315.01</v>
      </c>
      <c r="H104" s="145">
        <f>ROUND(F104*G104,2)</f>
        <v/>
      </c>
    </row>
    <row r="105">
      <c r="A105" s="146">
        <f>A104+1</f>
        <v/>
      </c>
      <c r="B105" s="157" t="n"/>
      <c r="C105" s="142" t="inlineStr">
        <is>
          <t>01.7.03.01-0001</t>
        </is>
      </c>
      <c r="D105" s="143" t="inlineStr">
        <is>
          <t>Вода</t>
        </is>
      </c>
      <c r="E105" s="268" t="inlineStr">
        <is>
          <t>м3</t>
        </is>
      </c>
      <c r="F105" s="268" t="n">
        <v>0.464258</v>
      </c>
      <c r="G105" s="145" t="n">
        <v>2.44</v>
      </c>
      <c r="H105" s="145">
        <f>ROUND(F105*G105,2)</f>
        <v/>
      </c>
    </row>
    <row r="106">
      <c r="A106" s="146">
        <f>A105+1</f>
        <v/>
      </c>
      <c r="B106" s="157" t="n"/>
      <c r="C106" s="142" t="inlineStr">
        <is>
          <t>24.3.01.01-0001</t>
        </is>
      </c>
      <c r="D106" s="143" t="inlineStr">
        <is>
          <t>Трубка ХВТ</t>
        </is>
      </c>
      <c r="E106" s="268" t="inlineStr">
        <is>
          <t>кг</t>
        </is>
      </c>
      <c r="F106" s="268" t="n">
        <v>0.016</v>
      </c>
      <c r="G106" s="145" t="n">
        <v>41.7</v>
      </c>
      <c r="H106" s="145">
        <f>ROUND(F106*G106,2)</f>
        <v/>
      </c>
    </row>
    <row r="107">
      <c r="A107" s="146">
        <f>A106+1</f>
        <v/>
      </c>
      <c r="B107" s="157" t="n"/>
      <c r="C107" s="142" t="inlineStr">
        <is>
          <t>01.7.06.07-0001</t>
        </is>
      </c>
      <c r="D107" s="143" t="inlineStr">
        <is>
          <t>Лента К226</t>
        </is>
      </c>
      <c r="E107" s="268" t="inlineStr">
        <is>
          <t>100 м</t>
        </is>
      </c>
      <c r="F107" s="268" t="n">
        <v>0.0048</v>
      </c>
      <c r="G107" s="145" t="n">
        <v>120</v>
      </c>
      <c r="H107" s="145">
        <f>ROUND(F107*G107,2)</f>
        <v/>
      </c>
    </row>
    <row r="108">
      <c r="A108" s="146">
        <f>A107+1</f>
        <v/>
      </c>
      <c r="B108" s="157" t="n"/>
      <c r="C108" s="142" t="inlineStr">
        <is>
          <t>01.2.01.02-0054</t>
        </is>
      </c>
      <c r="D108" s="143" t="inlineStr">
        <is>
          <t>Битумы нефтяные строительные БН-90/10</t>
        </is>
      </c>
      <c r="E108" s="268" t="inlineStr">
        <is>
          <t>т</t>
        </is>
      </c>
      <c r="F108" s="268" t="n">
        <v>0.000416</v>
      </c>
      <c r="G108" s="145" t="n">
        <v>1383.1</v>
      </c>
      <c r="H108" s="145">
        <f>ROUND(F108*G108,2)</f>
        <v/>
      </c>
    </row>
    <row r="109" ht="38.25" customHeight="1" s="204">
      <c r="A109" s="146">
        <f>A108+1</f>
        <v/>
      </c>
      <c r="B109" s="157" t="n"/>
      <c r="C109" s="142" t="inlineStr">
        <is>
          <t>01.7.15.14-0043</t>
        </is>
      </c>
      <c r="D109" s="143" t="inlineStr">
        <is>
          <t>Шурупы самонарезающий прокалывающий, для крепления металлических профилей или листовых деталей 3,5/11 мм</t>
        </is>
      </c>
      <c r="E109" s="268" t="inlineStr">
        <is>
          <t>100 шт.</t>
        </is>
      </c>
      <c r="F109" s="268" t="n">
        <v>0.2448</v>
      </c>
      <c r="G109" s="145" t="n">
        <v>2</v>
      </c>
      <c r="H109" s="145">
        <f>ROUND(F109*G109,2)</f>
        <v/>
      </c>
    </row>
    <row r="110">
      <c r="A110" s="146">
        <f>A109+1</f>
        <v/>
      </c>
      <c r="B110" s="157" t="n"/>
      <c r="C110" s="142" t="inlineStr">
        <is>
          <t>01.7.20.08-0051</t>
        </is>
      </c>
      <c r="D110" s="143" t="inlineStr">
        <is>
          <t>Ветошь</t>
        </is>
      </c>
      <c r="E110" s="268" t="inlineStr">
        <is>
          <t>кг</t>
        </is>
      </c>
      <c r="F110" s="268" t="n">
        <v>0.0151</v>
      </c>
      <c r="G110" s="145" t="n">
        <v>1.82</v>
      </c>
      <c r="H110" s="145">
        <f>ROUND(F110*G110,2)</f>
        <v/>
      </c>
    </row>
    <row r="111">
      <c r="K111" s="186" t="n"/>
    </row>
    <row r="112" ht="25.5" customHeight="1" s="204">
      <c r="B112" s="151" t="inlineStr">
        <is>
          <t xml:space="preserve">Примечание: </t>
        </is>
      </c>
      <c r="C112" s="244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116">
      <c r="B116" s="205" t="inlineStr">
        <is>
          <t>Составил ______________________        Е. М. Добровольская</t>
        </is>
      </c>
      <c r="C116" s="215" t="n"/>
    </row>
    <row r="117">
      <c r="B117" s="216" t="inlineStr">
        <is>
          <t xml:space="preserve">                         (подпись, инициалы, фамилия)</t>
        </is>
      </c>
      <c r="C117" s="215" t="n"/>
    </row>
    <row r="118">
      <c r="B118" s="205" t="n"/>
      <c r="C118" s="215" t="n"/>
    </row>
    <row r="119">
      <c r="B119" s="205" t="inlineStr">
        <is>
          <t>Проверил ______________________        А.В. Костянецкая</t>
        </is>
      </c>
      <c r="C119" s="215" t="n"/>
    </row>
    <row r="120">
      <c r="B120" s="216" t="inlineStr">
        <is>
          <t xml:space="preserve">                        (подпись, инициалы, фамилия)</t>
        </is>
      </c>
      <c r="C120" s="215" t="n"/>
    </row>
  </sheetData>
  <mergeCells count="17">
    <mergeCell ref="C9:C10"/>
    <mergeCell ref="B9:B10"/>
    <mergeCell ref="A12:E12"/>
    <mergeCell ref="A3:H3"/>
    <mergeCell ref="E9:E10"/>
    <mergeCell ref="A26:E26"/>
    <mergeCell ref="A24:E24"/>
    <mergeCell ref="A54:E54"/>
    <mergeCell ref="A7:H7"/>
    <mergeCell ref="F9:F10"/>
    <mergeCell ref="C5:H5"/>
    <mergeCell ref="A2:H2"/>
    <mergeCell ref="A9:A10"/>
    <mergeCell ref="D9:D10"/>
    <mergeCell ref="A51:E51"/>
    <mergeCell ref="G9:H9"/>
    <mergeCell ref="C112:H112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5" sqref="B45"/>
    </sheetView>
  </sheetViews>
  <sheetFormatPr baseColWidth="8" defaultRowHeight="15"/>
  <cols>
    <col width="4.140625" customWidth="1" style="204" min="1" max="1"/>
    <col width="36.28515625" customWidth="1" style="204" min="2" max="2"/>
    <col width="18.85546875" customWidth="1" style="204" min="3" max="3"/>
    <col width="18.28515625" customWidth="1" style="204" min="4" max="4"/>
    <col width="18.85546875" customWidth="1" style="204" min="5" max="5"/>
    <col width="9.140625" customWidth="1" style="204" min="6" max="6"/>
    <col width="12.85546875" customWidth="1" style="204" min="7" max="7"/>
    <col width="9.140625" customWidth="1" style="204" min="8" max="11"/>
    <col width="13.5703125" customWidth="1" style="204" min="12" max="12"/>
    <col width="9.140625" customWidth="1" style="204" min="13" max="13"/>
  </cols>
  <sheetData>
    <row r="1">
      <c r="B1" s="205" t="n"/>
      <c r="C1" s="205" t="n"/>
      <c r="D1" s="205" t="n"/>
      <c r="E1" s="205" t="n"/>
    </row>
    <row r="2">
      <c r="B2" s="205" t="n"/>
      <c r="C2" s="205" t="n"/>
      <c r="D2" s="205" t="n"/>
      <c r="E2" s="267" t="inlineStr">
        <is>
          <t>Приложение № 4</t>
        </is>
      </c>
    </row>
    <row r="3">
      <c r="B3" s="205" t="n"/>
      <c r="C3" s="205" t="n"/>
      <c r="D3" s="205" t="n"/>
      <c r="E3" s="205" t="n"/>
    </row>
    <row r="4">
      <c r="B4" s="205" t="n"/>
      <c r="C4" s="205" t="n"/>
      <c r="D4" s="205" t="n"/>
      <c r="E4" s="205" t="n"/>
    </row>
    <row r="5">
      <c r="B5" s="226" t="inlineStr">
        <is>
          <t>Ресурсная модель</t>
        </is>
      </c>
    </row>
    <row r="6">
      <c r="B6" s="118" t="n"/>
      <c r="C6" s="205" t="n"/>
      <c r="D6" s="205" t="n"/>
      <c r="E6" s="205" t="n"/>
    </row>
    <row r="7" ht="34.5" customHeight="1" s="204">
      <c r="B7" s="246">
        <f>'Прил.1 Сравнит табл'!B7</f>
        <v/>
      </c>
    </row>
    <row r="8">
      <c r="B8" s="247">
        <f>'Прил.1 Сравнит табл'!B9</f>
        <v/>
      </c>
    </row>
    <row r="9">
      <c r="B9" s="118" t="n"/>
      <c r="C9" s="205" t="n"/>
      <c r="D9" s="205" t="n"/>
      <c r="E9" s="205" t="n"/>
    </row>
    <row r="10" ht="51" customHeight="1" s="204">
      <c r="B10" s="249" t="inlineStr">
        <is>
          <t>Наименование</t>
        </is>
      </c>
      <c r="C10" s="249" t="inlineStr">
        <is>
          <t>Сметная стоимость в ценах на 01.01.2023
 (руб.)</t>
        </is>
      </c>
      <c r="D10" s="249" t="inlineStr">
        <is>
          <t>Удельный вес, 
(в СМР)</t>
        </is>
      </c>
      <c r="E10" s="24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10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10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10">
        <f>'Прил.5 Расчет СМР и ОБ'!J44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10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10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10">
        <f>'Прил.5 Расчет СМР и ОБ'!J65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10">
        <f>'Прил.5 Расчет СМР и ОБ'!J113</f>
        <v/>
      </c>
      <c r="D17" s="27">
        <f>C17/$C$24</f>
        <v/>
      </c>
      <c r="E17" s="27">
        <f>C17/$C$40</f>
        <v/>
      </c>
      <c r="G17" s="119" t="n"/>
    </row>
    <row r="18">
      <c r="B18" s="25" t="inlineStr">
        <is>
          <t>МАТЕРИАЛЫ, ВСЕГО:</t>
        </is>
      </c>
      <c r="C18" s="210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10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10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ОБ'!E117</f>
        <v/>
      </c>
      <c r="D21" s="27" t="n"/>
      <c r="E21" s="25" t="n"/>
    </row>
    <row r="22">
      <c r="B22" s="25" t="inlineStr">
        <is>
          <t>Накладные расходы, руб.</t>
        </is>
      </c>
      <c r="C22" s="210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ОБ'!E116</f>
        <v/>
      </c>
      <c r="D23" s="27" t="n"/>
      <c r="E23" s="25" t="n"/>
    </row>
    <row r="24">
      <c r="B24" s="25" t="inlineStr">
        <is>
          <t>ВСЕГО СМР с НР и СП</t>
        </is>
      </c>
      <c r="C24" s="210">
        <f>C19+C20+C22</f>
        <v/>
      </c>
      <c r="D24" s="27">
        <f>C24/$C$24</f>
        <v/>
      </c>
      <c r="E24" s="27">
        <f>C24/$C$40</f>
        <v/>
      </c>
    </row>
    <row r="25" ht="25.5" customHeight="1" s="204">
      <c r="B25" s="25" t="inlineStr">
        <is>
          <t>ВСЕГО стоимость оборудования, в том числе</t>
        </is>
      </c>
      <c r="C25" s="210">
        <f>'Прил.5 Расчет СМР и ОБ'!J53</f>
        <v/>
      </c>
      <c r="D25" s="27" t="n"/>
      <c r="E25" s="27">
        <f>C25/$C$40</f>
        <v/>
      </c>
    </row>
    <row r="26" ht="25.5" customHeight="1" s="204">
      <c r="B26" s="25" t="inlineStr">
        <is>
          <t>стоимость оборудования технологического</t>
        </is>
      </c>
      <c r="C26" s="210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04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04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04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</row>
    <row r="31">
      <c r="B31" s="25" t="inlineStr">
        <is>
          <t>Пусконаладочные работы</t>
        </is>
      </c>
      <c r="C31" s="26">
        <f>81007.14*3</f>
        <v/>
      </c>
      <c r="D31" s="25" t="n"/>
      <c r="E31" s="27">
        <f>C31/$C$40</f>
        <v/>
      </c>
    </row>
    <row r="32" ht="25.5" customHeight="1" s="204">
      <c r="B32" s="25" t="inlineStr">
        <is>
          <t>Затраты по перевозке работников к месту работы и обратно</t>
        </is>
      </c>
      <c r="C32" s="26">
        <f>ROUND($C$27*0%,2)</f>
        <v/>
      </c>
      <c r="D32" s="25" t="n"/>
      <c r="E32" s="27">
        <f>C32/$C$40</f>
        <v/>
      </c>
    </row>
    <row r="33" ht="25.5" customHeight="1" s="204">
      <c r="B33" s="25" t="inlineStr">
        <is>
          <t>Затраты, связанные с осуществлением работ вахтовым методом</t>
        </is>
      </c>
      <c r="C33" s="26">
        <f>ROUND($C$27*0%,2)</f>
        <v/>
      </c>
      <c r="D33" s="25" t="n"/>
      <c r="E33" s="27">
        <f>C33/$C$40</f>
        <v/>
      </c>
    </row>
    <row r="34" ht="51" customHeight="1" s="204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ROUND($C$27*0%,2)</f>
        <v/>
      </c>
      <c r="D34" s="25" t="n"/>
      <c r="E34" s="27">
        <f>C34/$C$40</f>
        <v/>
      </c>
    </row>
    <row r="35" ht="76.5" customHeight="1" s="204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ROUND($C$27*0%,2)</f>
        <v/>
      </c>
      <c r="D35" s="25" t="n"/>
      <c r="E35" s="27">
        <f>C35/$C$40</f>
        <v/>
      </c>
    </row>
    <row r="36" ht="25.5" customHeight="1" s="204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58" t="n"/>
      <c r="L36" s="12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58" t="n"/>
      <c r="L37" s="120" t="n"/>
    </row>
    <row r="38" ht="38.25" customHeight="1" s="204">
      <c r="B38" s="25" t="inlineStr">
        <is>
          <t>ИТОГО (СМР+ОБОРУДОВАНИЕ+ПРОЧ. ЗАТР., УЧТЕННЫЕ ПОКАЗАТЕЛЕМ)</t>
        </is>
      </c>
      <c r="C38" s="210">
        <f>C27+C32+C33+C34+C35+C29+C31+C30+C36+C37</f>
        <v/>
      </c>
      <c r="D38" s="25" t="n"/>
      <c r="E38" s="27">
        <f>C38/$C$40</f>
        <v/>
      </c>
    </row>
    <row r="39" ht="13.5" customHeight="1" s="204">
      <c r="B39" s="25" t="inlineStr">
        <is>
          <t>Непредвиденные расходы</t>
        </is>
      </c>
      <c r="C39" s="210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10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10">
        <f>C40/'Прил.5 Расчет СМР и ОБ'!E120</f>
        <v/>
      </c>
      <c r="D41" s="25" t="n"/>
      <c r="E41" s="25" t="n"/>
    </row>
    <row r="42">
      <c r="B42" s="212" t="n"/>
      <c r="C42" s="205" t="n"/>
      <c r="D42" s="205" t="n"/>
      <c r="E42" s="205" t="n"/>
    </row>
    <row r="43">
      <c r="B43" s="205" t="inlineStr">
        <is>
          <t>Составил ______________________        Е. М. Добровольская</t>
        </is>
      </c>
      <c r="C43" s="215" t="n"/>
      <c r="D43" s="205" t="n"/>
      <c r="E43" s="205" t="n"/>
    </row>
    <row r="44">
      <c r="B44" s="216" t="inlineStr">
        <is>
          <t xml:space="preserve">                         (подпись, инициалы, фамилия)</t>
        </is>
      </c>
      <c r="C44" s="215" t="n"/>
      <c r="D44" s="205" t="n"/>
      <c r="E44" s="205" t="n"/>
    </row>
    <row r="45">
      <c r="B45" s="205" t="n"/>
      <c r="C45" s="215" t="n"/>
      <c r="D45" s="205" t="n"/>
      <c r="E45" s="205" t="n"/>
    </row>
    <row r="46">
      <c r="B46" s="205" t="inlineStr">
        <is>
          <t>Проверил ______________________        А.В. Костянецкая</t>
        </is>
      </c>
      <c r="C46" s="215" t="n"/>
      <c r="D46" s="205" t="n"/>
      <c r="E46" s="205" t="n"/>
    </row>
    <row r="47">
      <c r="B47" s="216" t="inlineStr">
        <is>
          <t xml:space="preserve">                        (подпись, инициалы, фамилия)</t>
        </is>
      </c>
      <c r="C47" s="215" t="n"/>
      <c r="D47" s="205" t="n"/>
      <c r="E47" s="205" t="n"/>
    </row>
    <row r="49">
      <c r="B49" s="205" t="n"/>
      <c r="C49" s="205" t="n"/>
      <c r="D49" s="205" t="n"/>
      <c r="E49" s="205" t="n"/>
    </row>
    <row r="50">
      <c r="B50" s="205" t="n"/>
      <c r="C50" s="205" t="n"/>
      <c r="D50" s="205" t="n"/>
      <c r="E50" s="20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128"/>
  <sheetViews>
    <sheetView tabSelected="1" view="pageBreakPreview" topLeftCell="A61" zoomScale="85" workbookViewId="0">
      <selection activeCell="B124" sqref="B124"/>
    </sheetView>
  </sheetViews>
  <sheetFormatPr baseColWidth="8" defaultColWidth="9.140625" defaultRowHeight="15" outlineLevelRow="1"/>
  <cols>
    <col width="5.7109375" customWidth="1" style="215" min="1" max="1"/>
    <col width="22.5703125" customWidth="1" style="215" min="2" max="2"/>
    <col width="39.140625" customWidth="1" style="215" min="3" max="3"/>
    <col width="10.7109375" customWidth="1" style="215" min="4" max="4"/>
    <col width="12.7109375" customWidth="1" style="215" min="5" max="5"/>
    <col width="14.5703125" customWidth="1" style="215" min="6" max="6"/>
    <col width="13.42578125" customWidth="1" style="215" min="7" max="7"/>
    <col width="12.7109375" customWidth="1" style="215" min="8" max="8"/>
    <col width="14.5703125" customWidth="1" style="215" min="9" max="9"/>
    <col width="15.140625" customWidth="1" style="215" min="10" max="10"/>
    <col width="3.7109375" customWidth="1" style="215" min="11" max="11"/>
    <col width="9.42578125" customWidth="1" style="215" min="12" max="12"/>
    <col width="10.85546875" customWidth="1" style="215" min="13" max="13"/>
    <col width="9.140625" customWidth="1" style="215" min="14" max="14"/>
  </cols>
  <sheetData>
    <row r="2" ht="15.75" customHeight="1" s="204">
      <c r="I2" s="223" t="n"/>
      <c r="J2" s="163" t="inlineStr">
        <is>
          <t>Приложение №5</t>
        </is>
      </c>
    </row>
    <row r="4" ht="12.75" customFormat="1" customHeight="1" s="205">
      <c r="A4" s="226" t="inlineStr">
        <is>
          <t>Расчет стоимости СМР и оборудования</t>
        </is>
      </c>
      <c r="I4" s="226" t="n"/>
      <c r="J4" s="226" t="n"/>
    </row>
    <row r="5" ht="12.75" customFormat="1" customHeight="1" s="205">
      <c r="A5" s="226" t="n"/>
      <c r="B5" s="226" t="n"/>
      <c r="C5" s="226" t="n"/>
      <c r="D5" s="226" t="n"/>
      <c r="E5" s="226" t="n"/>
      <c r="F5" s="226" t="n"/>
      <c r="G5" s="226" t="n"/>
      <c r="H5" s="226" t="n"/>
      <c r="I5" s="226" t="n"/>
      <c r="J5" s="226" t="n"/>
    </row>
    <row r="6" ht="26.25" customFormat="1" customHeight="1" s="205">
      <c r="A6" s="229" t="inlineStr">
        <is>
          <t>Наименование разрабатываемого показателя УНЦ</t>
        </is>
      </c>
      <c r="D6" s="229" t="inlineStr">
        <is>
          <t>Однополюсный разъединитель с устройством фундамента напряжение 110 кВ</t>
        </is>
      </c>
    </row>
    <row r="7" ht="12.75" customFormat="1" customHeight="1" s="205">
      <c r="A7" s="229">
        <f>'Прил.1 Сравнит табл'!B9</f>
        <v/>
      </c>
      <c r="I7" s="246" t="n"/>
      <c r="J7" s="246" t="n"/>
    </row>
    <row r="8" ht="12.75" customFormat="1" customHeight="1" s="205"/>
    <row r="9" ht="27" customHeight="1" s="204">
      <c r="A9" s="249" t="inlineStr">
        <is>
          <t>№ пп.</t>
        </is>
      </c>
      <c r="B9" s="249" t="inlineStr">
        <is>
          <t>Код ресурса</t>
        </is>
      </c>
      <c r="C9" s="249" t="inlineStr">
        <is>
          <t>Наименование</t>
        </is>
      </c>
      <c r="D9" s="249" t="inlineStr">
        <is>
          <t>Ед. изм.</t>
        </is>
      </c>
      <c r="E9" s="249" t="inlineStr">
        <is>
          <t>Кол-во единиц по проектным данным</t>
        </is>
      </c>
      <c r="F9" s="249" t="inlineStr">
        <is>
          <t>Сметная стоимость в ценах на 01.01.2000 (руб.)</t>
        </is>
      </c>
      <c r="G9" s="319" t="n"/>
      <c r="H9" s="249" t="inlineStr">
        <is>
          <t>Удельный вес, %</t>
        </is>
      </c>
      <c r="I9" s="249" t="inlineStr">
        <is>
          <t>Сметная стоимость в ценах на 01.01.2023 (руб.)</t>
        </is>
      </c>
      <c r="J9" s="319" t="n"/>
    </row>
    <row r="10" ht="28.5" customHeight="1" s="204">
      <c r="A10" s="321" t="n"/>
      <c r="B10" s="321" t="n"/>
      <c r="C10" s="321" t="n"/>
      <c r="D10" s="321" t="n"/>
      <c r="E10" s="321" t="n"/>
      <c r="F10" s="249" t="inlineStr">
        <is>
          <t>на ед. изм.</t>
        </is>
      </c>
      <c r="G10" s="249" t="inlineStr">
        <is>
          <t>общая</t>
        </is>
      </c>
      <c r="H10" s="321" t="n"/>
      <c r="I10" s="249" t="inlineStr">
        <is>
          <t>на ед. изм.</t>
        </is>
      </c>
      <c r="J10" s="249" t="inlineStr">
        <is>
          <t>общая</t>
        </is>
      </c>
    </row>
    <row r="11">
      <c r="A11" s="249" t="n">
        <v>1</v>
      </c>
      <c r="B11" s="249" t="n">
        <v>2</v>
      </c>
      <c r="C11" s="249" t="n">
        <v>3</v>
      </c>
      <c r="D11" s="249" t="n">
        <v>4</v>
      </c>
      <c r="E11" s="249" t="n">
        <v>5</v>
      </c>
      <c r="F11" s="249" t="n">
        <v>6</v>
      </c>
      <c r="G11" s="249" t="n">
        <v>7</v>
      </c>
      <c r="H11" s="249" t="n">
        <v>8</v>
      </c>
      <c r="I11" s="249" t="n">
        <v>9</v>
      </c>
      <c r="J11" s="249" t="n">
        <v>10</v>
      </c>
    </row>
    <row r="12">
      <c r="A12" s="249" t="n"/>
      <c r="B12" s="245" t="inlineStr">
        <is>
          <t>Затраты труда рабочих-строителей</t>
        </is>
      </c>
      <c r="C12" s="318" t="n"/>
      <c r="D12" s="318" t="n"/>
      <c r="E12" s="318" t="n"/>
      <c r="F12" s="318" t="n"/>
      <c r="G12" s="318" t="n"/>
      <c r="H12" s="319" t="n"/>
      <c r="I12" s="195" t="n"/>
      <c r="J12" s="195" t="n"/>
    </row>
    <row r="13" ht="25.5" customHeight="1" s="204">
      <c r="A13" s="249" t="n">
        <v>1</v>
      </c>
      <c r="B13" s="154" t="inlineStr">
        <is>
          <t>1-3-9</t>
        </is>
      </c>
      <c r="C13" s="248" t="inlineStr">
        <is>
          <t>Затраты труда рабочих-строителей среднего разряда (3,9)</t>
        </is>
      </c>
      <c r="D13" s="249" t="inlineStr">
        <is>
          <t>чел.-ч.</t>
        </is>
      </c>
      <c r="E13" s="196" t="n">
        <v>258.17665615142</v>
      </c>
      <c r="F13" s="32" t="n">
        <v>9.51</v>
      </c>
      <c r="G13" s="32" t="n">
        <v>2455.26</v>
      </c>
      <c r="H13" s="252">
        <f>G13/G14</f>
        <v/>
      </c>
      <c r="I13" s="32">
        <f>ФОТр.тек.!E13</f>
        <v/>
      </c>
      <c r="J13" s="32">
        <f>ROUND(I13*E13,2)</f>
        <v/>
      </c>
    </row>
    <row r="14" ht="25.5" customFormat="1" customHeight="1" s="215">
      <c r="A14" s="249" t="n"/>
      <c r="B14" s="249" t="n"/>
      <c r="C14" s="245" t="inlineStr">
        <is>
          <t>Итого по разделу "Затраты труда рабочих-строителей"</t>
        </is>
      </c>
      <c r="D14" s="249" t="inlineStr">
        <is>
          <t>чел.-ч.</t>
        </is>
      </c>
      <c r="E14" s="196">
        <f>SUM(E13:E13)</f>
        <v/>
      </c>
      <c r="F14" s="32" t="n"/>
      <c r="G14" s="32">
        <f>SUM(G13:G13)</f>
        <v/>
      </c>
      <c r="H14" s="252" t="n">
        <v>1</v>
      </c>
      <c r="I14" s="32" t="n"/>
      <c r="J14" s="32">
        <f>SUM(J13:J13)</f>
        <v/>
      </c>
      <c r="K14" s="153" t="n"/>
      <c r="L14" s="190" t="n"/>
    </row>
    <row r="15" ht="14.25" customFormat="1" customHeight="1" s="215">
      <c r="A15" s="249" t="n"/>
      <c r="B15" s="248" t="inlineStr">
        <is>
          <t>Затраты труда машинистов</t>
        </is>
      </c>
      <c r="C15" s="318" t="n"/>
      <c r="D15" s="318" t="n"/>
      <c r="E15" s="318" t="n"/>
      <c r="F15" s="318" t="n"/>
      <c r="G15" s="318" t="n"/>
      <c r="H15" s="319" t="n"/>
      <c r="I15" s="195" t="n"/>
      <c r="J15" s="195" t="n"/>
    </row>
    <row r="16" ht="14.25" customFormat="1" customHeight="1" s="215">
      <c r="A16" s="249" t="n">
        <v>2</v>
      </c>
      <c r="B16" s="249" t="n">
        <v>2</v>
      </c>
      <c r="C16" s="248" t="inlineStr">
        <is>
          <t>Затраты труда машинистов</t>
        </is>
      </c>
      <c r="D16" s="249" t="inlineStr">
        <is>
          <t>чел.-ч.</t>
        </is>
      </c>
      <c r="E16" s="196" t="n">
        <v>62.52</v>
      </c>
      <c r="F16" s="32">
        <f>G16/E16</f>
        <v/>
      </c>
      <c r="G16" s="32" t="n">
        <v>544.17</v>
      </c>
      <c r="H16" s="252" t="n">
        <v>1</v>
      </c>
      <c r="I16" s="32">
        <f>ROUND(F16*Прил.10!D10,2)</f>
        <v/>
      </c>
      <c r="J16" s="32">
        <f>ROUND(I16*E16,2)</f>
        <v/>
      </c>
      <c r="L16" s="155" t="n"/>
    </row>
    <row r="17" ht="14.25" customFormat="1" customHeight="1" s="215">
      <c r="A17" s="249" t="n"/>
      <c r="B17" s="245" t="inlineStr">
        <is>
          <t>Машины и механизмы</t>
        </is>
      </c>
      <c r="C17" s="318" t="n"/>
      <c r="D17" s="318" t="n"/>
      <c r="E17" s="318" t="n"/>
      <c r="F17" s="318" t="n"/>
      <c r="G17" s="318" t="n"/>
      <c r="H17" s="319" t="n"/>
      <c r="I17" s="252" t="n"/>
      <c r="J17" s="252" t="n"/>
    </row>
    <row r="18" ht="14.25" customFormat="1" customHeight="1" s="215">
      <c r="A18" s="249" t="n"/>
      <c r="B18" s="248" t="inlineStr">
        <is>
          <t>Основные машины и механизмы</t>
        </is>
      </c>
      <c r="C18" s="318" t="n"/>
      <c r="D18" s="318" t="n"/>
      <c r="E18" s="318" t="n"/>
      <c r="F18" s="318" t="n"/>
      <c r="G18" s="318" t="n"/>
      <c r="H18" s="319" t="n"/>
      <c r="I18" s="195" t="n"/>
      <c r="J18" s="195" t="n"/>
    </row>
    <row r="19" ht="25.5" customFormat="1" customHeight="1" s="215">
      <c r="A19" s="249" t="n">
        <v>3</v>
      </c>
      <c r="B19" s="154" t="inlineStr">
        <is>
          <t>91.10.01-002</t>
        </is>
      </c>
      <c r="C19" s="248" t="inlineStr">
        <is>
          <t>Агрегаты наполнительно-опрессовочные до 300 м3/ч</t>
        </is>
      </c>
      <c r="D19" s="249" t="inlineStr">
        <is>
          <t>маш.-ч</t>
        </is>
      </c>
      <c r="E19" s="196" t="n">
        <v>5.1336</v>
      </c>
      <c r="F19" s="265" t="n">
        <v>287.99</v>
      </c>
      <c r="G19" s="32">
        <f>ROUND(E19*F19,2)</f>
        <v/>
      </c>
      <c r="H19" s="252">
        <f>G19/$G$45</f>
        <v/>
      </c>
      <c r="I19" s="32">
        <f>ROUND(F19*Прил.10!$D$11,2)</f>
        <v/>
      </c>
      <c r="J19" s="32">
        <f>ROUND(I19*E19,2)</f>
        <v/>
      </c>
    </row>
    <row r="20" ht="25.5" customFormat="1" customHeight="1" s="215">
      <c r="A20" s="249" t="n">
        <v>4</v>
      </c>
      <c r="B20" s="154" t="inlineStr">
        <is>
          <t>91.05.05-014</t>
        </is>
      </c>
      <c r="C20" s="248" t="inlineStr">
        <is>
          <t>Краны на автомобильном ходу, грузоподъемность 10 т</t>
        </is>
      </c>
      <c r="D20" s="249" t="inlineStr">
        <is>
          <t>маш.-ч</t>
        </is>
      </c>
      <c r="E20" s="196" t="n">
        <v>9.505687999999999</v>
      </c>
      <c r="F20" s="265" t="n">
        <v>111.99</v>
      </c>
      <c r="G20" s="32">
        <f>ROUND(E20*F20,2)</f>
        <v/>
      </c>
      <c r="H20" s="252">
        <f>G20/$G$45</f>
        <v/>
      </c>
      <c r="I20" s="32">
        <f>ROUND(F20*Прил.10!$D$11,2)</f>
        <v/>
      </c>
      <c r="J20" s="32">
        <f>ROUND(I20*E20,2)</f>
        <v/>
      </c>
    </row>
    <row r="21" ht="38.25" customFormat="1" customHeight="1" s="215">
      <c r="A21" s="249" t="n">
        <v>5</v>
      </c>
      <c r="B21" s="154" t="inlineStr">
        <is>
          <t>91.02.04-032</t>
        </is>
      </c>
      <c r="C21" s="248" t="inlineStr">
        <is>
          <t>Установки буровые для бурения скважин под сваи ковшового бурения, глубиной до 24 м, диаметром до 1200 мм</t>
        </is>
      </c>
      <c r="D21" s="249" t="inlineStr">
        <is>
          <t>маш.-ч</t>
        </is>
      </c>
      <c r="E21" s="196" t="n">
        <v>3.48</v>
      </c>
      <c r="F21" s="265" t="n">
        <v>166.23</v>
      </c>
      <c r="G21" s="32">
        <f>ROUND(E21*F21,2)</f>
        <v/>
      </c>
      <c r="H21" s="252">
        <f>G21/$G$45</f>
        <v/>
      </c>
      <c r="I21" s="32">
        <f>ROUND(F21*Прил.10!$D$11,2)</f>
        <v/>
      </c>
      <c r="J21" s="32">
        <f>ROUND(I21*E21,2)</f>
        <v/>
      </c>
    </row>
    <row r="22" ht="25.5" customFormat="1" customHeight="1" s="215">
      <c r="A22" s="249" t="n">
        <v>6</v>
      </c>
      <c r="B22" s="154" t="inlineStr">
        <is>
          <t>91.05.06-012</t>
        </is>
      </c>
      <c r="C22" s="248" t="inlineStr">
        <is>
          <t>Краны на гусеничном ходу, грузоподъемность до 16 т</t>
        </is>
      </c>
      <c r="D22" s="249" t="inlineStr">
        <is>
          <t>маш.-ч</t>
        </is>
      </c>
      <c r="E22" s="196" t="n">
        <v>5.10064</v>
      </c>
      <c r="F22" s="265" t="n">
        <v>96.89</v>
      </c>
      <c r="G22" s="32">
        <f>ROUND(E22*F22,2)</f>
        <v/>
      </c>
      <c r="H22" s="252">
        <f>G22/$G$45</f>
        <v/>
      </c>
      <c r="I22" s="32">
        <f>ROUND(F22*Прил.10!$D$11,2)</f>
        <v/>
      </c>
      <c r="J22" s="32">
        <f>ROUND(I22*E22,2)</f>
        <v/>
      </c>
    </row>
    <row r="23" ht="25.5" customFormat="1" customHeight="1" s="215">
      <c r="A23" s="249" t="n">
        <v>7</v>
      </c>
      <c r="B23" s="154" t="inlineStr">
        <is>
          <t>91.06.06-042</t>
        </is>
      </c>
      <c r="C23" s="248" t="inlineStr">
        <is>
          <t>Подъемники гидравлические высотой подъема: 10 м</t>
        </is>
      </c>
      <c r="D23" s="249" t="inlineStr">
        <is>
          <t>маш.-ч</t>
        </is>
      </c>
      <c r="E23" s="196" t="n">
        <v>14.2278</v>
      </c>
      <c r="F23" s="265" t="n">
        <v>29.6</v>
      </c>
      <c r="G23" s="32">
        <f>ROUND(E23*F23,2)</f>
        <v/>
      </c>
      <c r="H23" s="252">
        <f>G23/$G$45</f>
        <v/>
      </c>
      <c r="I23" s="32">
        <f>ROUND(F23*Прил.10!$D$11,2)</f>
        <v/>
      </c>
      <c r="J23" s="32">
        <f>ROUND(I23*E23,2)</f>
        <v/>
      </c>
    </row>
    <row r="24" ht="14.25" customFormat="1" customHeight="1" s="215">
      <c r="A24" s="249" t="n"/>
      <c r="B24" s="249" t="n"/>
      <c r="C24" s="248" t="inlineStr">
        <is>
          <t>Итого основные машины и механизмы</t>
        </is>
      </c>
      <c r="D24" s="249" t="n"/>
      <c r="E24" s="197" t="n"/>
      <c r="F24" s="32" t="n"/>
      <c r="G24" s="32">
        <f>SUM(G19:G23)</f>
        <v/>
      </c>
      <c r="H24" s="252">
        <f>G24/G45</f>
        <v/>
      </c>
      <c r="I24" s="32" t="n"/>
      <c r="J24" s="32">
        <f>SUM(J19:J23)</f>
        <v/>
      </c>
      <c r="L24" s="153" t="n"/>
    </row>
    <row r="25" outlineLevel="1" ht="25.5" customFormat="1" customHeight="1" s="215">
      <c r="A25" s="249" t="n">
        <v>8</v>
      </c>
      <c r="B25" s="154" t="inlineStr">
        <is>
          <t>91.14.03-001</t>
        </is>
      </c>
      <c r="C25" s="248" t="inlineStr">
        <is>
          <t>Автомобиль-самосвал, грузоподъемность до 7 т</t>
        </is>
      </c>
      <c r="D25" s="249" t="inlineStr">
        <is>
          <t>маш.-ч</t>
        </is>
      </c>
      <c r="E25" s="196" t="n">
        <v>0.00028</v>
      </c>
      <c r="F25" s="265" t="n">
        <v>89.54000000000001</v>
      </c>
      <c r="G25" s="32">
        <f>ROUND(E25*F25,2)</f>
        <v/>
      </c>
      <c r="H25" s="252">
        <f>G25/$G$45</f>
        <v/>
      </c>
      <c r="I25" s="32">
        <f>ROUND(F25*Прил.10!$D$11,2)</f>
        <v/>
      </c>
      <c r="J25" s="32">
        <f>ROUND(I25*E25,2)</f>
        <v/>
      </c>
      <c r="L25" s="153" t="n"/>
    </row>
    <row r="26" outlineLevel="1" ht="25.5" customFormat="1" customHeight="1" s="215">
      <c r="A26" s="249" t="n">
        <v>9</v>
      </c>
      <c r="B26" s="154" t="inlineStr">
        <is>
          <t>91.08.09-023</t>
        </is>
      </c>
      <c r="C26" s="248" t="inlineStr">
        <is>
          <t>Трамбовки пневматические при работе от передвижных компрессорных станций</t>
        </is>
      </c>
      <c r="D26" s="249" t="inlineStr">
        <is>
          <t>маш.-ч</t>
        </is>
      </c>
      <c r="E26" s="196" t="n">
        <v>0.70446</v>
      </c>
      <c r="F26" s="265" t="n">
        <v>0.55</v>
      </c>
      <c r="G26" s="32">
        <f>ROUND(E26*F26,2)</f>
        <v/>
      </c>
      <c r="H26" s="252">
        <f>G26/$G$45</f>
        <v/>
      </c>
      <c r="I26" s="32">
        <f>ROUND(F26*Прил.10!$D$11,2)</f>
        <v/>
      </c>
      <c r="J26" s="32">
        <f>ROUND(I26*E26,2)</f>
        <v/>
      </c>
      <c r="L26" s="153" t="n"/>
    </row>
    <row r="27" outlineLevel="1" ht="38.25" customFormat="1" customHeight="1" s="215">
      <c r="A27" s="249" t="n">
        <v>10</v>
      </c>
      <c r="B27" s="154" t="inlineStr">
        <is>
          <t>91.21.01-012</t>
        </is>
      </c>
      <c r="C27" s="248" t="inlineStr">
        <is>
          <t>Агрегаты окрасочные высокого давления для окраски поверхностей конструкций, мощность 1 кВт</t>
        </is>
      </c>
      <c r="D27" s="249" t="inlineStr">
        <is>
          <t>маш.-ч</t>
        </is>
      </c>
      <c r="E27" s="196" t="n">
        <v>0.0598</v>
      </c>
      <c r="F27" s="265" t="n">
        <v>6.82</v>
      </c>
      <c r="G27" s="32">
        <f>ROUND(E27*F27,2)</f>
        <v/>
      </c>
      <c r="H27" s="252">
        <f>G27/$G$45</f>
        <v/>
      </c>
      <c r="I27" s="32">
        <f>ROUND(F27*Прил.10!$D$11,2)</f>
        <v/>
      </c>
      <c r="J27" s="32">
        <f>ROUND(I27*E27,2)</f>
        <v/>
      </c>
      <c r="L27" s="153" t="n"/>
    </row>
    <row r="28" outlineLevel="1" ht="14.25" customFormat="1" customHeight="1" s="215">
      <c r="A28" s="249" t="n">
        <v>11</v>
      </c>
      <c r="B28" s="154" t="inlineStr">
        <is>
          <t>91.07.04-002</t>
        </is>
      </c>
      <c r="C28" s="248" t="inlineStr">
        <is>
          <t>Вибратор поверхностный</t>
        </is>
      </c>
      <c r="D28" s="249" t="inlineStr">
        <is>
          <t>маш.-ч</t>
        </is>
      </c>
      <c r="E28" s="196" t="n">
        <v>0.83147</v>
      </c>
      <c r="F28" s="265" t="n">
        <v>0.5</v>
      </c>
      <c r="G28" s="32">
        <f>ROUND(E28*F28,2)</f>
        <v/>
      </c>
      <c r="H28" s="252">
        <f>G28/$G$45</f>
        <v/>
      </c>
      <c r="I28" s="32">
        <f>ROUND(F28*Прил.10!$D$11,2)</f>
        <v/>
      </c>
      <c r="J28" s="32">
        <f>ROUND(I28*E28,2)</f>
        <v/>
      </c>
      <c r="L28" s="153" t="n"/>
    </row>
    <row r="29" outlineLevel="1" ht="14.25" customFormat="1" customHeight="1" s="215">
      <c r="A29" s="249" t="n">
        <v>12</v>
      </c>
      <c r="B29" s="154" t="inlineStr">
        <is>
          <t>91.06.05-011</t>
        </is>
      </c>
      <c r="C29" s="248" t="inlineStr">
        <is>
          <t>Погрузчик, грузоподъемность 5 т</t>
        </is>
      </c>
      <c r="D29" s="249" t="inlineStr">
        <is>
          <t>маш.-ч</t>
        </is>
      </c>
      <c r="E29" s="196" t="n">
        <v>0.0101</v>
      </c>
      <c r="F29" s="265" t="n">
        <v>89.98999999999999</v>
      </c>
      <c r="G29" s="32">
        <f>ROUND(E29*F29,2)</f>
        <v/>
      </c>
      <c r="H29" s="252">
        <f>G29/$G$45</f>
        <v/>
      </c>
      <c r="I29" s="32">
        <f>ROUND(F29*Прил.10!$D$11,2)</f>
        <v/>
      </c>
      <c r="J29" s="32">
        <f>ROUND(I29*E29,2)</f>
        <v/>
      </c>
      <c r="L29" s="153" t="n"/>
    </row>
    <row r="30" outlineLevel="1" ht="14.25" customFormat="1" customHeight="1" s="215">
      <c r="A30" s="249" t="n">
        <v>13</v>
      </c>
      <c r="B30" s="154" t="inlineStr">
        <is>
          <t>91.01.01-035</t>
        </is>
      </c>
      <c r="C30" s="248" t="inlineStr">
        <is>
          <t>Бульдозеры, мощность 79 кВт (108 л.с.)</t>
        </is>
      </c>
      <c r="D30" s="249" t="inlineStr">
        <is>
          <t>маш.-ч</t>
        </is>
      </c>
      <c r="E30" s="196" t="n">
        <v>0.01304</v>
      </c>
      <c r="F30" s="265" t="n">
        <v>79.06999999999999</v>
      </c>
      <c r="G30" s="32">
        <f>ROUND(E30*F30,2)</f>
        <v/>
      </c>
      <c r="H30" s="252">
        <f>G30/$G$45</f>
        <v/>
      </c>
      <c r="I30" s="32">
        <f>ROUND(F30*Прил.10!$D$11,2)</f>
        <v/>
      </c>
      <c r="J30" s="32">
        <f>ROUND(I30*E30,2)</f>
        <v/>
      </c>
      <c r="L30" s="153" t="n"/>
    </row>
    <row r="31" outlineLevel="1" ht="38.25" customFormat="1" customHeight="1" s="215">
      <c r="A31" s="249" t="n">
        <v>14</v>
      </c>
      <c r="B31" s="154" t="inlineStr">
        <is>
          <t>91.06.06-048</t>
        </is>
      </c>
      <c r="C31" s="248" t="inlineStr">
        <is>
          <t>Подъемники одномачтовые, грузоподъемность до 500 кг, высота подъема 45 м</t>
        </is>
      </c>
      <c r="D31" s="249" t="inlineStr">
        <is>
          <t>маш.-ч</t>
        </is>
      </c>
      <c r="E31" s="196" t="n">
        <v>0.10804</v>
      </c>
      <c r="F31" s="265" t="n">
        <v>31.26</v>
      </c>
      <c r="G31" s="32">
        <f>ROUND(E31*F31,2)</f>
        <v/>
      </c>
      <c r="H31" s="252">
        <f>G31/$G$45</f>
        <v/>
      </c>
      <c r="I31" s="32">
        <f>ROUND(F31*Прил.10!$D$11,2)</f>
        <v/>
      </c>
      <c r="J31" s="32">
        <f>ROUND(I31*E31,2)</f>
        <v/>
      </c>
      <c r="L31" s="153" t="n"/>
    </row>
    <row r="32" outlineLevel="1" ht="14.25" customFormat="1" customHeight="1" s="215">
      <c r="A32" s="249" t="n">
        <v>15</v>
      </c>
      <c r="B32" s="154" t="inlineStr">
        <is>
          <t>91.01.01-034</t>
        </is>
      </c>
      <c r="C32" s="248" t="inlineStr">
        <is>
          <t>Бульдозеры, мощность 59 кВт (80 л.с.)</t>
        </is>
      </c>
      <c r="D32" s="249" t="inlineStr">
        <is>
          <t>маш.-ч</t>
        </is>
      </c>
      <c r="E32" s="196" t="n">
        <v>0.0682</v>
      </c>
      <c r="F32" s="265" t="n">
        <v>59.47</v>
      </c>
      <c r="G32" s="32">
        <f>ROUND(E32*F32,2)</f>
        <v/>
      </c>
      <c r="H32" s="252">
        <f>G32/$G$45</f>
        <v/>
      </c>
      <c r="I32" s="32">
        <f>ROUND(F32*Прил.10!$D$11,2)</f>
        <v/>
      </c>
      <c r="J32" s="32">
        <f>ROUND(I32*E32,2)</f>
        <v/>
      </c>
      <c r="L32" s="153" t="n"/>
    </row>
    <row r="33" outlineLevel="1" ht="38.25" customFormat="1" customHeight="1" s="215">
      <c r="A33" s="249" t="n">
        <v>16</v>
      </c>
      <c r="B33" s="154" t="inlineStr">
        <is>
          <t>91.06.05-057</t>
        </is>
      </c>
      <c r="C33" s="248" t="inlineStr">
        <is>
          <t>Погрузчики одноковшовые универсальные фронтальные пневмоколесные, грузоподъемность 3 т</t>
        </is>
      </c>
      <c r="D33" s="249" t="inlineStr">
        <is>
          <t>маш.-ч</t>
        </is>
      </c>
      <c r="E33" s="196" t="n">
        <v>0.05808</v>
      </c>
      <c r="F33" s="265" t="n">
        <v>90.40000000000001</v>
      </c>
      <c r="G33" s="32">
        <f>ROUND(E33*F33,2)</f>
        <v/>
      </c>
      <c r="H33" s="252">
        <f>G33/$G$45</f>
        <v/>
      </c>
      <c r="I33" s="32">
        <f>ROUND(F33*Прил.10!$D$11,2)</f>
        <v/>
      </c>
      <c r="J33" s="32">
        <f>ROUND(I33*E33,2)</f>
        <v/>
      </c>
      <c r="L33" s="153" t="n"/>
    </row>
    <row r="34" outlineLevel="1" ht="14.25" customFormat="1" customHeight="1" s="215">
      <c r="A34" s="249" t="n">
        <v>17</v>
      </c>
      <c r="B34" s="154" t="inlineStr">
        <is>
          <t>91.08.04-021</t>
        </is>
      </c>
      <c r="C34" s="248" t="inlineStr">
        <is>
          <t>Котлы битумные передвижные 400 л</t>
        </is>
      </c>
      <c r="D34" s="249" t="inlineStr">
        <is>
          <t>маш.-ч</t>
        </is>
      </c>
      <c r="E34" s="196" t="n">
        <v>0.29445</v>
      </c>
      <c r="F34" s="265" t="n">
        <v>30</v>
      </c>
      <c r="G34" s="32">
        <f>ROUND(E34*F34,2)</f>
        <v/>
      </c>
      <c r="H34" s="252">
        <f>G34/$G$45</f>
        <v/>
      </c>
      <c r="I34" s="32">
        <f>ROUND(F34*Прил.10!$D$11,2)</f>
        <v/>
      </c>
      <c r="J34" s="32">
        <f>ROUND(I34*E34,2)</f>
        <v/>
      </c>
      <c r="L34" s="153" t="n"/>
    </row>
    <row r="35" outlineLevel="1" ht="25.5" customFormat="1" customHeight="1" s="215">
      <c r="A35" s="249" t="n">
        <v>18</v>
      </c>
      <c r="B35" s="154" t="inlineStr">
        <is>
          <t>91.06.01-003</t>
        </is>
      </c>
      <c r="C35" s="248" t="inlineStr">
        <is>
          <t>Домкраты гидравлические, грузоподъемность 63-100 т</t>
        </is>
      </c>
      <c r="D35" s="249" t="inlineStr">
        <is>
          <t>маш.-ч</t>
        </is>
      </c>
      <c r="E35" s="196" t="n">
        <v>12.5028</v>
      </c>
      <c r="F35" s="265" t="n">
        <v>0.9</v>
      </c>
      <c r="G35" s="32">
        <f>ROUND(E35*F35,2)</f>
        <v/>
      </c>
      <c r="H35" s="252">
        <f>G35/$G$45</f>
        <v/>
      </c>
      <c r="I35" s="32">
        <f>ROUND(F35*Прил.10!$D$11,2)</f>
        <v/>
      </c>
      <c r="J35" s="32">
        <f>ROUND(I35*E35,2)</f>
        <v/>
      </c>
      <c r="L35" s="153" t="n"/>
    </row>
    <row r="36" outlineLevel="1" ht="25.5" customFormat="1" customHeight="1" s="215">
      <c r="A36" s="249" t="n">
        <v>19</v>
      </c>
      <c r="B36" s="154" t="inlineStr">
        <is>
          <t>91.14.03-002</t>
        </is>
      </c>
      <c r="C36" s="248" t="inlineStr">
        <is>
          <t>Автомобиль-самосвал, грузоподъемность до 10 т</t>
        </is>
      </c>
      <c r="D36" s="249" t="inlineStr">
        <is>
          <t>маш.-ч</t>
        </is>
      </c>
      <c r="E36" s="196" t="n">
        <v>0.18793</v>
      </c>
      <c r="F36" s="265" t="n">
        <v>87.48999999999999</v>
      </c>
      <c r="G36" s="32">
        <f>ROUND(E36*F36,2)</f>
        <v/>
      </c>
      <c r="H36" s="252">
        <f>G36/$G$45</f>
        <v/>
      </c>
      <c r="I36" s="32">
        <f>ROUND(F36*Прил.10!$D$11,2)</f>
        <v/>
      </c>
      <c r="J36" s="32">
        <f>ROUND(I36*E36,2)</f>
        <v/>
      </c>
      <c r="L36" s="153" t="n"/>
    </row>
    <row r="37" outlineLevel="1" ht="14.25" customFormat="1" customHeight="1" s="215">
      <c r="A37" s="249" t="n">
        <v>20</v>
      </c>
      <c r="B37" s="154" t="inlineStr">
        <is>
          <t>91.07.04-001</t>
        </is>
      </c>
      <c r="C37" s="248" t="inlineStr">
        <is>
          <t>Вибратор глубинный</t>
        </is>
      </c>
      <c r="D37" s="249" t="inlineStr">
        <is>
          <t>маш.-ч</t>
        </is>
      </c>
      <c r="E37" s="196" t="n">
        <v>8.68736</v>
      </c>
      <c r="F37" s="265" t="n">
        <v>1.9</v>
      </c>
      <c r="G37" s="32">
        <f>ROUND(E37*F37,2)</f>
        <v/>
      </c>
      <c r="H37" s="252">
        <f>G37/$G$45</f>
        <v/>
      </c>
      <c r="I37" s="32">
        <f>ROUND(F37*Прил.10!$D$11,2)</f>
        <v/>
      </c>
      <c r="J37" s="32">
        <f>ROUND(I37*E37,2)</f>
        <v/>
      </c>
      <c r="L37" s="153" t="n"/>
    </row>
    <row r="38" outlineLevel="1" ht="38.25" customFormat="1" customHeight="1" s="215">
      <c r="A38" s="249" t="n">
        <v>21</v>
      </c>
      <c r="B38" s="154" t="inlineStr">
        <is>
          <t>91.01.05-106</t>
        </is>
      </c>
      <c r="C38" s="248" t="inlineStr">
        <is>
          <t>Экскаваторы одноковшовые дизельные на пневмоколесном ходу, емкость ковша 0,25 м3</t>
        </is>
      </c>
      <c r="D38" s="249" t="inlineStr">
        <is>
          <t>маш.-ч</t>
        </is>
      </c>
      <c r="E38" s="196" t="n">
        <v>0.35116</v>
      </c>
      <c r="F38" s="265" t="n">
        <v>70.01000000000001</v>
      </c>
      <c r="G38" s="32">
        <f>ROUND(E38*F38,2)</f>
        <v/>
      </c>
      <c r="H38" s="252">
        <f>G38/$G$45</f>
        <v/>
      </c>
      <c r="I38" s="32">
        <f>ROUND(F38*Прил.10!$D$11,2)</f>
        <v/>
      </c>
      <c r="J38" s="32">
        <f>ROUND(I38*E38,2)</f>
        <v/>
      </c>
      <c r="L38" s="153" t="n"/>
    </row>
    <row r="39" outlineLevel="1" ht="51" customFormat="1" customHeight="1" s="215">
      <c r="A39" s="249" t="n">
        <v>22</v>
      </c>
      <c r="B39" s="154" t="inlineStr">
        <is>
          <t>91.18.01-007</t>
        </is>
      </c>
      <c r="C39" s="248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39" s="249" t="inlineStr">
        <is>
          <t>маш.-ч</t>
        </is>
      </c>
      <c r="E39" s="196" t="n">
        <v>0.34308</v>
      </c>
      <c r="F39" s="265" t="n">
        <v>90</v>
      </c>
      <c r="G39" s="32">
        <f>ROUND(E39*F39,2)</f>
        <v/>
      </c>
      <c r="H39" s="252">
        <f>G39/$G$45</f>
        <v/>
      </c>
      <c r="I39" s="32">
        <f>ROUND(F39*Прил.10!$D$11,2)</f>
        <v/>
      </c>
      <c r="J39" s="32">
        <f>ROUND(I39*E39,2)</f>
        <v/>
      </c>
      <c r="L39" s="153" t="n"/>
    </row>
    <row r="40" outlineLevel="1" ht="25.5" customFormat="1" customHeight="1" s="215">
      <c r="A40" s="249" t="n">
        <v>23</v>
      </c>
      <c r="B40" s="154" t="inlineStr">
        <is>
          <t>91.17.04-233</t>
        </is>
      </c>
      <c r="C40" s="248" t="inlineStr">
        <is>
          <t>Установки для сварки ручной дуговой (постоянного тока)</t>
        </is>
      </c>
      <c r="D40" s="249" t="inlineStr">
        <is>
          <t>маш.-ч</t>
        </is>
      </c>
      <c r="E40" s="196" t="n">
        <v>6.02278</v>
      </c>
      <c r="F40" s="265" t="n">
        <v>8.1</v>
      </c>
      <c r="G40" s="32">
        <f>ROUND(E40*F40,2)</f>
        <v/>
      </c>
      <c r="H40" s="252">
        <f>G40/$G$45</f>
        <v/>
      </c>
      <c r="I40" s="32">
        <f>ROUND(F40*Прил.10!$D$11,2)</f>
        <v/>
      </c>
      <c r="J40" s="32">
        <f>ROUND(I40*E40,2)</f>
        <v/>
      </c>
      <c r="L40" s="153" t="n"/>
    </row>
    <row r="41" outlineLevel="1" ht="25.5" customFormat="1" customHeight="1" s="215">
      <c r="A41" s="249" t="n">
        <v>24</v>
      </c>
      <c r="B41" s="154" t="inlineStr">
        <is>
          <t>91.06.03-058</t>
        </is>
      </c>
      <c r="C41" s="248" t="inlineStr">
        <is>
          <t>Лебедки электрические тяговым усилием 156,96 кН (16 т)</t>
        </is>
      </c>
      <c r="D41" s="249" t="inlineStr">
        <is>
          <t>маш.-ч</t>
        </is>
      </c>
      <c r="E41" s="196" t="n">
        <v>0.4968</v>
      </c>
      <c r="F41" s="265" t="n">
        <v>131.44</v>
      </c>
      <c r="G41" s="32">
        <f>ROUND(E41*F41,2)</f>
        <v/>
      </c>
      <c r="H41" s="252">
        <f>G41/$G$45</f>
        <v/>
      </c>
      <c r="I41" s="32">
        <f>ROUND(F41*Прил.10!$D$11,2)</f>
        <v/>
      </c>
      <c r="J41" s="32">
        <f>ROUND(I41*E41,2)</f>
        <v/>
      </c>
      <c r="L41" s="153" t="n"/>
    </row>
    <row r="42" outlineLevel="1" ht="38.25" customFormat="1" customHeight="1" s="215">
      <c r="A42" s="249" t="n">
        <v>25</v>
      </c>
      <c r="B42" s="154" t="inlineStr">
        <is>
          <t>91.01.05-104</t>
        </is>
      </c>
      <c r="C42" s="248" t="inlineStr">
        <is>
          <t>Экскаваторы одноковшовые дизельные на пневмоколесном ходу, емкость ковша 0,4 м3</t>
        </is>
      </c>
      <c r="D42" s="249" t="inlineStr">
        <is>
          <t>маш.-ч</t>
        </is>
      </c>
      <c r="E42" s="196" t="n">
        <v>1.56</v>
      </c>
      <c r="F42" s="265" t="n">
        <v>98.90000000000001</v>
      </c>
      <c r="G42" s="32">
        <f>ROUND(E42*F42,2)</f>
        <v/>
      </c>
      <c r="H42" s="252">
        <f>G42/$G$45</f>
        <v/>
      </c>
      <c r="I42" s="32">
        <f>ROUND(F42*Прил.10!$D$11,2)</f>
        <v/>
      </c>
      <c r="J42" s="32">
        <f>ROUND(I42*E42,2)</f>
        <v/>
      </c>
      <c r="L42" s="153" t="n"/>
    </row>
    <row r="43" outlineLevel="1" ht="25.5" customFormat="1" customHeight="1" s="215">
      <c r="A43" s="249" t="n">
        <v>26</v>
      </c>
      <c r="B43" s="154" t="inlineStr">
        <is>
          <t>91.14.02-001</t>
        </is>
      </c>
      <c r="C43" s="248" t="inlineStr">
        <is>
          <t>Автомобили бортовые, грузоподъемность до 5 т</t>
        </is>
      </c>
      <c r="D43" s="249" t="inlineStr">
        <is>
          <t>маш.-ч</t>
        </is>
      </c>
      <c r="E43" s="196" t="n">
        <v>4.006178</v>
      </c>
      <c r="F43" s="265" t="n">
        <v>65.70999999999999</v>
      </c>
      <c r="G43" s="32">
        <f>ROUND(E43*F43,2)</f>
        <v/>
      </c>
      <c r="H43" s="252">
        <f>G43/$G$45</f>
        <v/>
      </c>
      <c r="I43" s="32">
        <f>ROUND(F43*Прил.10!$D$11,2)</f>
        <v/>
      </c>
      <c r="J43" s="32">
        <f>ROUND(I43*E43,2)</f>
        <v/>
      </c>
      <c r="L43" s="153" t="n"/>
    </row>
    <row r="44" ht="14.25" customFormat="1" customHeight="1" s="215">
      <c r="A44" s="249" t="n"/>
      <c r="B44" s="249" t="n"/>
      <c r="C44" s="248" t="inlineStr">
        <is>
          <t>Итого прочие машины и механизмы</t>
        </is>
      </c>
      <c r="D44" s="249" t="n"/>
      <c r="E44" s="250" t="n"/>
      <c r="F44" s="32" t="n"/>
      <c r="G44" s="32">
        <f>SUM(G25:G43)</f>
        <v/>
      </c>
      <c r="H44" s="252">
        <f>G44/G45</f>
        <v/>
      </c>
      <c r="I44" s="32" t="n"/>
      <c r="J44" s="32">
        <f>SUM(J25:J43)</f>
        <v/>
      </c>
      <c r="K44" s="153" t="n"/>
      <c r="L44" s="153" t="n"/>
    </row>
    <row r="45" ht="25.5" customFormat="1" customHeight="1" s="215">
      <c r="A45" s="249" t="n"/>
      <c r="B45" s="253" t="n"/>
      <c r="C45" s="198" t="inlineStr">
        <is>
          <t>Итого по разделу «Машины и механизмы»</t>
        </is>
      </c>
      <c r="D45" s="253" t="n"/>
      <c r="E45" s="199" t="n"/>
      <c r="F45" s="200" t="n"/>
      <c r="G45" s="200">
        <f>G24+G44</f>
        <v/>
      </c>
      <c r="H45" s="201" t="n">
        <v>1</v>
      </c>
      <c r="I45" s="200" t="n"/>
      <c r="J45" s="200">
        <f>J24+J44</f>
        <v/>
      </c>
    </row>
    <row r="46" ht="29.25" customHeight="1" s="204">
      <c r="A46" s="255" t="n"/>
      <c r="B46" s="245" t="inlineStr">
        <is>
          <t>Оборудование</t>
        </is>
      </c>
      <c r="C46" s="318" t="n"/>
      <c r="D46" s="318" t="n"/>
      <c r="E46" s="318" t="n"/>
      <c r="F46" s="318" t="n"/>
      <c r="G46" s="318" t="n"/>
      <c r="H46" s="318" t="n"/>
      <c r="I46" s="318" t="n"/>
      <c r="J46" s="319" t="n"/>
    </row>
    <row r="47" ht="15" customHeight="1" s="204">
      <c r="A47" s="249" t="n"/>
      <c r="B47" s="258" t="inlineStr">
        <is>
          <t>Основное оборудование</t>
        </is>
      </c>
    </row>
    <row r="48" ht="51" customHeight="1" s="204">
      <c r="A48" s="249" t="n">
        <v>27</v>
      </c>
      <c r="B48" s="154" t="inlineStr">
        <is>
          <t>БЦ.64.643</t>
        </is>
      </c>
      <c r="C48" s="248" t="inlineStr">
        <is>
          <t>Разъединитель однополюсный, наружной установки с одним заземляющими ножом  110 кВ 1000 А, 63 кА</t>
        </is>
      </c>
      <c r="D48" s="249" t="inlineStr">
        <is>
          <t>1-но пол компл</t>
        </is>
      </c>
      <c r="E48" s="196" t="inlineStr">
        <is>
          <t>3</t>
        </is>
      </c>
      <c r="F48" s="251">
        <f>ROUND(I48/Прил.10!$D$13,2)</f>
        <v/>
      </c>
      <c r="G48" s="32">
        <f>ROUND(E48*F48,2)</f>
        <v/>
      </c>
      <c r="H48" s="252">
        <f>G48/$G$52</f>
        <v/>
      </c>
      <c r="I48" s="32" t="n">
        <v>2120000</v>
      </c>
      <c r="J48" s="32">
        <f>ROUND(I48*E48,2)</f>
        <v/>
      </c>
    </row>
    <row r="49">
      <c r="A49" s="249" t="n"/>
      <c r="B49" s="249" t="n"/>
      <c r="C49" s="248" t="inlineStr">
        <is>
          <t>Итого основное оборудование</t>
        </is>
      </c>
      <c r="D49" s="249" t="n"/>
      <c r="E49" s="196" t="n"/>
      <c r="F49" s="251" t="n"/>
      <c r="G49" s="32">
        <f>SUM(G48)</f>
        <v/>
      </c>
      <c r="H49" s="252">
        <f>G49/$G$52</f>
        <v/>
      </c>
      <c r="I49" s="32" t="n"/>
      <c r="J49" s="32">
        <f>SUM(J48)</f>
        <v/>
      </c>
      <c r="K49" s="153" t="n"/>
    </row>
    <row r="50" outlineLevel="1" s="204">
      <c r="A50" s="249" t="n">
        <v>28</v>
      </c>
      <c r="B50" s="154" t="inlineStr">
        <is>
          <t>БЦ.30_1.159</t>
        </is>
      </c>
      <c r="C50" s="248" t="inlineStr">
        <is>
          <t>Шкаф управления разъединителями</t>
        </is>
      </c>
      <c r="D50" s="249" t="inlineStr">
        <is>
          <t>шт</t>
        </is>
      </c>
      <c r="E50" s="196" t="n">
        <v>3</v>
      </c>
      <c r="F50" s="251">
        <f>ROUND(I50/Прил.10!$D$13,2)</f>
        <v/>
      </c>
      <c r="G50" s="32">
        <f>ROUND(E50*F50,2)</f>
        <v/>
      </c>
      <c r="H50" s="252">
        <f>G50/$G$52</f>
        <v/>
      </c>
      <c r="I50" s="32" t="n">
        <v>345000</v>
      </c>
      <c r="J50" s="32">
        <f>ROUND(I50*E50,2)</f>
        <v/>
      </c>
      <c r="K50" s="153" t="n"/>
    </row>
    <row r="51">
      <c r="A51" s="249" t="n"/>
      <c r="B51" s="249" t="n"/>
      <c r="C51" s="248" t="inlineStr">
        <is>
          <t>Итого прочее оборудование</t>
        </is>
      </c>
      <c r="D51" s="249" t="n"/>
      <c r="E51" s="250" t="n"/>
      <c r="F51" s="251" t="n"/>
      <c r="G51" s="32">
        <f>SUM(G50)</f>
        <v/>
      </c>
      <c r="H51" s="252">
        <f>G51/$G$52</f>
        <v/>
      </c>
      <c r="I51" s="32" t="n"/>
      <c r="J51" s="32">
        <f>SUM(J50)</f>
        <v/>
      </c>
      <c r="K51" s="153" t="n"/>
    </row>
    <row r="52">
      <c r="A52" s="249" t="n"/>
      <c r="B52" s="249" t="n"/>
      <c r="C52" s="245" t="inlineStr">
        <is>
          <t>Итого по разделу «Оборудование»</t>
        </is>
      </c>
      <c r="D52" s="249" t="n"/>
      <c r="E52" s="250" t="n"/>
      <c r="F52" s="251" t="n"/>
      <c r="G52" s="32">
        <f>G51+G49</f>
        <v/>
      </c>
      <c r="H52" s="252">
        <f>(G49+G51)/G52</f>
        <v/>
      </c>
      <c r="I52" s="32" t="n"/>
      <c r="J52" s="32">
        <f>J51+J49</f>
        <v/>
      </c>
      <c r="K52" s="153" t="n"/>
    </row>
    <row r="53" ht="25.5" customHeight="1" s="204">
      <c r="A53" s="249" t="n"/>
      <c r="B53" s="249" t="n"/>
      <c r="C53" s="248" t="inlineStr">
        <is>
          <t>в том числе технологическое оборудование</t>
        </is>
      </c>
      <c r="D53" s="249" t="n"/>
      <c r="E53" s="250" t="n"/>
      <c r="F53" s="251" t="n"/>
      <c r="G53" s="32">
        <f>G52</f>
        <v/>
      </c>
      <c r="H53" s="252">
        <f>G53/$G$52</f>
        <v/>
      </c>
      <c r="I53" s="32" t="n"/>
      <c r="J53" s="32">
        <f>J52</f>
        <v/>
      </c>
      <c r="K53" s="153" t="n"/>
    </row>
    <row r="54" ht="30" customFormat="1" customHeight="1" s="215">
      <c r="A54" s="249" t="n"/>
      <c r="B54" s="322" t="inlineStr">
        <is>
          <t xml:space="preserve">Материалы </t>
        </is>
      </c>
      <c r="J54" s="323" t="n"/>
      <c r="K54" s="153" t="n"/>
    </row>
    <row r="55" ht="14.25" customFormat="1" customHeight="1" s="215">
      <c r="A55" s="249" t="n"/>
      <c r="B55" s="248" t="inlineStr">
        <is>
          <t>Основные материалы</t>
        </is>
      </c>
      <c r="C55" s="318" t="n"/>
      <c r="D55" s="318" t="n"/>
      <c r="E55" s="318" t="n"/>
      <c r="F55" s="318" t="n"/>
      <c r="G55" s="318" t="n"/>
      <c r="H55" s="319" t="n"/>
      <c r="I55" s="252" t="n"/>
      <c r="J55" s="252" t="n"/>
    </row>
    <row r="56" ht="51" customFormat="1" customHeight="1" s="215">
      <c r="A56" s="249" t="n">
        <v>29</v>
      </c>
      <c r="B56" s="154" t="inlineStr">
        <is>
          <t>04.1.02.02-0006</t>
        </is>
      </c>
      <c r="C56" s="248" t="inlineStr">
        <is>
          <t>Смеси бетонные тяжелого бетона (БСТ) для гидротехнических сооружений на сульфатостойких цементах, класс В15 (М200)</t>
        </is>
      </c>
      <c r="D56" s="249" t="inlineStr">
        <is>
          <t>м3</t>
        </is>
      </c>
      <c r="E56" s="196" t="n">
        <v>17.151</v>
      </c>
      <c r="F56" s="265" t="n">
        <v>708.91</v>
      </c>
      <c r="G56" s="32">
        <f>ROUND(E56*F56,2)</f>
        <v/>
      </c>
      <c r="H56" s="252">
        <f>G56/$G$114</f>
        <v/>
      </c>
      <c r="I56" s="32">
        <f>ROUND(F56*Прил.10!$D$12,2)</f>
        <v/>
      </c>
      <c r="J56" s="32">
        <f>ROUND(I56*E56,2)</f>
        <v/>
      </c>
    </row>
    <row r="57" ht="25.5" customFormat="1" customHeight="1" s="215">
      <c r="A57" s="249" t="n">
        <v>30</v>
      </c>
      <c r="B57" s="154" t="inlineStr">
        <is>
          <t>21.2.01.02-0101</t>
        </is>
      </c>
      <c r="C57" s="248" t="inlineStr">
        <is>
          <t>Провод неизолированный для воздушных линий электропередачи АС 500/26</t>
        </is>
      </c>
      <c r="D57" s="249" t="inlineStr">
        <is>
          <t>т</t>
        </is>
      </c>
      <c r="E57" s="196" t="n">
        <v>0.1</v>
      </c>
      <c r="F57" s="265" t="n">
        <v>34240.97</v>
      </c>
      <c r="G57" s="32">
        <f>ROUND(E57*F57,2)</f>
        <v/>
      </c>
      <c r="H57" s="252">
        <f>G57/$G$114</f>
        <v/>
      </c>
      <c r="I57" s="32">
        <f>ROUND(F57*Прил.10!$D$12,2)</f>
        <v/>
      </c>
      <c r="J57" s="32">
        <f>ROUND(I57*E57,2)</f>
        <v/>
      </c>
    </row>
    <row r="58" ht="38.25" customFormat="1" customHeight="1" s="215">
      <c r="A58" s="249" t="n">
        <v>31</v>
      </c>
      <c r="B58" s="154" t="inlineStr">
        <is>
          <t>08.4.03.03-0034</t>
        </is>
      </c>
      <c r="C58" s="248" t="inlineStr">
        <is>
          <t>Сталь арматурная, горячекатаная, периодического профиля, класс А-III, диаметр 16-18 мм</t>
        </is>
      </c>
      <c r="D58" s="249" t="inlineStr">
        <is>
          <t>т</t>
        </is>
      </c>
      <c r="E58" s="196" t="n">
        <v>0.337</v>
      </c>
      <c r="F58" s="265" t="n">
        <v>7956.21</v>
      </c>
      <c r="G58" s="32">
        <f>ROUND(E58*F58,2)</f>
        <v/>
      </c>
      <c r="H58" s="252">
        <f>G58/$G$114</f>
        <v/>
      </c>
      <c r="I58" s="32">
        <f>ROUND(F58*Прил.10!$D$12,2)</f>
        <v/>
      </c>
      <c r="J58" s="32">
        <f>ROUND(I58*E58,2)</f>
        <v/>
      </c>
    </row>
    <row r="59" ht="25.5" customFormat="1" customHeight="1" s="215">
      <c r="A59" s="249" t="n">
        <v>32</v>
      </c>
      <c r="B59" s="154" t="inlineStr">
        <is>
          <t>21.1.06.10-0411</t>
        </is>
      </c>
      <c r="C59" s="248" t="inlineStr">
        <is>
          <t>Кабель силовой с медными жилами ВВГнг(A)-LS 5х16мк(N, РЕ)-1000</t>
        </is>
      </c>
      <c r="D59" s="249" t="inlineStr">
        <is>
          <t>1000 м</t>
        </is>
      </c>
      <c r="E59" s="196" t="n">
        <v>0.027</v>
      </c>
      <c r="F59" s="265" t="n">
        <v>98440.41</v>
      </c>
      <c r="G59" s="32">
        <f>ROUND(E59*F59,2)</f>
        <v/>
      </c>
      <c r="H59" s="252">
        <f>G59/$G$114</f>
        <v/>
      </c>
      <c r="I59" s="32">
        <f>ROUND(F59*Прил.10!$D$12,2)</f>
        <v/>
      </c>
      <c r="J59" s="32">
        <f>ROUND(I59*E59,2)</f>
        <v/>
      </c>
    </row>
    <row r="60" ht="38.25" customFormat="1" customHeight="1" s="215">
      <c r="A60" s="249" t="n">
        <v>33</v>
      </c>
      <c r="B60" s="154" t="inlineStr">
        <is>
          <t>04.1.02.05-0043</t>
        </is>
      </c>
      <c r="C60" s="248" t="inlineStr">
        <is>
          <t>Смеси бетонные тяжелого бетона (БСТ), крупность заполнителя 20 мм, класс В15 (М200)</t>
        </is>
      </c>
      <c r="D60" s="249" t="inlineStr">
        <is>
          <t>м3</t>
        </is>
      </c>
      <c r="E60" s="196" t="n">
        <v>3.451</v>
      </c>
      <c r="F60" s="265" t="n">
        <v>665</v>
      </c>
      <c r="G60" s="32">
        <f>ROUND(E60*F60,2)</f>
        <v/>
      </c>
      <c r="H60" s="252">
        <f>G60/$G$114</f>
        <v/>
      </c>
      <c r="I60" s="32">
        <f>ROUND(F60*Прил.10!$D$12,2)</f>
        <v/>
      </c>
      <c r="J60" s="32">
        <f>ROUND(I60*E60,2)</f>
        <v/>
      </c>
    </row>
    <row r="61" ht="14.25" customFormat="1" customHeight="1" s="215">
      <c r="A61" s="249" t="n">
        <v>34</v>
      </c>
      <c r="B61" s="154" t="inlineStr">
        <is>
          <t>21.1.08.03-0574</t>
        </is>
      </c>
      <c r="C61" s="248" t="inlineStr">
        <is>
          <t>Кабель контрольный КВВГЭнг(А)-LS 4x2,5</t>
        </is>
      </c>
      <c r="D61" s="249" t="inlineStr">
        <is>
          <t>1000 м</t>
        </is>
      </c>
      <c r="E61" s="196" t="n">
        <v>0.048</v>
      </c>
      <c r="F61" s="265" t="n">
        <v>38348.22</v>
      </c>
      <c r="G61" s="32">
        <f>ROUND(E61*F61,2)</f>
        <v/>
      </c>
      <c r="H61" s="252">
        <f>G61/$G$114</f>
        <v/>
      </c>
      <c r="I61" s="32">
        <f>ROUND(F61*Прил.10!$D$12,2)</f>
        <v/>
      </c>
      <c r="J61" s="32">
        <f>ROUND(I61*E61,2)</f>
        <v/>
      </c>
    </row>
    <row r="62" ht="38.25" customFormat="1" customHeight="1" s="215">
      <c r="A62" s="249" t="n">
        <v>35</v>
      </c>
      <c r="B62" s="154" t="inlineStr">
        <is>
          <t>08.4.03.03-0032</t>
        </is>
      </c>
      <c r="C62" s="248" t="inlineStr">
        <is>
          <t>Сталь арматурная, горячекатаная, периодического профиля, класс А-III, диаметр 12 мм</t>
        </is>
      </c>
      <c r="D62" s="249" t="inlineStr">
        <is>
          <t>т</t>
        </is>
      </c>
      <c r="E62" s="196" t="n">
        <v>0.196</v>
      </c>
      <c r="F62" s="265" t="n">
        <v>7997.23</v>
      </c>
      <c r="G62" s="32">
        <f>ROUND(E62*F62,2)</f>
        <v/>
      </c>
      <c r="H62" s="252">
        <f>G62/$G$114</f>
        <v/>
      </c>
      <c r="I62" s="32">
        <f>ROUND(F62*Прил.10!$D$12,2)</f>
        <v/>
      </c>
      <c r="J62" s="32">
        <f>ROUND(I62*E62,2)</f>
        <v/>
      </c>
    </row>
    <row r="63" ht="25.5" customFormat="1" customHeight="1" s="215">
      <c r="A63" s="249" t="n">
        <v>36</v>
      </c>
      <c r="B63" s="154" t="inlineStr">
        <is>
          <t>05.1.01.10-0131</t>
        </is>
      </c>
      <c r="C63" s="248" t="inlineStr">
        <is>
          <t>Лотки каналов и тоннелей железобетонные для прокладки коммуникаций</t>
        </is>
      </c>
      <c r="D63" s="249" t="inlineStr">
        <is>
          <t>м3</t>
        </is>
      </c>
      <c r="E63" s="196" t="n">
        <v>0.84</v>
      </c>
      <c r="F63" s="265" t="n">
        <v>1837.28</v>
      </c>
      <c r="G63" s="32">
        <f>ROUND(E63*F63,2)</f>
        <v/>
      </c>
      <c r="H63" s="252">
        <f>G63/$G$114</f>
        <v/>
      </c>
      <c r="I63" s="32">
        <f>ROUND(F63*Прил.10!$D$12,2)</f>
        <v/>
      </c>
      <c r="J63" s="32">
        <f>ROUND(I63*E63,2)</f>
        <v/>
      </c>
    </row>
    <row r="64" ht="38.25" customFormat="1" customHeight="1" s="215">
      <c r="A64" s="249" t="n">
        <v>37</v>
      </c>
      <c r="B64" s="154" t="inlineStr">
        <is>
          <t>08.4.03.03-0031</t>
        </is>
      </c>
      <c r="C64" s="248" t="inlineStr">
        <is>
          <t>Сталь арматурная, горячекатаная, периодического профиля, класс А-III, диаметр 10 мм</t>
        </is>
      </c>
      <c r="D64" s="249" t="inlineStr">
        <is>
          <t>т</t>
        </is>
      </c>
      <c r="E64" s="196" t="n">
        <v>0.105</v>
      </c>
      <c r="F64" s="265" t="n">
        <v>8014.15</v>
      </c>
      <c r="G64" s="32">
        <f>ROUND(E64*F64,2)</f>
        <v/>
      </c>
      <c r="H64" s="252">
        <f>G64/$G$114</f>
        <v/>
      </c>
      <c r="I64" s="32">
        <f>ROUND(F64*Прил.10!$D$12,2)</f>
        <v/>
      </c>
      <c r="J64" s="32">
        <f>ROUND(I64*E64,2)</f>
        <v/>
      </c>
    </row>
    <row r="65" ht="14.25" customFormat="1" customHeight="1" s="215">
      <c r="A65" s="249" t="n"/>
      <c r="B65" s="249" t="n"/>
      <c r="C65" s="248" t="inlineStr">
        <is>
          <t>Итого основные материалы</t>
        </is>
      </c>
      <c r="D65" s="249" t="n"/>
      <c r="E65" s="196" t="n"/>
      <c r="F65" s="251" t="n"/>
      <c r="G65" s="32">
        <f>SUM(G56:G64)</f>
        <v/>
      </c>
      <c r="H65" s="252">
        <f>G65/$G$114</f>
        <v/>
      </c>
      <c r="I65" s="32" t="n"/>
      <c r="J65" s="32">
        <f>SUM(J56:J64)</f>
        <v/>
      </c>
      <c r="K65" s="153" t="n"/>
    </row>
    <row r="66" hidden="1" outlineLevel="1" ht="25.5" customFormat="1" customHeight="1" s="215">
      <c r="A66" s="249" t="n">
        <v>38</v>
      </c>
      <c r="B66" s="154" t="inlineStr">
        <is>
          <t>08.4.01.01-0022</t>
        </is>
      </c>
      <c r="C66" s="248" t="inlineStr">
        <is>
          <t>Детали анкерные с резьбой из прямых или гнутых круглых стержней</t>
        </is>
      </c>
      <c r="D66" s="249" t="inlineStr">
        <is>
          <t>т</t>
        </is>
      </c>
      <c r="E66" s="196" t="n">
        <v>0.055</v>
      </c>
      <c r="F66" s="265" t="n">
        <v>10100</v>
      </c>
      <c r="G66" s="32">
        <f>ROUND(F66*E66,2)</f>
        <v/>
      </c>
      <c r="H66" s="252">
        <f>G66/$G$114</f>
        <v/>
      </c>
      <c r="I66" s="32">
        <f>ROUND(F66*Прил.10!$D$12,2)</f>
        <v/>
      </c>
      <c r="J66" s="32">
        <f>ROUND(I66*E66,2)</f>
        <v/>
      </c>
    </row>
    <row r="67" hidden="1" outlineLevel="1" ht="51" customFormat="1" customHeight="1" s="215">
      <c r="A67" s="249" t="n">
        <v>39</v>
      </c>
      <c r="B67" s="154" t="inlineStr">
        <is>
          <t>01.2.03.05-0004</t>
        </is>
      </c>
      <c r="C67" s="248" t="inlineStr">
        <is>
          <t>Праймер битумный для подготовки (огрунтовки) изолируемых поверхностей перед укладкой наплавляемых битумных и битумно-полимерных материалов</t>
        </is>
      </c>
      <c r="D67" s="249" t="inlineStr">
        <is>
          <t>кг</t>
        </is>
      </c>
      <c r="E67" s="196" t="n">
        <v>2.4</v>
      </c>
      <c r="F67" s="265" t="n">
        <v>216.25</v>
      </c>
      <c r="G67" s="32">
        <f>ROUND(F67*E67,2)</f>
        <v/>
      </c>
      <c r="H67" s="252">
        <f>G67/$G$114</f>
        <v/>
      </c>
      <c r="I67" s="32">
        <f>ROUND(F67*Прил.10!$D$12,2)</f>
        <v/>
      </c>
      <c r="J67" s="32">
        <f>ROUND(I67*E67,2)</f>
        <v/>
      </c>
    </row>
    <row r="68" hidden="1" outlineLevel="1" ht="38.25" customFormat="1" customHeight="1" s="215">
      <c r="A68" s="249" t="n">
        <v>40</v>
      </c>
      <c r="B68" s="154" t="inlineStr">
        <is>
          <t>08.4.03.03-0029</t>
        </is>
      </c>
      <c r="C68" s="248" t="inlineStr">
        <is>
          <t>Сталь арматурная, горячекатаная, периодического профиля, класс А-III, диаметр 6 мм</t>
        </is>
      </c>
      <c r="D68" s="249" t="inlineStr">
        <is>
          <t>т</t>
        </is>
      </c>
      <c r="E68" s="196" t="n">
        <v>0.054</v>
      </c>
      <c r="F68" s="265" t="n">
        <v>8213.719999999999</v>
      </c>
      <c r="G68" s="32">
        <f>ROUND(F68*E68,2)</f>
        <v/>
      </c>
      <c r="H68" s="252">
        <f>G68/$G$114</f>
        <v/>
      </c>
      <c r="I68" s="32">
        <f>ROUND(F68*Прил.10!$D$12,2)</f>
        <v/>
      </c>
      <c r="J68" s="32">
        <f>ROUND(I68*E68,2)</f>
        <v/>
      </c>
    </row>
    <row r="69" hidden="1" outlineLevel="1" ht="25.5" customFormat="1" customHeight="1" s="215">
      <c r="A69" s="249" t="n">
        <v>41</v>
      </c>
      <c r="B69" s="154" t="inlineStr">
        <is>
          <t>20.1.01.02-0067</t>
        </is>
      </c>
      <c r="C69" s="248" t="inlineStr">
        <is>
          <t>Зажим аппаратный прессуемый: А4А-400-2</t>
        </is>
      </c>
      <c r="D69" s="249" t="inlineStr">
        <is>
          <t>100 шт.</t>
        </is>
      </c>
      <c r="E69" s="196" t="n">
        <v>0.06</v>
      </c>
      <c r="F69" s="265" t="n">
        <v>6505</v>
      </c>
      <c r="G69" s="32">
        <f>ROUND(F69*E69,2)</f>
        <v/>
      </c>
      <c r="H69" s="252">
        <f>G69/$G$114</f>
        <v/>
      </c>
      <c r="I69" s="32">
        <f>ROUND(F69*Прил.10!$D$12,2)</f>
        <v/>
      </c>
      <c r="J69" s="32">
        <f>ROUND(I69*E69,2)</f>
        <v/>
      </c>
    </row>
    <row r="70" hidden="1" outlineLevel="1" ht="25.5" customFormat="1" customHeight="1" s="215">
      <c r="A70" s="249" t="n">
        <v>42</v>
      </c>
      <c r="B70" s="154" t="inlineStr">
        <is>
          <t>02.2.05.04-1777</t>
        </is>
      </c>
      <c r="C70" s="248" t="inlineStr">
        <is>
          <t>Щебень М 800, фракция 20-40 мм, группа 2</t>
        </is>
      </c>
      <c r="D70" s="249" t="inlineStr">
        <is>
          <t>м3</t>
        </is>
      </c>
      <c r="E70" s="196" t="n">
        <v>3</v>
      </c>
      <c r="F70" s="265" t="n">
        <v>108.4</v>
      </c>
      <c r="G70" s="32">
        <f>ROUND(F70*E70,2)</f>
        <v/>
      </c>
      <c r="H70" s="252">
        <f>G70/$G$114</f>
        <v/>
      </c>
      <c r="I70" s="32">
        <f>ROUND(F70*Прил.10!$D$12,2)</f>
        <v/>
      </c>
      <c r="J70" s="32">
        <f>ROUND(I70*E70,2)</f>
        <v/>
      </c>
    </row>
    <row r="71" hidden="1" outlineLevel="1" ht="51" customFormat="1" customHeight="1" s="215">
      <c r="A71" s="249" t="n">
        <v>43</v>
      </c>
      <c r="B71" s="154" t="inlineStr">
        <is>
          <t>23.3.01.04-0074</t>
        </is>
      </c>
      <c r="C71" s="248" t="inlineStr">
        <is>
          <t>Трубы бесшовные обсадные из стали группы Д и Б с короткой треугольной резьбой, наружный диаметр 377 мм, толщина стенки 12 мм</t>
        </is>
      </c>
      <c r="D71" s="249" t="inlineStr">
        <is>
          <t>м</t>
        </is>
      </c>
      <c r="E71" s="196" t="n">
        <v>0.3</v>
      </c>
      <c r="F71" s="265" t="n">
        <v>1001.3</v>
      </c>
      <c r="G71" s="32">
        <f>ROUND(F71*E71,2)</f>
        <v/>
      </c>
      <c r="H71" s="252">
        <f>G71/$G$114</f>
        <v/>
      </c>
      <c r="I71" s="32">
        <f>ROUND(F71*Прил.10!$D$12,2)</f>
        <v/>
      </c>
      <c r="J71" s="32">
        <f>ROUND(I71*E71,2)</f>
        <v/>
      </c>
    </row>
    <row r="72" hidden="1" outlineLevel="1" ht="38.25" customFormat="1" customHeight="1" s="215">
      <c r="A72" s="249" t="n">
        <v>44</v>
      </c>
      <c r="B72" s="154" t="inlineStr">
        <is>
          <t>25.1.01.05-0032</t>
        </is>
      </c>
      <c r="C72" s="248" t="inlineStr">
        <is>
          <t>Шпалы пропитанные для железных дорог широкой колеи, обрезные и необрезные, лиственничные, тип II</t>
        </is>
      </c>
      <c r="D72" s="249" t="inlineStr">
        <is>
          <t>шт.</t>
        </is>
      </c>
      <c r="E72" s="196" t="n">
        <v>1.08</v>
      </c>
      <c r="F72" s="265" t="n">
        <v>276.17</v>
      </c>
      <c r="G72" s="32">
        <f>ROUND(F72*E72,2)</f>
        <v/>
      </c>
      <c r="H72" s="252">
        <f>G72/$G$114</f>
        <v/>
      </c>
      <c r="I72" s="32">
        <f>ROUND(F72*Прил.10!$D$12,2)</f>
        <v/>
      </c>
      <c r="J72" s="32">
        <f>ROUND(I72*E72,2)</f>
        <v/>
      </c>
    </row>
    <row r="73" hidden="1" outlineLevel="1" ht="14.25" customFormat="1" customHeight="1" s="215">
      <c r="A73" s="249" t="n">
        <v>45</v>
      </c>
      <c r="B73" s="154" t="inlineStr">
        <is>
          <t>20.1.02.23-0121</t>
        </is>
      </c>
      <c r="C73" s="248" t="inlineStr">
        <is>
          <t>Проводник заземляющий П-750</t>
        </is>
      </c>
      <c r="D73" s="249" t="inlineStr">
        <is>
          <t>шт.</t>
        </is>
      </c>
      <c r="E73" s="196" t="n">
        <v>20</v>
      </c>
      <c r="F73" s="265" t="n">
        <v>13.55</v>
      </c>
      <c r="G73" s="32">
        <f>ROUND(F73*E73,2)</f>
        <v/>
      </c>
      <c r="H73" s="252">
        <f>G73/$G$114</f>
        <v/>
      </c>
      <c r="I73" s="32">
        <f>ROUND(F73*Прил.10!$D$12,2)</f>
        <v/>
      </c>
      <c r="J73" s="32">
        <f>ROUND(I73*E73,2)</f>
        <v/>
      </c>
    </row>
    <row r="74" hidden="1" outlineLevel="1" ht="14.25" customFormat="1" customHeight="1" s="215">
      <c r="A74" s="249" t="n">
        <v>46</v>
      </c>
      <c r="B74" s="154" t="inlineStr">
        <is>
          <t>01.7.15.03-0042</t>
        </is>
      </c>
      <c r="C74" s="248" t="inlineStr">
        <is>
          <t>Болты с гайками и шайбами строительные</t>
        </is>
      </c>
      <c r="D74" s="249" t="inlineStr">
        <is>
          <t>кг</t>
        </is>
      </c>
      <c r="E74" s="196" t="n">
        <v>18.368</v>
      </c>
      <c r="F74" s="265" t="n">
        <v>9.039999999999999</v>
      </c>
      <c r="G74" s="32">
        <f>ROUND(F74*E74,2)</f>
        <v/>
      </c>
      <c r="H74" s="252">
        <f>G74/$G$114</f>
        <v/>
      </c>
      <c r="I74" s="32">
        <f>ROUND(F74*Прил.10!$D$12,2)</f>
        <v/>
      </c>
      <c r="J74" s="32">
        <f>ROUND(I74*E74,2)</f>
        <v/>
      </c>
    </row>
    <row r="75" hidden="1" outlineLevel="1" ht="14.25" customFormat="1" customHeight="1" s="215">
      <c r="A75" s="249" t="n">
        <v>47</v>
      </c>
      <c r="B75" s="154" t="inlineStr">
        <is>
          <t>11.2.13.04-0011</t>
        </is>
      </c>
      <c r="C75" s="248" t="inlineStr">
        <is>
          <t>Щиты из досок, толщина 25 мм</t>
        </is>
      </c>
      <c r="D75" s="249" t="inlineStr">
        <is>
          <t>м2</t>
        </is>
      </c>
      <c r="E75" s="196" t="n">
        <v>4.059</v>
      </c>
      <c r="F75" s="265" t="n">
        <v>35.53</v>
      </c>
      <c r="G75" s="32">
        <f>ROUND(F75*E75,2)</f>
        <v/>
      </c>
      <c r="H75" s="252">
        <f>G75/$G$114</f>
        <v/>
      </c>
      <c r="I75" s="32">
        <f>ROUND(F75*Прил.10!$D$12,2)</f>
        <v/>
      </c>
      <c r="J75" s="32">
        <f>ROUND(I75*E75,2)</f>
        <v/>
      </c>
    </row>
    <row r="76" hidden="1" outlineLevel="1" ht="14.25" customFormat="1" customHeight="1" s="215">
      <c r="A76" s="249" t="n">
        <v>48</v>
      </c>
      <c r="B76" s="154" t="inlineStr">
        <is>
          <t>01.2.03.03-0013</t>
        </is>
      </c>
      <c r="C76" s="248" t="inlineStr">
        <is>
          <t>Мастика битумная кровельная горячая</t>
        </is>
      </c>
      <c r="D76" s="249" t="inlineStr">
        <is>
          <t>т</t>
        </is>
      </c>
      <c r="E76" s="196" t="n">
        <v>0.03624</v>
      </c>
      <c r="F76" s="265" t="n">
        <v>3390</v>
      </c>
      <c r="G76" s="32">
        <f>ROUND(F76*E76,2)</f>
        <v/>
      </c>
      <c r="H76" s="252">
        <f>G76/$G$114</f>
        <v/>
      </c>
      <c r="I76" s="32">
        <f>ROUND(F76*Прил.10!$D$12,2)</f>
        <v/>
      </c>
      <c r="J76" s="32">
        <f>ROUND(I76*E76,2)</f>
        <v/>
      </c>
    </row>
    <row r="77" hidden="1" outlineLevel="1" ht="76.5" customFormat="1" customHeight="1" s="215">
      <c r="A77" s="249" t="n">
        <v>49</v>
      </c>
      <c r="B77" s="154" t="inlineStr">
        <is>
          <t>08.4.01.02-0013</t>
        </is>
      </c>
      <c r="C77" s="248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D77" s="249" t="inlineStr">
        <is>
          <t>т</t>
        </is>
      </c>
      <c r="E77" s="196" t="n">
        <v>0.017</v>
      </c>
      <c r="F77" s="265" t="n">
        <v>6800</v>
      </c>
      <c r="G77" s="32">
        <f>ROUND(F77*E77,2)</f>
        <v/>
      </c>
      <c r="H77" s="252">
        <f>G77/$G$114</f>
        <v/>
      </c>
      <c r="I77" s="32">
        <f>ROUND(F77*Прил.10!$D$12,2)</f>
        <v/>
      </c>
      <c r="J77" s="32">
        <f>ROUND(I77*E77,2)</f>
        <v/>
      </c>
    </row>
    <row r="78" hidden="1" outlineLevel="1" ht="38.25" customFormat="1" customHeight="1" s="215">
      <c r="A78" s="249" t="n">
        <v>50</v>
      </c>
      <c r="B78" s="154" t="inlineStr">
        <is>
          <t>02.2.05.04-1777</t>
        </is>
      </c>
      <c r="C78" s="248" t="inlineStr">
        <is>
          <t>Щебень из природного камня для строительных работ марка: 800, фракция 20-40 мм</t>
        </is>
      </c>
      <c r="D78" s="249" t="inlineStr">
        <is>
          <t>м3</t>
        </is>
      </c>
      <c r="E78" s="196" t="n">
        <v>0.94424</v>
      </c>
      <c r="F78" s="265" t="n">
        <v>108.4</v>
      </c>
      <c r="G78" s="32">
        <f>ROUND(F78*E78,2)</f>
        <v/>
      </c>
      <c r="H78" s="252">
        <f>G78/$G$114</f>
        <v/>
      </c>
      <c r="I78" s="32">
        <f>ROUND(F78*Прил.10!$D$12,2)</f>
        <v/>
      </c>
      <c r="J78" s="32">
        <f>ROUND(I78*E78,2)</f>
        <v/>
      </c>
    </row>
    <row r="79" hidden="1" outlineLevel="1" ht="25.5" customFormat="1" customHeight="1" s="215">
      <c r="A79" s="249" t="n">
        <v>51</v>
      </c>
      <c r="B79" s="154" t="inlineStr">
        <is>
          <t>04.3.01.09-0015</t>
        </is>
      </c>
      <c r="C79" s="248" t="inlineStr">
        <is>
          <t>Раствор готовый кладочный, цементный, М150</t>
        </is>
      </c>
      <c r="D79" s="249" t="inlineStr">
        <is>
          <t>м3</t>
        </is>
      </c>
      <c r="E79" s="196" t="n">
        <v>0.18615</v>
      </c>
      <c r="F79" s="265" t="n">
        <v>548.3</v>
      </c>
      <c r="G79" s="32">
        <f>ROUND(F79*E79,2)</f>
        <v/>
      </c>
      <c r="H79" s="252">
        <f>G79/$G$114</f>
        <v/>
      </c>
      <c r="I79" s="32">
        <f>ROUND(F79*Прил.10!$D$12,2)</f>
        <v/>
      </c>
      <c r="J79" s="32">
        <f>ROUND(I79*E79,2)</f>
        <v/>
      </c>
    </row>
    <row r="80" hidden="1" outlineLevel="1" ht="14.25" customFormat="1" customHeight="1" s="215">
      <c r="A80" s="249" t="n">
        <v>52</v>
      </c>
      <c r="B80" s="154" t="inlineStr">
        <is>
          <t>01.7.15.11-0026</t>
        </is>
      </c>
      <c r="C80" s="248" t="inlineStr">
        <is>
          <t>Шайбы квадратные</t>
        </is>
      </c>
      <c r="D80" s="249" t="inlineStr">
        <is>
          <t>100 шт.</t>
        </is>
      </c>
      <c r="E80" s="196" t="n">
        <v>0.36</v>
      </c>
      <c r="F80" s="265" t="n">
        <v>254</v>
      </c>
      <c r="G80" s="32">
        <f>ROUND(F80*E80,2)</f>
        <v/>
      </c>
      <c r="H80" s="252">
        <f>G80/$G$114</f>
        <v/>
      </c>
      <c r="I80" s="32">
        <f>ROUND(F80*Прил.10!$D$12,2)</f>
        <v/>
      </c>
      <c r="J80" s="32">
        <f>ROUND(I80*E80,2)</f>
        <v/>
      </c>
    </row>
    <row r="81" hidden="1" outlineLevel="1" ht="25.5" customFormat="1" customHeight="1" s="215">
      <c r="A81" s="249" t="n">
        <v>53</v>
      </c>
      <c r="B81" s="154" t="inlineStr">
        <is>
          <t>08.4.03.02-0001</t>
        </is>
      </c>
      <c r="C81" s="248" t="inlineStr">
        <is>
          <t>Сталь арматурная, горячекатаная, гладкая, класс А-I, диаметр 6 мм</t>
        </is>
      </c>
      <c r="D81" s="249" t="inlineStr">
        <is>
          <t>т</t>
        </is>
      </c>
      <c r="E81" s="196" t="n">
        <v>0.012</v>
      </c>
      <c r="F81" s="265" t="n">
        <v>7418.82</v>
      </c>
      <c r="G81" s="32">
        <f>ROUND(F81*E81,2)</f>
        <v/>
      </c>
      <c r="H81" s="252">
        <f>G81/$G$114</f>
        <v/>
      </c>
      <c r="I81" s="32">
        <f>ROUND(F81*Прил.10!$D$12,2)</f>
        <v/>
      </c>
      <c r="J81" s="32">
        <f>ROUND(I81*E81,2)</f>
        <v/>
      </c>
    </row>
    <row r="82" hidden="1" outlineLevel="1" ht="38.25" customFormat="1" customHeight="1" s="215">
      <c r="A82" s="249" t="n">
        <v>54</v>
      </c>
      <c r="B82" s="154" t="inlineStr">
        <is>
          <t>08.3.07.01-0076</t>
        </is>
      </c>
      <c r="C82" s="248" t="inlineStr">
        <is>
          <t>Прокат полосовой, горячекатаный, марка стали Ст3сп, ширина 50-200 мм, толщина 4-5 мм</t>
        </is>
      </c>
      <c r="D82" s="249" t="inlineStr">
        <is>
          <t>т</t>
        </is>
      </c>
      <c r="E82" s="196" t="n">
        <v>0.01689</v>
      </c>
      <c r="F82" s="265" t="n">
        <v>5000</v>
      </c>
      <c r="G82" s="32">
        <f>ROUND(F82*E82,2)</f>
        <v/>
      </c>
      <c r="H82" s="252">
        <f>G82/$G$114</f>
        <v/>
      </c>
      <c r="I82" s="32">
        <f>ROUND(F82*Прил.10!$D$12,2)</f>
        <v/>
      </c>
      <c r="J82" s="32">
        <f>ROUND(I82*E82,2)</f>
        <v/>
      </c>
    </row>
    <row r="83" hidden="1" outlineLevel="1" ht="25.5" customFormat="1" customHeight="1" s="215">
      <c r="A83" s="249" t="n">
        <v>55</v>
      </c>
      <c r="B83" s="154" t="inlineStr">
        <is>
          <t>20.2.10.03-0002</t>
        </is>
      </c>
      <c r="C83" s="248" t="inlineStr">
        <is>
          <t>Наконечники кабельные медные для электротехнических установок</t>
        </is>
      </c>
      <c r="D83" s="249" t="inlineStr">
        <is>
          <t>100 шт.</t>
        </is>
      </c>
      <c r="E83" s="196" t="n">
        <v>0.0204</v>
      </c>
      <c r="F83" s="265" t="n">
        <v>3986</v>
      </c>
      <c r="G83" s="32">
        <f>ROUND(F83*E83,2)</f>
        <v/>
      </c>
      <c r="H83" s="252">
        <f>G83/$G$114</f>
        <v/>
      </c>
      <c r="I83" s="32">
        <f>ROUND(F83*Прил.10!$D$12,2)</f>
        <v/>
      </c>
      <c r="J83" s="32">
        <f>ROUND(I83*E83,2)</f>
        <v/>
      </c>
    </row>
    <row r="84" hidden="1" outlineLevel="1" ht="25.5" customFormat="1" customHeight="1" s="215">
      <c r="A84" s="249" t="n">
        <v>56</v>
      </c>
      <c r="B84" s="154" t="inlineStr">
        <is>
          <t>14.4.04.04-0002</t>
        </is>
      </c>
      <c r="C84" s="248" t="inlineStr">
        <is>
          <t>Эмаль кремнийорганическая КО-168 атмосферостойкая разных цветов</t>
        </is>
      </c>
      <c r="D84" s="249" t="inlineStr">
        <is>
          <t>т</t>
        </is>
      </c>
      <c r="E84" s="196" t="n">
        <v>0.002</v>
      </c>
      <c r="F84" s="265" t="n">
        <v>33915</v>
      </c>
      <c r="G84" s="32">
        <f>ROUND(F84*E84,2)</f>
        <v/>
      </c>
      <c r="H84" s="252">
        <f>G84/$G$114</f>
        <v/>
      </c>
      <c r="I84" s="32">
        <f>ROUND(F84*Прил.10!$D$12,2)</f>
        <v/>
      </c>
      <c r="J84" s="32">
        <f>ROUND(I84*E84,2)</f>
        <v/>
      </c>
    </row>
    <row r="85" hidden="1" outlineLevel="1" ht="14.25" customFormat="1" customHeight="1" s="215">
      <c r="A85" s="249" t="n">
        <v>57</v>
      </c>
      <c r="B85" s="154" t="inlineStr">
        <is>
          <t>14.4.02.09-0001</t>
        </is>
      </c>
      <c r="C85" s="248" t="inlineStr">
        <is>
          <t>Краска</t>
        </is>
      </c>
      <c r="D85" s="249" t="inlineStr">
        <is>
          <t>кг</t>
        </is>
      </c>
      <c r="E85" s="196" t="n">
        <v>2.061</v>
      </c>
      <c r="F85" s="265" t="n">
        <v>28.6</v>
      </c>
      <c r="G85" s="32">
        <f>ROUND(F85*E85,2)</f>
        <v/>
      </c>
      <c r="H85" s="252">
        <f>G85/$G$114</f>
        <v/>
      </c>
      <c r="I85" s="32">
        <f>ROUND(F85*Прил.10!$D$12,2)</f>
        <v/>
      </c>
      <c r="J85" s="32">
        <f>ROUND(I85*E85,2)</f>
        <v/>
      </c>
    </row>
    <row r="86" hidden="1" outlineLevel="1" ht="25.5" customFormat="1" customHeight="1" s="215">
      <c r="A86" s="249" t="n">
        <v>58</v>
      </c>
      <c r="B86" s="154" t="inlineStr">
        <is>
          <t>01.7.11.07-0034</t>
        </is>
      </c>
      <c r="C86" s="248" t="inlineStr">
        <is>
          <t>Электроды сварочные Э42А, диаметр 4 мм</t>
        </is>
      </c>
      <c r="D86" s="249" t="inlineStr">
        <is>
          <t>кг</t>
        </is>
      </c>
      <c r="E86" s="196" t="n">
        <v>4.851</v>
      </c>
      <c r="F86" s="265" t="n">
        <v>10.57</v>
      </c>
      <c r="G86" s="32">
        <f>ROUND(F86*E86,2)</f>
        <v/>
      </c>
      <c r="H86" s="252">
        <f>G86/$G$114</f>
        <v/>
      </c>
      <c r="I86" s="32">
        <f>ROUND(F86*Прил.10!$D$12,2)</f>
        <v/>
      </c>
      <c r="J86" s="32">
        <f>ROUND(I86*E86,2)</f>
        <v/>
      </c>
    </row>
    <row r="87" hidden="1" outlineLevel="1" ht="25.5" customFormat="1" customHeight="1" s="215">
      <c r="A87" s="249" t="n">
        <v>59</v>
      </c>
      <c r="B87" s="154" t="inlineStr">
        <is>
          <t>01.3.01.06-0050</t>
        </is>
      </c>
      <c r="C87" s="248" t="inlineStr">
        <is>
          <t>Смазка универсальная тугоплавкая УТ (консталин жировой)</t>
        </is>
      </c>
      <c r="D87" s="249" t="inlineStr">
        <is>
          <t>т</t>
        </is>
      </c>
      <c r="E87" s="196" t="n">
        <v>0.00246</v>
      </c>
      <c r="F87" s="265" t="n">
        <v>17500</v>
      </c>
      <c r="G87" s="32">
        <f>ROUND(F87*E87,2)</f>
        <v/>
      </c>
      <c r="H87" s="252">
        <f>G87/$G$114</f>
        <v/>
      </c>
      <c r="I87" s="32">
        <f>ROUND(F87*Прил.10!$D$12,2)</f>
        <v/>
      </c>
      <c r="J87" s="32">
        <f>ROUND(I87*E87,2)</f>
        <v/>
      </c>
    </row>
    <row r="88" hidden="1" outlineLevel="1" ht="25.5" customFormat="1" customHeight="1" s="215">
      <c r="A88" s="249" t="n">
        <v>60</v>
      </c>
      <c r="B88" s="154" t="inlineStr">
        <is>
          <t>999-9950</t>
        </is>
      </c>
      <c r="C88" s="248" t="inlineStr">
        <is>
          <t>Вспомогательные ненормируемые материалы</t>
        </is>
      </c>
      <c r="D88" s="249" t="inlineStr">
        <is>
          <t>руб</t>
        </is>
      </c>
      <c r="E88" s="196" t="n">
        <v>26.8719</v>
      </c>
      <c r="F88" s="265" t="n">
        <v>1</v>
      </c>
      <c r="G88" s="32">
        <f>ROUND(F88*E88,2)</f>
        <v/>
      </c>
      <c r="H88" s="252">
        <f>G88/$G$114</f>
        <v/>
      </c>
      <c r="I88" s="32">
        <f>ROUND(F88*Прил.10!$D$12,2)</f>
        <v/>
      </c>
      <c r="J88" s="32">
        <f>ROUND(I88*E88,2)</f>
        <v/>
      </c>
    </row>
    <row r="89" hidden="1" outlineLevel="1" ht="38.25" customFormat="1" customHeight="1" s="215">
      <c r="A89" s="249" t="n">
        <v>61</v>
      </c>
      <c r="B89" s="154" t="inlineStr">
        <is>
          <t>11.1.03.06-0095</t>
        </is>
      </c>
      <c r="C89" s="248" t="inlineStr">
        <is>
          <t>Доска обрезная, хвойных пород, ширина 75-150 мм, толщина 44 мм и более, длина 4-6,5 м, сорт III</t>
        </is>
      </c>
      <c r="D89" s="249" t="inlineStr">
        <is>
          <t>м3</t>
        </is>
      </c>
      <c r="E89" s="196" t="n">
        <v>0.02346</v>
      </c>
      <c r="F89" s="265" t="n">
        <v>1056</v>
      </c>
      <c r="G89" s="32">
        <f>ROUND(F89*E89,2)</f>
        <v/>
      </c>
      <c r="H89" s="252">
        <f>G89/$G$114</f>
        <v/>
      </c>
      <c r="I89" s="32">
        <f>ROUND(F89*Прил.10!$D$12,2)</f>
        <v/>
      </c>
      <c r="J89" s="32">
        <f>ROUND(I89*E89,2)</f>
        <v/>
      </c>
    </row>
    <row r="90" hidden="1" outlineLevel="1" ht="14.25" customFormat="1" customHeight="1" s="215">
      <c r="A90" s="249" t="n">
        <v>62</v>
      </c>
      <c r="B90" s="154" t="inlineStr">
        <is>
          <t>01.7.15.07-0014</t>
        </is>
      </c>
      <c r="C90" s="248" t="inlineStr">
        <is>
          <t>Дюбели распорные полипропиленовые</t>
        </is>
      </c>
      <c r="D90" s="249" t="inlineStr">
        <is>
          <t>100 шт.</t>
        </is>
      </c>
      <c r="E90" s="196" t="n">
        <v>0.2448</v>
      </c>
      <c r="F90" s="265" t="n">
        <v>86</v>
      </c>
      <c r="G90" s="32">
        <f>ROUND(F90*E90,2)</f>
        <v/>
      </c>
      <c r="H90" s="252">
        <f>G90/$G$114</f>
        <v/>
      </c>
      <c r="I90" s="32">
        <f>ROUND(F90*Прил.10!$D$12,2)</f>
        <v/>
      </c>
      <c r="J90" s="32">
        <f>ROUND(I90*E90,2)</f>
        <v/>
      </c>
    </row>
    <row r="91" hidden="1" outlineLevel="1" ht="89.25" customFormat="1" customHeight="1" s="215">
      <c r="A91" s="249" t="n">
        <v>63</v>
      </c>
      <c r="B91" s="154" t="inlineStr">
        <is>
          <t>08.4.01.02-0014</t>
        </is>
      </c>
      <c r="C91" s="248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приваренными к стержням каркасов и сеток</t>
        </is>
      </c>
      <c r="D91" s="249" t="inlineStr">
        <is>
          <t>т</t>
        </is>
      </c>
      <c r="E91" s="196" t="n">
        <v>0.002</v>
      </c>
      <c r="F91" s="265" t="n">
        <v>8073</v>
      </c>
      <c r="G91" s="32">
        <f>ROUND(F91*E91,2)</f>
        <v/>
      </c>
      <c r="H91" s="252">
        <f>G91/$G$114</f>
        <v/>
      </c>
      <c r="I91" s="32">
        <f>ROUND(F91*Прил.10!$D$12,2)</f>
        <v/>
      </c>
      <c r="J91" s="32">
        <f>ROUND(I91*E91,2)</f>
        <v/>
      </c>
    </row>
    <row r="92" hidden="1" outlineLevel="1" ht="14.25" customFormat="1" customHeight="1" s="215">
      <c r="A92" s="249" t="n">
        <v>64</v>
      </c>
      <c r="B92" s="154" t="inlineStr">
        <is>
          <t>01.7.15.06-0111</t>
        </is>
      </c>
      <c r="C92" s="248" t="inlineStr">
        <is>
          <t>Гвозди строительные</t>
        </is>
      </c>
      <c r="D92" s="249" t="inlineStr">
        <is>
          <t>т</t>
        </is>
      </c>
      <c r="E92" s="196" t="n">
        <v>0.001258</v>
      </c>
      <c r="F92" s="265" t="n">
        <v>11978</v>
      </c>
      <c r="G92" s="32">
        <f>ROUND(F92*E92,2)</f>
        <v/>
      </c>
      <c r="H92" s="252">
        <f>G92/$G$114</f>
        <v/>
      </c>
      <c r="I92" s="32">
        <f>ROUND(F92*Прил.10!$D$12,2)</f>
        <v/>
      </c>
      <c r="J92" s="32">
        <f>ROUND(I92*E92,2)</f>
        <v/>
      </c>
    </row>
    <row r="93" hidden="1" outlineLevel="1" ht="38.25" customFormat="1" customHeight="1" s="215">
      <c r="A93" s="249" t="n">
        <v>65</v>
      </c>
      <c r="B93" s="154" t="inlineStr">
        <is>
          <t>11.1.02.04-0031</t>
        </is>
      </c>
      <c r="C93" s="248" t="inlineStr">
        <is>
          <t>Лесоматериалы круглые, хвойных пород, для строительства, диаметр 14-24 см, длина 3-6,5 м</t>
        </is>
      </c>
      <c r="D93" s="249" t="inlineStr">
        <is>
          <t>м3</t>
        </is>
      </c>
      <c r="E93" s="196" t="n">
        <v>0.02346</v>
      </c>
      <c r="F93" s="265" t="n">
        <v>558.33</v>
      </c>
      <c r="G93" s="32">
        <f>ROUND(F93*E93,2)</f>
        <v/>
      </c>
      <c r="H93" s="252">
        <f>G93/$G$114</f>
        <v/>
      </c>
      <c r="I93" s="32">
        <f>ROUND(F93*Прил.10!$D$12,2)</f>
        <v/>
      </c>
      <c r="J93" s="32">
        <f>ROUND(I93*E93,2)</f>
        <v/>
      </c>
    </row>
    <row r="94" hidden="1" outlineLevel="1" ht="14.25" customFormat="1" customHeight="1" s="215">
      <c r="A94" s="249" t="n">
        <v>66</v>
      </c>
      <c r="B94" s="154" t="inlineStr">
        <is>
          <t>01.7.20.08-0031</t>
        </is>
      </c>
      <c r="C94" s="248" t="inlineStr">
        <is>
          <t>Бязь суровая</t>
        </is>
      </c>
      <c r="D94" s="249" t="inlineStr">
        <is>
          <t>10 м2</t>
        </is>
      </c>
      <c r="E94" s="196" t="n">
        <v>0.1386</v>
      </c>
      <c r="F94" s="265" t="n">
        <v>79.09999999999999</v>
      </c>
      <c r="G94" s="32">
        <f>ROUND(F94*E94,2)</f>
        <v/>
      </c>
      <c r="H94" s="252">
        <f>G94/$G$114</f>
        <v/>
      </c>
      <c r="I94" s="32">
        <f>ROUND(F94*Прил.10!$D$12,2)</f>
        <v/>
      </c>
      <c r="J94" s="32">
        <f>ROUND(I94*E94,2)</f>
        <v/>
      </c>
    </row>
    <row r="95" hidden="1" outlineLevel="1" ht="14.25" customFormat="1" customHeight="1" s="215">
      <c r="A95" s="249" t="n">
        <v>67</v>
      </c>
      <c r="B95" s="154" t="inlineStr">
        <is>
          <t>07.2.07.02-0001</t>
        </is>
      </c>
      <c r="C95" s="248" t="inlineStr">
        <is>
          <t>Кондуктор инвентарный металлический</t>
        </is>
      </c>
      <c r="D95" s="249" t="inlineStr">
        <is>
          <t>шт.</t>
        </is>
      </c>
      <c r="E95" s="196" t="n">
        <v>0.03055</v>
      </c>
      <c r="F95" s="265" t="n">
        <v>346</v>
      </c>
      <c r="G95" s="32">
        <f>ROUND(F95*E95,2)</f>
        <v/>
      </c>
      <c r="H95" s="252">
        <f>G95/$G$114</f>
        <v/>
      </c>
      <c r="I95" s="32">
        <f>ROUND(F95*Прил.10!$D$12,2)</f>
        <v/>
      </c>
      <c r="J95" s="32">
        <f>ROUND(I95*E95,2)</f>
        <v/>
      </c>
    </row>
    <row r="96" hidden="1" outlineLevel="1" ht="14.25" customFormat="1" customHeight="1" s="215">
      <c r="A96" s="249" t="n">
        <v>68</v>
      </c>
      <c r="B96" s="154" t="inlineStr">
        <is>
          <t>14.5.09.07-0029</t>
        </is>
      </c>
      <c r="C96" s="248" t="inlineStr">
        <is>
          <t>Растворитель марки: Р-4</t>
        </is>
      </c>
      <c r="D96" s="249" t="inlineStr">
        <is>
          <t>т</t>
        </is>
      </c>
      <c r="E96" s="196" t="n">
        <v>0.001104</v>
      </c>
      <c r="F96" s="265" t="n">
        <v>9420</v>
      </c>
      <c r="G96" s="32">
        <f>ROUND(F96*E96,2)</f>
        <v/>
      </c>
      <c r="H96" s="252">
        <f>G96/$G$114</f>
        <v/>
      </c>
      <c r="I96" s="32">
        <f>ROUND(F96*Прил.10!$D$12,2)</f>
        <v/>
      </c>
      <c r="J96" s="32">
        <f>ROUND(I96*E96,2)</f>
        <v/>
      </c>
    </row>
    <row r="97" hidden="1" outlineLevel="1" ht="14.25" customFormat="1" customHeight="1" s="215">
      <c r="A97" s="249" t="n">
        <v>69</v>
      </c>
      <c r="B97" s="154" t="inlineStr">
        <is>
          <t>01.3.01.03-0002</t>
        </is>
      </c>
      <c r="C97" s="248" t="inlineStr">
        <is>
          <t>Керосин для технических целей</t>
        </is>
      </c>
      <c r="D97" s="249" t="inlineStr">
        <is>
          <t>т</t>
        </is>
      </c>
      <c r="E97" s="196" t="n">
        <v>0.003624</v>
      </c>
      <c r="F97" s="265" t="n">
        <v>2606.9</v>
      </c>
      <c r="G97" s="32">
        <f>ROUND(F97*E97,2)</f>
        <v/>
      </c>
      <c r="H97" s="252">
        <f>G97/$G$114</f>
        <v/>
      </c>
      <c r="I97" s="32">
        <f>ROUND(F97*Прил.10!$D$12,2)</f>
        <v/>
      </c>
      <c r="J97" s="32">
        <f>ROUND(I97*E97,2)</f>
        <v/>
      </c>
    </row>
    <row r="98" hidden="1" outlineLevel="1" ht="38.25" customFormat="1" customHeight="1" s="215">
      <c r="A98" s="249" t="n">
        <v>70</v>
      </c>
      <c r="B98" s="154" t="inlineStr">
        <is>
          <t>11.1.03.06-0087</t>
        </is>
      </c>
      <c r="C98" s="248" t="inlineStr">
        <is>
          <t>Доска обрезная, хвойных пород, ширина 75-150 мм, толщина 25 мм, длина 4-6,5 м, сорт III</t>
        </is>
      </c>
      <c r="D98" s="249" t="inlineStr">
        <is>
          <t>м3</t>
        </is>
      </c>
      <c r="E98" s="196" t="n">
        <v>0.0068</v>
      </c>
      <c r="F98" s="265" t="n">
        <v>1100</v>
      </c>
      <c r="G98" s="32">
        <f>ROUND(F98*E98,2)</f>
        <v/>
      </c>
      <c r="H98" s="252">
        <f>G98/$G$114</f>
        <v/>
      </c>
      <c r="I98" s="32">
        <f>ROUND(F98*Прил.10!$D$12,2)</f>
        <v/>
      </c>
      <c r="J98" s="32">
        <f>ROUND(I98*E98,2)</f>
        <v/>
      </c>
    </row>
    <row r="99" hidden="1" outlineLevel="1" ht="25.5" customFormat="1" customHeight="1" s="215">
      <c r="A99" s="249" t="n">
        <v>71</v>
      </c>
      <c r="B99" s="154" t="inlineStr">
        <is>
          <t>08.3.03.06-0002</t>
        </is>
      </c>
      <c r="C99" s="248" t="inlineStr">
        <is>
          <t>Проволока горячекатаная в мотках, диаметр 6,3-6,5 мм</t>
        </is>
      </c>
      <c r="D99" s="249" t="inlineStr">
        <is>
          <t>т</t>
        </is>
      </c>
      <c r="E99" s="196" t="n">
        <v>0.00136</v>
      </c>
      <c r="F99" s="265" t="n">
        <v>4455.2</v>
      </c>
      <c r="G99" s="32">
        <f>ROUND(F99*E99,2)</f>
        <v/>
      </c>
      <c r="H99" s="252">
        <f>G99/$G$114</f>
        <v/>
      </c>
      <c r="I99" s="32">
        <f>ROUND(F99*Прил.10!$D$12,2)</f>
        <v/>
      </c>
      <c r="J99" s="32">
        <f>ROUND(I99*E99,2)</f>
        <v/>
      </c>
    </row>
    <row r="100" hidden="1" outlineLevel="1" ht="14.25" customFormat="1" customHeight="1" s="215">
      <c r="A100" s="249" t="n">
        <v>72</v>
      </c>
      <c r="B100" s="154" t="inlineStr">
        <is>
          <t>20.1.02.23-0082</t>
        </is>
      </c>
      <c r="C100" s="248" t="inlineStr">
        <is>
          <t>Перемычки гибкие, тип ПГС-50</t>
        </is>
      </c>
      <c r="D100" s="249" t="inlineStr">
        <is>
          <t>10 шт.</t>
        </is>
      </c>
      <c r="E100" s="196" t="n">
        <v>0.1</v>
      </c>
      <c r="F100" s="265" t="n">
        <v>39</v>
      </c>
      <c r="G100" s="32">
        <f>ROUND(F100*E100,2)</f>
        <v/>
      </c>
      <c r="H100" s="252">
        <f>G100/$G$114</f>
        <v/>
      </c>
      <c r="I100" s="32">
        <f>ROUND(F100*Прил.10!$D$12,2)</f>
        <v/>
      </c>
      <c r="J100" s="32">
        <f>ROUND(I100*E100,2)</f>
        <v/>
      </c>
    </row>
    <row r="101" hidden="1" outlineLevel="1" ht="14.25" customFormat="1" customHeight="1" s="215">
      <c r="A101" s="249" t="n">
        <v>73</v>
      </c>
      <c r="B101" s="154" t="inlineStr">
        <is>
          <t>14.4.03.13-0002</t>
        </is>
      </c>
      <c r="C101" s="248" t="inlineStr">
        <is>
          <t>Лак ХВ-784</t>
        </is>
      </c>
      <c r="D101" s="249" t="inlineStr">
        <is>
          <t>т</t>
        </is>
      </c>
      <c r="E101" s="196" t="n">
        <v>0.000208</v>
      </c>
      <c r="F101" s="265" t="n">
        <v>18460</v>
      </c>
      <c r="G101" s="32">
        <f>ROUND(F101*E101,2)</f>
        <v/>
      </c>
      <c r="H101" s="252">
        <f>G101/$G$114</f>
        <v/>
      </c>
      <c r="I101" s="32">
        <f>ROUND(F101*Прил.10!$D$12,2)</f>
        <v/>
      </c>
      <c r="J101" s="32">
        <f>ROUND(I101*E101,2)</f>
        <v/>
      </c>
    </row>
    <row r="102" hidden="1" outlineLevel="1" ht="38.25" customFormat="1" customHeight="1" s="215">
      <c r="A102" s="249" t="n">
        <v>74</v>
      </c>
      <c r="B102" s="154" t="inlineStr">
        <is>
          <t>11.1.03.01-0079</t>
        </is>
      </c>
      <c r="C102" s="248" t="inlineStr">
        <is>
          <t>Бруски обрезные, хвойных пород, длина 4-6,5 м, ширина 75-150 мм, толщина 40-75 мм, сорт III</t>
        </is>
      </c>
      <c r="D102" s="249" t="inlineStr">
        <is>
          <t>м3</t>
        </is>
      </c>
      <c r="E102" s="196" t="n">
        <v>0.00272</v>
      </c>
      <c r="F102" s="265" t="n">
        <v>1287</v>
      </c>
      <c r="G102" s="32">
        <f>ROUND(F102*E102,2)</f>
        <v/>
      </c>
      <c r="H102" s="252">
        <f>G102/$G$114</f>
        <v/>
      </c>
      <c r="I102" s="32">
        <f>ROUND(F102*Прил.10!$D$12,2)</f>
        <v/>
      </c>
      <c r="J102" s="32">
        <f>ROUND(I102*E102,2)</f>
        <v/>
      </c>
    </row>
    <row r="103" hidden="1" outlineLevel="1" ht="14.25" customFormat="1" customHeight="1" s="215">
      <c r="A103" s="249" t="n">
        <v>75</v>
      </c>
      <c r="B103" s="154" t="inlineStr">
        <is>
          <t>01.7.11.07-0054</t>
        </is>
      </c>
      <c r="C103" s="248" t="inlineStr">
        <is>
          <t>Электроды сварочные Э42, диаметр 6 мм</t>
        </is>
      </c>
      <c r="D103" s="249" t="inlineStr">
        <is>
          <t>т</t>
        </is>
      </c>
      <c r="E103" s="196" t="n">
        <v>0.000136</v>
      </c>
      <c r="F103" s="265" t="n">
        <v>9424</v>
      </c>
      <c r="G103" s="32">
        <f>ROUND(F103*E103,2)</f>
        <v/>
      </c>
      <c r="H103" s="252">
        <f>G103/$G$114</f>
        <v/>
      </c>
      <c r="I103" s="32">
        <f>ROUND(F103*Прил.10!$D$12,2)</f>
        <v/>
      </c>
      <c r="J103" s="32">
        <f>ROUND(I103*E103,2)</f>
        <v/>
      </c>
    </row>
    <row r="104" hidden="1" outlineLevel="1" ht="14.25" customFormat="1" customHeight="1" s="215">
      <c r="A104" s="249" t="n">
        <v>76</v>
      </c>
      <c r="B104" s="154" t="inlineStr">
        <is>
          <t>01.7.07.12-0024</t>
        </is>
      </c>
      <c r="C104" s="248" t="inlineStr">
        <is>
          <t>Пленка полиэтиленовая, толщина 0,15 мм</t>
        </is>
      </c>
      <c r="D104" s="249" t="inlineStr">
        <is>
          <t>м2</t>
        </is>
      </c>
      <c r="E104" s="196" t="n">
        <v>0.3434</v>
      </c>
      <c r="F104" s="265" t="n">
        <v>3.62</v>
      </c>
      <c r="G104" s="32">
        <f>ROUND(F104*E104,2)</f>
        <v/>
      </c>
      <c r="H104" s="252">
        <f>G104/$G$114</f>
        <v/>
      </c>
      <c r="I104" s="32">
        <f>ROUND(F104*Прил.10!$D$12,2)</f>
        <v/>
      </c>
      <c r="J104" s="32">
        <f>ROUND(I104*E104,2)</f>
        <v/>
      </c>
    </row>
    <row r="105" hidden="1" outlineLevel="1" ht="25.5" customFormat="1" customHeight="1" s="215">
      <c r="A105" s="249" t="n">
        <v>77</v>
      </c>
      <c r="B105" s="154" t="inlineStr">
        <is>
          <t>03.1.02.03-0011</t>
        </is>
      </c>
      <c r="C105" s="248" t="inlineStr">
        <is>
          <t>Известь строительная негашеная комовая, сорт I</t>
        </is>
      </c>
      <c r="D105" s="249" t="inlineStr">
        <is>
          <t>т</t>
        </is>
      </c>
      <c r="E105" s="196" t="n">
        <v>0.001564</v>
      </c>
      <c r="F105" s="265" t="n">
        <v>734.5</v>
      </c>
      <c r="G105" s="32">
        <f>ROUND(F105*E105,2)</f>
        <v/>
      </c>
      <c r="H105" s="252">
        <f>G105/$G$114</f>
        <v/>
      </c>
      <c r="I105" s="32">
        <f>ROUND(F105*Прил.10!$D$12,2)</f>
        <v/>
      </c>
      <c r="J105" s="32">
        <f>ROUND(I105*E105,2)</f>
        <v/>
      </c>
    </row>
    <row r="106" hidden="1" outlineLevel="1" ht="14.25" customFormat="1" customHeight="1" s="215">
      <c r="A106" s="249" t="n">
        <v>78</v>
      </c>
      <c r="B106" s="154" t="inlineStr">
        <is>
          <t>01.7.11.07-0032</t>
        </is>
      </c>
      <c r="C106" s="248" t="inlineStr">
        <is>
          <t>Электроды сварочные Э42, диаметр 4 мм</t>
        </is>
      </c>
      <c r="D106" s="249" t="inlineStr">
        <is>
          <t>т</t>
        </is>
      </c>
      <c r="E106" s="196" t="n">
        <v>0.00011</v>
      </c>
      <c r="F106" s="265" t="n">
        <v>10315.01</v>
      </c>
      <c r="G106" s="32">
        <f>ROUND(F106*E106,2)</f>
        <v/>
      </c>
      <c r="H106" s="252">
        <f>G106/$G$114</f>
        <v/>
      </c>
      <c r="I106" s="32">
        <f>ROUND(F106*Прил.10!$D$12,2)</f>
        <v/>
      </c>
      <c r="J106" s="32">
        <f>ROUND(I106*E106,2)</f>
        <v/>
      </c>
    </row>
    <row r="107" hidden="1" outlineLevel="1" ht="14.25" customFormat="1" customHeight="1" s="215">
      <c r="A107" s="249" t="n">
        <v>79</v>
      </c>
      <c r="B107" s="154" t="inlineStr">
        <is>
          <t>01.7.03.01-0001</t>
        </is>
      </c>
      <c r="C107" s="248" t="inlineStr">
        <is>
          <t>Вода</t>
        </is>
      </c>
      <c r="D107" s="249" t="inlineStr">
        <is>
          <t>м3</t>
        </is>
      </c>
      <c r="E107" s="196" t="n">
        <v>0.464258</v>
      </c>
      <c r="F107" s="265" t="n">
        <v>2.44</v>
      </c>
      <c r="G107" s="32">
        <f>ROUND(F107*E107,2)</f>
        <v/>
      </c>
      <c r="H107" s="252">
        <f>G107/$G$114</f>
        <v/>
      </c>
      <c r="I107" s="32">
        <f>ROUND(F107*Прил.10!$D$12,2)</f>
        <v/>
      </c>
      <c r="J107" s="32">
        <f>ROUND(I107*E107,2)</f>
        <v/>
      </c>
    </row>
    <row r="108" hidden="1" outlineLevel="1" ht="14.25" customFormat="1" customHeight="1" s="215">
      <c r="A108" s="249" t="n">
        <v>80</v>
      </c>
      <c r="B108" s="154" t="inlineStr">
        <is>
          <t>24.3.01.01-0001</t>
        </is>
      </c>
      <c r="C108" s="248" t="inlineStr">
        <is>
          <t>Трубка ХВТ</t>
        </is>
      </c>
      <c r="D108" s="249" t="inlineStr">
        <is>
          <t>кг</t>
        </is>
      </c>
      <c r="E108" s="196" t="n">
        <v>0.016</v>
      </c>
      <c r="F108" s="265" t="n">
        <v>41.7</v>
      </c>
      <c r="G108" s="32">
        <f>ROUND(F108*E108,2)</f>
        <v/>
      </c>
      <c r="H108" s="252">
        <f>G108/$G$114</f>
        <v/>
      </c>
      <c r="I108" s="32">
        <f>ROUND(F108*Прил.10!$D$12,2)</f>
        <v/>
      </c>
      <c r="J108" s="32">
        <f>ROUND(I108*E108,2)</f>
        <v/>
      </c>
    </row>
    <row r="109" hidden="1" outlineLevel="1" ht="14.25" customFormat="1" customHeight="1" s="215">
      <c r="A109" s="249" t="n">
        <v>81</v>
      </c>
      <c r="B109" s="154" t="inlineStr">
        <is>
          <t>01.7.06.07-0001</t>
        </is>
      </c>
      <c r="C109" s="248" t="inlineStr">
        <is>
          <t>Лента К226</t>
        </is>
      </c>
      <c r="D109" s="249" t="inlineStr">
        <is>
          <t>100 м</t>
        </is>
      </c>
      <c r="E109" s="196" t="n">
        <v>0.0048</v>
      </c>
      <c r="F109" s="265" t="n">
        <v>120</v>
      </c>
      <c r="G109" s="32">
        <f>ROUND(F109*E109,2)</f>
        <v/>
      </c>
      <c r="H109" s="252">
        <f>G109/$G$114</f>
        <v/>
      </c>
      <c r="I109" s="32">
        <f>ROUND(F109*Прил.10!$D$12,2)</f>
        <v/>
      </c>
      <c r="J109" s="32">
        <f>ROUND(I109*E109,2)</f>
        <v/>
      </c>
    </row>
    <row r="110" hidden="1" outlineLevel="1" ht="14.25" customFormat="1" customHeight="1" s="215">
      <c r="A110" s="249" t="n">
        <v>82</v>
      </c>
      <c r="B110" s="154" t="inlineStr">
        <is>
          <t>01.2.01.02-0054</t>
        </is>
      </c>
      <c r="C110" s="248" t="inlineStr">
        <is>
          <t>Битумы нефтяные строительные БН-90/10</t>
        </is>
      </c>
      <c r="D110" s="249" t="inlineStr">
        <is>
          <t>т</t>
        </is>
      </c>
      <c r="E110" s="196" t="n">
        <v>0.000416</v>
      </c>
      <c r="F110" s="265" t="n">
        <v>1383.1</v>
      </c>
      <c r="G110" s="32">
        <f>ROUND(F110*E110,2)</f>
        <v/>
      </c>
      <c r="H110" s="252">
        <f>G110/$G$114</f>
        <v/>
      </c>
      <c r="I110" s="32">
        <f>ROUND(F110*Прил.10!$D$12,2)</f>
        <v/>
      </c>
      <c r="J110" s="32">
        <f>ROUND(I110*E110,2)</f>
        <v/>
      </c>
    </row>
    <row r="111" hidden="1" outlineLevel="1" ht="51" customFormat="1" customHeight="1" s="215">
      <c r="A111" s="249" t="n">
        <v>83</v>
      </c>
      <c r="B111" s="154" t="inlineStr">
        <is>
          <t>01.7.15.14-0043</t>
        </is>
      </c>
      <c r="C111" s="248" t="inlineStr">
        <is>
          <t>Шурупы самонарезающий прокалывающий, для крепления металлических профилей или листовых деталей 3,5/11 мм</t>
        </is>
      </c>
      <c r="D111" s="249" t="inlineStr">
        <is>
          <t>100 шт.</t>
        </is>
      </c>
      <c r="E111" s="196" t="n">
        <v>0.2448</v>
      </c>
      <c r="F111" s="265" t="n">
        <v>2</v>
      </c>
      <c r="G111" s="32">
        <f>ROUND(F111*E111,2)</f>
        <v/>
      </c>
      <c r="H111" s="252">
        <f>G111/$G$114</f>
        <v/>
      </c>
      <c r="I111" s="32">
        <f>ROUND(F111*Прил.10!$D$12,2)</f>
        <v/>
      </c>
      <c r="J111" s="32">
        <f>ROUND(I111*E111,2)</f>
        <v/>
      </c>
    </row>
    <row r="112" hidden="1" outlineLevel="1" ht="14.25" customFormat="1" customHeight="1" s="215">
      <c r="A112" s="249" t="n">
        <v>84</v>
      </c>
      <c r="B112" s="154" t="inlineStr">
        <is>
          <t>01.7.20.08-0051</t>
        </is>
      </c>
      <c r="C112" s="248" t="inlineStr">
        <is>
          <t>Ветошь</t>
        </is>
      </c>
      <c r="D112" s="249" t="inlineStr">
        <is>
          <t>кг</t>
        </is>
      </c>
      <c r="E112" s="196" t="n">
        <v>0.0151</v>
      </c>
      <c r="F112" s="265" t="n">
        <v>1.82</v>
      </c>
      <c r="G112" s="32">
        <f>ROUND(F112*E112,2)</f>
        <v/>
      </c>
      <c r="H112" s="252">
        <f>G112/$G$114</f>
        <v/>
      </c>
      <c r="I112" s="32">
        <f>ROUND(F112*Прил.10!$D$12,2)</f>
        <v/>
      </c>
      <c r="J112" s="32">
        <f>ROUND(I112*E112,2)</f>
        <v/>
      </c>
    </row>
    <row r="113" collapsed="1" ht="14.25" customFormat="1" customHeight="1" s="215">
      <c r="A113" s="249" t="n"/>
      <c r="B113" s="249" t="n"/>
      <c r="C113" s="248" t="inlineStr">
        <is>
          <t>Итого прочие материалы</t>
        </is>
      </c>
      <c r="D113" s="249" t="n"/>
      <c r="E113" s="250" t="n"/>
      <c r="F113" s="251" t="n"/>
      <c r="G113" s="32">
        <f>SUM(G66:G112)</f>
        <v/>
      </c>
      <c r="H113" s="252">
        <f>G113/G114</f>
        <v/>
      </c>
      <c r="I113" s="32" t="n"/>
      <c r="J113" s="32">
        <f>SUM(J66:J112)</f>
        <v/>
      </c>
    </row>
    <row r="114" ht="14.25" customFormat="1" customHeight="1" s="215">
      <c r="A114" s="249" t="n"/>
      <c r="B114" s="249" t="n"/>
      <c r="C114" s="245" t="inlineStr">
        <is>
          <t>Итого по разделу «Материалы»</t>
        </is>
      </c>
      <c r="D114" s="249" t="n"/>
      <c r="E114" s="250" t="n"/>
      <c r="F114" s="251" t="n"/>
      <c r="G114" s="32">
        <f>G65+G113</f>
        <v/>
      </c>
      <c r="H114" s="252" t="n">
        <v>1</v>
      </c>
      <c r="I114" s="251" t="n"/>
      <c r="J114" s="32">
        <f>J65+J113</f>
        <v/>
      </c>
      <c r="K114" s="153" t="n"/>
    </row>
    <row r="115" ht="14.25" customFormat="1" customHeight="1" s="215">
      <c r="A115" s="249" t="n"/>
      <c r="B115" s="249" t="n"/>
      <c r="C115" s="248" t="inlineStr">
        <is>
          <t>ИТОГО ПО РМ</t>
        </is>
      </c>
      <c r="D115" s="249" t="n"/>
      <c r="E115" s="250" t="n"/>
      <c r="F115" s="251" t="n"/>
      <c r="G115" s="32">
        <f>G14+G45+G114</f>
        <v/>
      </c>
      <c r="H115" s="252" t="n"/>
      <c r="I115" s="251" t="n"/>
      <c r="J115" s="32">
        <f>J14+J45+J114</f>
        <v/>
      </c>
    </row>
    <row r="116" ht="14.25" customFormat="1" customHeight="1" s="215">
      <c r="A116" s="249" t="n"/>
      <c r="B116" s="249" t="n"/>
      <c r="C116" s="248" t="inlineStr">
        <is>
          <t>Накладные расходы</t>
        </is>
      </c>
      <c r="D116" s="249" t="inlineStr">
        <is>
          <t>%</t>
        </is>
      </c>
      <c r="E116" s="16">
        <f>ROUND(G116/(G14+G16),2)</f>
        <v/>
      </c>
      <c r="F116" s="251" t="n"/>
      <c r="G116" s="32" t="n">
        <v>2972</v>
      </c>
      <c r="H116" s="252" t="n"/>
      <c r="I116" s="251" t="n"/>
      <c r="J116" s="32">
        <f>ROUND(E116*(J14+J16),2)</f>
        <v/>
      </c>
      <c r="K116" s="28" t="n"/>
    </row>
    <row r="117" ht="14.25" customFormat="1" customHeight="1" s="215">
      <c r="A117" s="249" t="n"/>
      <c r="B117" s="249" t="n"/>
      <c r="C117" s="248" t="inlineStr">
        <is>
          <t>Сметная прибыль</t>
        </is>
      </c>
      <c r="D117" s="249" t="inlineStr">
        <is>
          <t>%</t>
        </is>
      </c>
      <c r="E117" s="16">
        <f>ROUND(G117/(G14+G16),2)</f>
        <v/>
      </c>
      <c r="F117" s="251" t="n"/>
      <c r="G117" s="32" t="n">
        <v>1980</v>
      </c>
      <c r="H117" s="252" t="n"/>
      <c r="I117" s="251" t="n"/>
      <c r="J117" s="32">
        <f>ROUND(E117*(J14+J16),2)</f>
        <v/>
      </c>
      <c r="K117" s="28" t="n"/>
    </row>
    <row r="118" ht="14.25" customFormat="1" customHeight="1" s="215">
      <c r="A118" s="249" t="n"/>
      <c r="B118" s="249" t="n"/>
      <c r="C118" s="248" t="inlineStr">
        <is>
          <t>Итого СМР (с НР и СП)</t>
        </is>
      </c>
      <c r="D118" s="249" t="n"/>
      <c r="E118" s="250" t="n"/>
      <c r="F118" s="251" t="n"/>
      <c r="G118" s="32">
        <f>G14+G45+G114+G116+G117</f>
        <v/>
      </c>
      <c r="H118" s="252" t="n"/>
      <c r="I118" s="251" t="n"/>
      <c r="J118" s="32">
        <f>J14+J45+J114+J116+J117</f>
        <v/>
      </c>
      <c r="L118" s="155" t="n"/>
    </row>
    <row r="119" ht="14.25" customFormat="1" customHeight="1" s="215">
      <c r="A119" s="249" t="n"/>
      <c r="B119" s="249" t="n"/>
      <c r="C119" s="248" t="inlineStr">
        <is>
          <t>ВСЕГО СМР + ОБОРУДОВАНИЕ</t>
        </is>
      </c>
      <c r="D119" s="249" t="n"/>
      <c r="E119" s="250" t="n"/>
      <c r="F119" s="251" t="n"/>
      <c r="G119" s="32">
        <f>G118+G52</f>
        <v/>
      </c>
      <c r="H119" s="252" t="n"/>
      <c r="I119" s="251" t="n"/>
      <c r="J119" s="32">
        <f>J118+J52</f>
        <v/>
      </c>
      <c r="L119" s="28" t="n"/>
    </row>
    <row r="120" ht="14.25" customFormat="1" customHeight="1" s="215">
      <c r="A120" s="249" t="n"/>
      <c r="B120" s="249" t="n"/>
      <c r="C120" s="248" t="inlineStr">
        <is>
          <t>ИТОГО ПОКАЗАТЕЛЬ НА ЕД. ИЗМ.</t>
        </is>
      </c>
      <c r="D120" s="249" t="inlineStr">
        <is>
          <t>ед.</t>
        </is>
      </c>
      <c r="E120" s="203">
        <f>'Прил.1 Сравнит табл'!D15</f>
        <v/>
      </c>
      <c r="F120" s="251" t="n"/>
      <c r="G120" s="32">
        <f>G119/E120</f>
        <v/>
      </c>
      <c r="H120" s="252" t="n"/>
      <c r="I120" s="251" t="n"/>
      <c r="J120" s="32">
        <f>J119/E120</f>
        <v/>
      </c>
      <c r="L120" s="28" t="n"/>
    </row>
    <row r="123" ht="14.25" customFormat="1" customHeight="1" s="215">
      <c r="A123" s="213" t="n"/>
    </row>
    <row r="124" ht="14.25" customFormat="1" customHeight="1" s="215">
      <c r="A124" s="205" t="inlineStr">
        <is>
          <t>Составил ______________________        Е. М. Добровольская</t>
        </is>
      </c>
    </row>
    <row r="125" ht="14.25" customFormat="1" customHeight="1" s="215">
      <c r="A125" s="216" t="inlineStr">
        <is>
          <t xml:space="preserve">                         (подпись, инициалы, фамилия)</t>
        </is>
      </c>
    </row>
    <row r="126" ht="14.25" customFormat="1" customHeight="1" s="215">
      <c r="A126" s="205" t="n"/>
    </row>
    <row r="127" ht="14.25" customFormat="1" customHeight="1" s="215">
      <c r="A127" s="205" t="inlineStr">
        <is>
          <t>Проверил ______________________        А.В. Костянецкая</t>
        </is>
      </c>
    </row>
    <row r="128" ht="14.25" customFormat="1" customHeight="1" s="215">
      <c r="A128" s="216" t="inlineStr">
        <is>
          <t xml:space="preserve">                        (подпись, инициалы, фамилия)</t>
        </is>
      </c>
    </row>
  </sheetData>
  <mergeCells count="20">
    <mergeCell ref="H9:H10"/>
    <mergeCell ref="B55:H55"/>
    <mergeCell ref="B15:H15"/>
    <mergeCell ref="C9:C10"/>
    <mergeCell ref="E9:E10"/>
    <mergeCell ref="A7:H7"/>
    <mergeCell ref="B9:B10"/>
    <mergeCell ref="D9:D10"/>
    <mergeCell ref="B18:H18"/>
    <mergeCell ref="B12:H12"/>
    <mergeCell ref="D6:J6"/>
    <mergeCell ref="B47:J47"/>
    <mergeCell ref="F9:G9"/>
    <mergeCell ref="B54:J54"/>
    <mergeCell ref="A4:H4"/>
    <mergeCell ref="B17:H17"/>
    <mergeCell ref="A9:A10"/>
    <mergeCell ref="B46:J46"/>
    <mergeCell ref="A6:C6"/>
    <mergeCell ref="I9:J9"/>
  </mergeCells>
  <pageMargins left="0.7086614173228347" right="0.7086614173228347" top="0.7480314960629921" bottom="0.7480314960629921" header="0.3149606299212598" footer="0.3149606299212598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topLeftCell="A2" workbookViewId="0">
      <selection activeCell="B20" sqref="B20"/>
    </sheetView>
  </sheetViews>
  <sheetFormatPr baseColWidth="8" defaultRowHeight="15"/>
  <cols>
    <col width="5.7109375" customWidth="1" style="204" min="1" max="1"/>
    <col width="14.85546875" customWidth="1" style="204" min="2" max="2"/>
    <col width="39.140625" customWidth="1" style="204" min="3" max="3"/>
    <col width="8.28515625" customWidth="1" style="204" min="4" max="4"/>
    <col width="13.5703125" customWidth="1" style="204" min="5" max="5"/>
    <col width="12.42578125" customWidth="1" style="204" min="6" max="6"/>
    <col width="14.140625" customWidth="1" style="204" min="7" max="7"/>
  </cols>
  <sheetData>
    <row r="1">
      <c r="A1" s="267" t="inlineStr">
        <is>
          <t>Приложение №6</t>
        </is>
      </c>
    </row>
    <row r="2" ht="21.75" customHeight="1" s="204">
      <c r="A2" s="267" t="n"/>
      <c r="B2" s="267" t="n"/>
      <c r="C2" s="267" t="n"/>
      <c r="D2" s="267" t="n"/>
      <c r="E2" s="267" t="n"/>
      <c r="F2" s="267" t="n"/>
      <c r="G2" s="267" t="n"/>
    </row>
    <row r="3">
      <c r="A3" s="226" t="inlineStr">
        <is>
          <t>Расчет стоимости оборудования</t>
        </is>
      </c>
    </row>
    <row r="4" ht="25.5" customHeight="1" s="204">
      <c r="A4" s="266">
        <f>'Прил.1 Сравнит табл'!B7</f>
        <v/>
      </c>
    </row>
    <row r="5">
      <c r="A5" s="205" t="n"/>
      <c r="B5" s="205" t="n"/>
      <c r="C5" s="205" t="n"/>
      <c r="D5" s="205" t="n"/>
      <c r="E5" s="205" t="n"/>
      <c r="F5" s="205" t="n"/>
      <c r="G5" s="205" t="n"/>
    </row>
    <row r="6" ht="30" customHeight="1" s="204">
      <c r="A6" s="268" t="inlineStr">
        <is>
          <t>№ пп.</t>
        </is>
      </c>
      <c r="B6" s="268" t="inlineStr">
        <is>
          <t>Код ресурса</t>
        </is>
      </c>
      <c r="C6" s="268" t="inlineStr">
        <is>
          <t>Наименование</t>
        </is>
      </c>
      <c r="D6" s="268" t="inlineStr">
        <is>
          <t>Ед. изм.</t>
        </is>
      </c>
      <c r="E6" s="249" t="inlineStr">
        <is>
          <t>Кол-во единиц по проектным данным</t>
        </is>
      </c>
      <c r="F6" s="268" t="inlineStr">
        <is>
          <t>Сметная стоимость в ценах на 01.01.2000 (руб.)</t>
        </is>
      </c>
      <c r="G6" s="319" t="n"/>
    </row>
    <row r="7">
      <c r="A7" s="321" t="n"/>
      <c r="B7" s="321" t="n"/>
      <c r="C7" s="321" t="n"/>
      <c r="D7" s="321" t="n"/>
      <c r="E7" s="321" t="n"/>
      <c r="F7" s="249" t="inlineStr">
        <is>
          <t>на ед. изм.</t>
        </is>
      </c>
      <c r="G7" s="249" t="inlineStr">
        <is>
          <t>общая</t>
        </is>
      </c>
    </row>
    <row r="8">
      <c r="A8" s="249" t="n">
        <v>1</v>
      </c>
      <c r="B8" s="249" t="n">
        <v>2</v>
      </c>
      <c r="C8" s="249" t="n">
        <v>3</v>
      </c>
      <c r="D8" s="249" t="n">
        <v>4</v>
      </c>
      <c r="E8" s="249" t="n">
        <v>5</v>
      </c>
      <c r="F8" s="249" t="n">
        <v>6</v>
      </c>
      <c r="G8" s="249" t="n">
        <v>7</v>
      </c>
    </row>
    <row r="9" ht="15" customHeight="1" s="204">
      <c r="A9" s="25" t="n"/>
      <c r="B9" s="248" t="inlineStr">
        <is>
          <t>ИНЖЕНЕРНОЕ ОБОРУДОВАНИЕ</t>
        </is>
      </c>
      <c r="C9" s="318" t="n"/>
      <c r="D9" s="318" t="n"/>
      <c r="E9" s="318" t="n"/>
      <c r="F9" s="318" t="n"/>
      <c r="G9" s="319" t="n"/>
    </row>
    <row r="10" ht="27" customHeight="1" s="204">
      <c r="A10" s="249" t="n"/>
      <c r="B10" s="245" t="n"/>
      <c r="C10" s="248" t="inlineStr">
        <is>
          <t>ИТОГО ИНЖЕНЕРНОЕ ОБОРУДОВАНИЕ</t>
        </is>
      </c>
      <c r="D10" s="245" t="n"/>
      <c r="E10" s="105" t="n"/>
      <c r="F10" s="251" t="n"/>
      <c r="G10" s="251" t="n">
        <v>0</v>
      </c>
    </row>
    <row r="11">
      <c r="A11" s="249" t="n"/>
      <c r="B11" s="248" t="inlineStr">
        <is>
          <t>ТЕХНОЛОГИЧЕСКОЕ ОБОРУДОВАНИЕ</t>
        </is>
      </c>
      <c r="C11" s="318" t="n"/>
      <c r="D11" s="318" t="n"/>
      <c r="E11" s="318" t="n"/>
      <c r="F11" s="318" t="n"/>
      <c r="G11" s="319" t="n"/>
    </row>
    <row r="12" ht="51" customHeight="1" s="204">
      <c r="A12" s="249" t="n">
        <v>1</v>
      </c>
      <c r="B12" s="203">
        <f>'Прил.5 Расчет СМР и ОБ'!B48</f>
        <v/>
      </c>
      <c r="C12" s="225">
        <f>'Прил.5 Расчет СМР и ОБ'!C48</f>
        <v/>
      </c>
      <c r="D12" s="203">
        <f>'Прил.5 Расчет СМР и ОБ'!D48</f>
        <v/>
      </c>
      <c r="E12" s="32">
        <f>'Прил.5 Расчет СМР и ОБ'!E48</f>
        <v/>
      </c>
      <c r="F12" s="32">
        <f>'Прил.5 Расчет СМР и ОБ'!F48</f>
        <v/>
      </c>
      <c r="G12" s="32">
        <f>ROUND(E12*F12,2)</f>
        <v/>
      </c>
    </row>
    <row r="13" ht="25.5" customHeight="1" s="204">
      <c r="A13" s="249">
        <f>A12+1</f>
        <v/>
      </c>
      <c r="B13" s="154" t="inlineStr">
        <is>
          <t>БЦ.30_1.159</t>
        </is>
      </c>
      <c r="C13" s="248" t="inlineStr">
        <is>
          <t>Шкаф управления разъединителями</t>
        </is>
      </c>
      <c r="D13" s="114" t="inlineStr">
        <is>
          <t>шт.</t>
        </is>
      </c>
      <c r="E13" s="187" t="n">
        <v>3</v>
      </c>
      <c r="F13" s="32">
        <f>'Прил.5 Расчет СМР и ОБ'!F50</f>
        <v/>
      </c>
      <c r="G13" s="32">
        <f>ROUND(E13*F13,2)</f>
        <v/>
      </c>
    </row>
    <row r="14" ht="25.5" customHeight="1" s="204">
      <c r="A14" s="249">
        <f>A13+1</f>
        <v/>
      </c>
      <c r="B14" s="114" t="n"/>
      <c r="C14" s="114" t="inlineStr">
        <is>
          <t>ИТОГО ТЕХНОЛОГИЧЕСКОЕ ОБОРУДОВАНИЕ</t>
        </is>
      </c>
      <c r="D14" s="114" t="n"/>
      <c r="E14" s="115" t="n"/>
      <c r="F14" s="251" t="n"/>
      <c r="G14" s="32">
        <f>SUM(G12:G13)</f>
        <v/>
      </c>
    </row>
    <row r="15" ht="19.5" customHeight="1" s="204">
      <c r="A15" s="249">
        <f>A14+1</f>
        <v/>
      </c>
      <c r="B15" s="248" t="n"/>
      <c r="C15" s="248" t="inlineStr">
        <is>
          <t>Всего по разделу «Оборудование»</t>
        </is>
      </c>
      <c r="D15" s="248" t="n"/>
      <c r="E15" s="265" t="n"/>
      <c r="F15" s="251" t="n"/>
      <c r="G15" s="32">
        <f>G10+G14</f>
        <v/>
      </c>
    </row>
    <row r="16">
      <c r="A16" s="213" t="n"/>
      <c r="B16" s="214" t="n"/>
      <c r="C16" s="213" t="n"/>
      <c r="D16" s="213" t="n"/>
      <c r="E16" s="213" t="n"/>
      <c r="F16" s="213" t="n"/>
      <c r="G16" s="213" t="n"/>
    </row>
    <row r="17">
      <c r="A17" s="205" t="inlineStr">
        <is>
          <t>Составил ______________________        Е. М. Добровольская</t>
        </is>
      </c>
      <c r="B17" s="215" t="n"/>
      <c r="C17" s="215" t="n"/>
      <c r="D17" s="213" t="n"/>
      <c r="E17" s="213" t="n"/>
      <c r="F17" s="213" t="n"/>
      <c r="G17" s="213" t="n"/>
    </row>
    <row r="18">
      <c r="A18" s="216" t="inlineStr">
        <is>
          <t xml:space="preserve">                         (подпись, инициалы, фамилия)</t>
        </is>
      </c>
      <c r="B18" s="215" t="n"/>
      <c r="C18" s="215" t="n"/>
      <c r="D18" s="213" t="n"/>
      <c r="E18" s="213" t="n"/>
      <c r="F18" s="213" t="n"/>
      <c r="G18" s="213" t="n"/>
    </row>
    <row r="19">
      <c r="A19" s="205" t="n"/>
      <c r="B19" s="215" t="n"/>
      <c r="C19" s="215" t="n"/>
      <c r="D19" s="213" t="n"/>
      <c r="E19" s="213" t="n"/>
      <c r="F19" s="213" t="n"/>
      <c r="G19" s="213" t="n"/>
    </row>
    <row r="20">
      <c r="A20" s="205" t="inlineStr">
        <is>
          <t>Проверил ______________________        А.В. Костянецкая</t>
        </is>
      </c>
      <c r="B20" s="215" t="n"/>
      <c r="C20" s="215" t="n"/>
      <c r="D20" s="213" t="n"/>
      <c r="E20" s="213" t="n"/>
      <c r="F20" s="213" t="n"/>
      <c r="G20" s="213" t="n"/>
    </row>
    <row r="21">
      <c r="A21" s="216" t="inlineStr">
        <is>
          <t xml:space="preserve">                        (подпись, инициалы, фамилия)</t>
        </is>
      </c>
      <c r="B21" s="215" t="n"/>
      <c r="C21" s="215" t="n"/>
      <c r="D21" s="213" t="n"/>
      <c r="E21" s="213" t="n"/>
      <c r="F21" s="213" t="n"/>
      <c r="G21" s="21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6" sqref="B16"/>
    </sheetView>
  </sheetViews>
  <sheetFormatPr baseColWidth="8" defaultColWidth="8.85546875" defaultRowHeight="15"/>
  <cols>
    <col width="14.42578125" customWidth="1" style="204" min="1" max="1"/>
    <col width="29.7109375" customWidth="1" style="204" min="2" max="2"/>
    <col width="39.140625" customWidth="1" style="204" min="3" max="3"/>
    <col width="24.5703125" customWidth="1" style="204" min="4" max="4"/>
    <col width="24.85546875" customWidth="1" style="204" min="5" max="5"/>
    <col width="8.85546875" customWidth="1" style="204" min="6" max="6"/>
  </cols>
  <sheetData>
    <row r="1">
      <c r="B1" s="205" t="n"/>
      <c r="C1" s="205" t="n"/>
      <c r="D1" s="267" t="inlineStr">
        <is>
          <t>Приложение №7</t>
        </is>
      </c>
    </row>
    <row r="2">
      <c r="A2" s="267" t="n"/>
      <c r="B2" s="267" t="n"/>
      <c r="C2" s="267" t="n"/>
      <c r="D2" s="267" t="n"/>
    </row>
    <row r="3" ht="24.75" customHeight="1" s="204">
      <c r="A3" s="226" t="inlineStr">
        <is>
          <t>Расчет показателя УНЦ</t>
        </is>
      </c>
    </row>
    <row r="4" ht="24.75" customHeight="1" s="204">
      <c r="A4" s="226" t="n"/>
      <c r="B4" s="226" t="n"/>
      <c r="C4" s="226" t="n"/>
      <c r="D4" s="226" t="n"/>
    </row>
    <row r="5" ht="63.75" customHeight="1" s="204">
      <c r="A5" s="229" t="inlineStr">
        <is>
          <t xml:space="preserve">Наименование разрабатываемого показателя УНЦ - </t>
        </is>
      </c>
      <c r="D5" s="229">
        <f>'Прил.5 Расчет СМР и ОБ'!D6:J6</f>
        <v/>
      </c>
    </row>
    <row r="6" ht="19.9" customHeight="1" s="204">
      <c r="A6" s="229" t="inlineStr">
        <is>
          <t>Единица измерения  — 1 ед</t>
        </is>
      </c>
      <c r="D6" s="229" t="n"/>
    </row>
    <row r="7">
      <c r="A7" s="205" t="n"/>
      <c r="B7" s="205" t="n"/>
      <c r="C7" s="205" t="n"/>
      <c r="D7" s="205" t="n"/>
    </row>
    <row r="8" ht="14.45" customHeight="1" s="204">
      <c r="A8" s="239" t="inlineStr">
        <is>
          <t>Код показателя</t>
        </is>
      </c>
      <c r="B8" s="239" t="inlineStr">
        <is>
          <t>Наименование показателя</t>
        </is>
      </c>
      <c r="C8" s="239" t="inlineStr">
        <is>
          <t>Наименование РМ, входящих в состав показателя</t>
        </is>
      </c>
      <c r="D8" s="239" t="inlineStr">
        <is>
          <t>Норматив цены на 01.01.2023, тыс.руб.</t>
        </is>
      </c>
    </row>
    <row r="9" ht="15" customHeight="1" s="204">
      <c r="A9" s="321" t="n"/>
      <c r="B9" s="321" t="n"/>
      <c r="C9" s="321" t="n"/>
      <c r="D9" s="321" t="n"/>
    </row>
    <row r="10">
      <c r="A10" s="249" t="n">
        <v>1</v>
      </c>
      <c r="B10" s="249" t="n">
        <v>2</v>
      </c>
      <c r="C10" s="249" t="n">
        <v>3</v>
      </c>
      <c r="D10" s="249" t="n">
        <v>4</v>
      </c>
    </row>
    <row r="11" ht="41.45" customHeight="1" s="204">
      <c r="A11" s="249" t="inlineStr">
        <is>
          <t>И5-05-3</t>
        </is>
      </c>
      <c r="B11" s="249" t="inlineStr">
        <is>
          <t xml:space="preserve">УНЦ элементов ПС с устройством фундаментов </t>
        </is>
      </c>
      <c r="C11" s="210">
        <f>D5</f>
        <v/>
      </c>
      <c r="D11" s="211">
        <f>'Прил.4 РМ'!C41/1000</f>
        <v/>
      </c>
      <c r="E11" s="212" t="n"/>
    </row>
    <row r="12">
      <c r="A12" s="213" t="n"/>
      <c r="B12" s="214" t="n"/>
      <c r="C12" s="213" t="n"/>
      <c r="D12" s="213" t="n"/>
    </row>
    <row r="13">
      <c r="A13" s="205" t="inlineStr">
        <is>
          <t>Составил ______________________      Е. М. Добровольская</t>
        </is>
      </c>
      <c r="B13" s="215" t="n"/>
      <c r="C13" s="215" t="n"/>
      <c r="D13" s="213" t="n"/>
    </row>
    <row r="14">
      <c r="A14" s="216" t="inlineStr">
        <is>
          <t xml:space="preserve">                         (подпись, инициалы, фамилия)</t>
        </is>
      </c>
      <c r="B14" s="215" t="n"/>
      <c r="C14" s="215" t="n"/>
      <c r="D14" s="213" t="n"/>
    </row>
    <row r="15">
      <c r="A15" s="205" t="n"/>
      <c r="B15" s="215" t="n"/>
      <c r="C15" s="215" t="n"/>
      <c r="D15" s="213" t="n"/>
    </row>
    <row r="16">
      <c r="A16" s="205" t="inlineStr">
        <is>
          <t>Проверил ______________________        А.В. Костянецкая</t>
        </is>
      </c>
      <c r="B16" s="215" t="n"/>
      <c r="C16" s="215" t="n"/>
      <c r="D16" s="213" t="n"/>
    </row>
    <row r="17">
      <c r="A17" s="216" t="inlineStr">
        <is>
          <t xml:space="preserve">                        (подпись, инициалы, фамилия)</t>
        </is>
      </c>
      <c r="B17" s="215" t="n"/>
      <c r="C17" s="215" t="n"/>
      <c r="D17" s="21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4" zoomScale="60" zoomScaleNormal="100" workbookViewId="0">
      <selection activeCell="C23" sqref="C23"/>
    </sheetView>
  </sheetViews>
  <sheetFormatPr baseColWidth="8" defaultRowHeight="15"/>
  <cols>
    <col width="40.7109375" customWidth="1" style="204" min="2" max="2"/>
    <col width="37" customWidth="1" style="204" min="3" max="3"/>
    <col width="32" customWidth="1" style="204" min="4" max="4"/>
  </cols>
  <sheetData>
    <row r="4" ht="15.75" customHeight="1" s="204">
      <c r="B4" s="234" t="inlineStr">
        <is>
          <t>Приложение № 10</t>
        </is>
      </c>
    </row>
    <row r="5" ht="18.75" customHeight="1" s="204">
      <c r="B5" s="133" t="n"/>
    </row>
    <row r="6" ht="15.75" customHeight="1" s="204">
      <c r="B6" s="238" t="inlineStr">
        <is>
          <t>Используемые индексы изменений сметной стоимости и нормы сопутствующих затрат</t>
        </is>
      </c>
    </row>
    <row r="7" ht="18.75" customHeight="1" s="204">
      <c r="B7" s="134" t="n"/>
    </row>
    <row r="8" ht="47.25" customHeight="1" s="204">
      <c r="B8" s="239" t="inlineStr">
        <is>
          <t>Наименование индекса / норм сопутствующих затрат</t>
        </is>
      </c>
      <c r="C8" s="239" t="inlineStr">
        <is>
          <t>Дата применения и обоснование индекса / норм сопутствующих затрат</t>
        </is>
      </c>
      <c r="D8" s="239" t="inlineStr">
        <is>
          <t>Размер индекса / норма сопутствующих затрат</t>
        </is>
      </c>
    </row>
    <row r="9" ht="15.75" customHeight="1" s="204">
      <c r="B9" s="239" t="n">
        <v>1</v>
      </c>
      <c r="C9" s="239" t="n">
        <v>2</v>
      </c>
      <c r="D9" s="239" t="n">
        <v>3</v>
      </c>
    </row>
    <row r="10" ht="45" customHeight="1" s="204">
      <c r="B10" s="239" t="inlineStr">
        <is>
          <t xml:space="preserve">Индекс изменения сметной стоимости на 1 квартал 2023 года. ОЗП </t>
        </is>
      </c>
      <c r="C10" s="239" t="inlineStr">
        <is>
          <t>Письмо Минстроя России от 30.03.2023г. №17106-ИФ/09  прил.1</t>
        </is>
      </c>
      <c r="D10" s="239" t="n">
        <v>44.29</v>
      </c>
    </row>
    <row r="11" ht="29.25" customHeight="1" s="204">
      <c r="B11" s="239" t="inlineStr">
        <is>
          <t>Индекс изменения сметной стоимости на 1 квартал 2023 года. ЭМ</t>
        </is>
      </c>
      <c r="C11" s="239" t="inlineStr">
        <is>
          <t>Письмо Минстроя России от 30.03.2023г. №17106-ИФ/09  прил.1</t>
        </is>
      </c>
      <c r="D11" s="239" t="n">
        <v>13.47</v>
      </c>
    </row>
    <row r="12" ht="29.25" customHeight="1" s="204">
      <c r="B12" s="239" t="inlineStr">
        <is>
          <t>Индекс изменения сметной стоимости на 1 квартал 2023 года. МАТ</t>
        </is>
      </c>
      <c r="C12" s="239" t="inlineStr">
        <is>
          <t>Письмо Минстроя России от 30.03.2023г. №17106-ИФ/09  прил.1</t>
        </is>
      </c>
      <c r="D12" s="239" t="n">
        <v>8.039999999999999</v>
      </c>
    </row>
    <row r="13" ht="30.75" customHeight="1" s="204">
      <c r="B13" s="239" t="inlineStr">
        <is>
          <t>Индекс изменения сметной стоимости на 1 квартал 2023 года. ОБ</t>
        </is>
      </c>
      <c r="C13" s="136" t="inlineStr">
        <is>
          <t>Письмо Минстроя России от 23.02.2023г. №9791-ИФ/09 прил.6</t>
        </is>
      </c>
      <c r="D13" s="239" t="n">
        <v>6.26</v>
      </c>
    </row>
    <row r="14" ht="89.25" customHeight="1" s="204">
      <c r="B14" s="239" t="inlineStr">
        <is>
          <t>Временные здания и сооружения</t>
        </is>
      </c>
      <c r="C14" s="23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40" t="n">
        <v>0.039</v>
      </c>
    </row>
    <row r="15" ht="78.75" customHeight="1" s="204">
      <c r="B15" s="239" t="inlineStr">
        <is>
          <t>Дополнительные затраты при производстве строительно-монтажных работ в зимнее время</t>
        </is>
      </c>
      <c r="C15" s="23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40" t="n">
        <v>0.021</v>
      </c>
    </row>
    <row r="16" ht="34.5" customHeight="1" s="204">
      <c r="B16" s="239" t="inlineStr">
        <is>
          <t>Пусконаладочные работы</t>
        </is>
      </c>
      <c r="C16" s="239" t="n"/>
      <c r="D16" s="239" t="inlineStr">
        <is>
          <t>Расчёт</t>
        </is>
      </c>
    </row>
    <row r="17" ht="31.5" customHeight="1" s="204">
      <c r="B17" s="239" t="inlineStr">
        <is>
          <t>Строительный контроль</t>
        </is>
      </c>
      <c r="C17" s="239" t="inlineStr">
        <is>
          <t>Постановление Правительства РФ от 21.06.10 г. № 468</t>
        </is>
      </c>
      <c r="D17" s="140" t="n">
        <v>0.0214</v>
      </c>
    </row>
    <row r="18" ht="31.5" customHeight="1" s="204">
      <c r="B18" s="239" t="inlineStr">
        <is>
          <t>Авторский надзор - 0,2%</t>
        </is>
      </c>
      <c r="C18" s="239" t="inlineStr">
        <is>
          <t>Приказ от 4.08.2020 № 421/пр п.173</t>
        </is>
      </c>
      <c r="D18" s="140" t="n">
        <v>0.002</v>
      </c>
    </row>
    <row r="19" ht="24" customHeight="1" s="204">
      <c r="B19" s="239" t="inlineStr">
        <is>
          <t>Непредвиденные расходы</t>
        </is>
      </c>
      <c r="C19" s="239" t="inlineStr">
        <is>
          <t>Приказ от 4.08.2020 № 421/пр п.179</t>
        </is>
      </c>
      <c r="D19" s="140" t="n">
        <v>0.03</v>
      </c>
    </row>
    <row r="20" ht="18.75" customHeight="1" s="204">
      <c r="B20" s="134" t="n"/>
    </row>
    <row r="21" ht="18.75" customHeight="1" s="204">
      <c r="B21" s="134" t="n"/>
    </row>
    <row r="22" ht="18.75" customHeight="1" s="204">
      <c r="B22" s="134" t="n"/>
    </row>
    <row r="23" ht="18.75" customHeight="1" s="204">
      <c r="B23" s="134" t="n"/>
    </row>
    <row r="26">
      <c r="B26" s="205" t="inlineStr">
        <is>
          <t>Составил ______________________        Е. М. Добровольская</t>
        </is>
      </c>
      <c r="C26" s="215" t="n"/>
    </row>
    <row r="27">
      <c r="B27" s="216" t="inlineStr">
        <is>
          <t xml:space="preserve">                         (подпись, инициалы, фамилия)</t>
        </is>
      </c>
      <c r="C27" s="215" t="n"/>
    </row>
    <row r="28">
      <c r="B28" s="205" t="n"/>
      <c r="C28" s="215" t="n"/>
    </row>
    <row r="29">
      <c r="B29" s="205" t="inlineStr">
        <is>
          <t>Проверил ______________________        А.В. Костянецкая</t>
        </is>
      </c>
      <c r="C29" s="215" t="n"/>
    </row>
    <row r="30">
      <c r="B30" s="216" t="inlineStr">
        <is>
          <t xml:space="preserve">                        (подпись, инициалы, фамилия)</t>
        </is>
      </c>
      <c r="C30" s="215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4" workbookViewId="0">
      <selection activeCell="F41" sqref="F41"/>
    </sheetView>
  </sheetViews>
  <sheetFormatPr baseColWidth="8" defaultRowHeight="15"/>
  <cols>
    <col width="9.140625" customWidth="1" style="204" min="1" max="1"/>
    <col width="44.85546875" customWidth="1" style="204" min="2" max="2"/>
    <col width="13" customWidth="1" style="204" min="3" max="3"/>
    <col width="22.85546875" customWidth="1" style="204" min="4" max="4"/>
    <col width="21.5703125" customWidth="1" style="204" min="5" max="5"/>
    <col width="43.85546875" customWidth="1" style="204" min="6" max="6"/>
    <col width="9.140625" customWidth="1" style="204" min="7" max="7"/>
  </cols>
  <sheetData>
    <row r="2" ht="18" customHeight="1" s="204">
      <c r="A2" s="27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4">
      <c r="A4" s="122" t="inlineStr">
        <is>
          <t>Составлен в уровне цен на 01.01.2023 г.</t>
        </is>
      </c>
    </row>
    <row r="5">
      <c r="A5" s="295" t="inlineStr">
        <is>
          <t>№ пп.</t>
        </is>
      </c>
      <c r="B5" s="295" t="inlineStr">
        <is>
          <t>Наименование элемента</t>
        </is>
      </c>
      <c r="C5" s="295" t="inlineStr">
        <is>
          <t>Обозначение</t>
        </is>
      </c>
      <c r="D5" s="295" t="inlineStr">
        <is>
          <t>Формула</t>
        </is>
      </c>
      <c r="E5" s="295" t="inlineStr">
        <is>
          <t>Величина элемента</t>
        </is>
      </c>
      <c r="F5" s="295" t="inlineStr">
        <is>
          <t>Наименования обосновывающих документов</t>
        </is>
      </c>
    </row>
    <row r="6">
      <c r="A6" s="295" t="n">
        <v>1</v>
      </c>
      <c r="B6" s="295" t="n">
        <v>2</v>
      </c>
      <c r="C6" s="295" t="n">
        <v>3</v>
      </c>
      <c r="D6" s="295" t="n">
        <v>4</v>
      </c>
      <c r="E6" s="295" t="n">
        <v>5</v>
      </c>
      <c r="F6" s="295" t="n">
        <v>6</v>
      </c>
    </row>
    <row r="7" ht="105" customHeight="1" s="204">
      <c r="A7" s="123" t="inlineStr">
        <is>
          <t>1.1</t>
        </is>
      </c>
      <c r="B7" s="6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94" t="inlineStr">
        <is>
          <t>С1ср</t>
        </is>
      </c>
      <c r="D7" s="294" t="inlineStr">
        <is>
          <t>-</t>
        </is>
      </c>
      <c r="E7" s="61" t="n">
        <v>47872.94</v>
      </c>
      <c r="F7" s="6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204">
      <c r="A8" s="123" t="inlineStr">
        <is>
          <t>1.2</t>
        </is>
      </c>
      <c r="B8" s="63" t="inlineStr">
        <is>
          <t>Среднегодовое нормативное число часов работы одного рабочего в месяц, часы (ч.)</t>
        </is>
      </c>
      <c r="C8" s="294" t="inlineStr">
        <is>
          <t>tср</t>
        </is>
      </c>
      <c r="D8" s="294" t="inlineStr">
        <is>
          <t>1973ч/12мес.</t>
        </is>
      </c>
      <c r="E8" s="61">
        <f>1973/12</f>
        <v/>
      </c>
      <c r="F8" s="63" t="inlineStr">
        <is>
          <t>Производственный календарь 2023 год
(40-часов.неделя)</t>
        </is>
      </c>
      <c r="G8" s="124" t="n"/>
    </row>
    <row r="9">
      <c r="A9" s="123" t="inlineStr">
        <is>
          <t>1.3</t>
        </is>
      </c>
      <c r="B9" s="63" t="inlineStr">
        <is>
          <t>Коэффициент увеличения</t>
        </is>
      </c>
      <c r="C9" s="294" t="inlineStr">
        <is>
          <t>Кув</t>
        </is>
      </c>
      <c r="D9" s="294" t="inlineStr">
        <is>
          <t>-</t>
        </is>
      </c>
      <c r="E9" s="61" t="n">
        <v>1</v>
      </c>
      <c r="F9" s="63" t="n"/>
      <c r="G9" s="125" t="n"/>
    </row>
    <row r="10">
      <c r="A10" s="123" t="inlineStr">
        <is>
          <t>1.4</t>
        </is>
      </c>
      <c r="B10" s="63" t="inlineStr">
        <is>
          <t>Средний разряд работ</t>
        </is>
      </c>
      <c r="C10" s="294" t="n"/>
      <c r="D10" s="294" t="n"/>
      <c r="E10" s="126" t="n">
        <v>3.9</v>
      </c>
      <c r="F10" s="63" t="inlineStr">
        <is>
          <t>РТМ</t>
        </is>
      </c>
      <c r="G10" s="125" t="n"/>
    </row>
    <row r="11" ht="75" customHeight="1" s="204">
      <c r="A11" s="123" t="inlineStr">
        <is>
          <t>1.5</t>
        </is>
      </c>
      <c r="B11" s="63" t="inlineStr">
        <is>
          <t>Тарифный коэффициент среднего разряда работ</t>
        </is>
      </c>
      <c r="C11" s="294" t="inlineStr">
        <is>
          <t>КТ</t>
        </is>
      </c>
      <c r="D11" s="294" t="inlineStr">
        <is>
          <t>-</t>
        </is>
      </c>
      <c r="E11" s="127" t="n">
        <v>1.324</v>
      </c>
      <c r="F11" s="6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204">
      <c r="A12" s="123" t="inlineStr">
        <is>
          <t>1.6</t>
        </is>
      </c>
      <c r="B12" s="128" t="inlineStr">
        <is>
          <t>Коэффициент инфляции, определяемый поквартально</t>
        </is>
      </c>
      <c r="C12" s="294" t="inlineStr">
        <is>
          <t>Кинф</t>
        </is>
      </c>
      <c r="D12" s="294" t="inlineStr">
        <is>
          <t>-</t>
        </is>
      </c>
      <c r="E12" s="129" t="n">
        <v>1.139</v>
      </c>
      <c r="F12" s="1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5" t="n"/>
    </row>
    <row r="13" ht="60" customHeight="1" s="204">
      <c r="A13" s="123" t="inlineStr">
        <is>
          <t>1.7</t>
        </is>
      </c>
      <c r="B13" s="131" t="inlineStr">
        <is>
          <t>Размер средств на оплату труда рабочих-строителей в текущем уровне цен (ФОТр.тек.), руб/чел.-ч</t>
        </is>
      </c>
      <c r="C13" s="294" t="inlineStr">
        <is>
          <t>ФОТр.тек.</t>
        </is>
      </c>
      <c r="D13" s="294" t="inlineStr">
        <is>
          <t>(С1ср/tср*КТ*Т*Кув)*Кинф</t>
        </is>
      </c>
      <c r="E13" s="132">
        <f>((E7*E9/E8)*E11)*E12</f>
        <v/>
      </c>
      <c r="F13" s="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2025-01-24T12:02:16Z</dcterms:modified>
  <cp:lastModifiedBy>Danil</cp:lastModifiedBy>
  <cp:lastPrinted>2023-11-28T06:47:45Z</cp:lastPrinted>
</cp:coreProperties>
</file>