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'Прил.3'!$A$1:$H$121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4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Arial"/>
      <charset val="204"/>
      <family val="2"/>
      <i val="1"/>
      <color rgb="FF000000"/>
      <sz val="10"/>
    </font>
    <font>
      <name val="Calibri"/>
      <charset val="204"/>
      <family val="2"/>
      <color rgb="FFE7E6E6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FF0000"/>
      <sz val="11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8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3" fillId="0" borderId="1" applyAlignment="1" pivotButton="0" quotePrefix="0" xfId="0">
      <alignment horizontal="center" vertical="center" wrapText="1"/>
    </xf>
    <xf numFmtId="2" fontId="13" fillId="0" borderId="1" applyAlignment="1" pivotButton="0" quotePrefix="0" xfId="0">
      <alignment horizontal="center" vertical="center" wrapText="1"/>
    </xf>
    <xf numFmtId="169" fontId="14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4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170" fontId="16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171" fontId="2" fillId="0" borderId="1" applyAlignment="1" pivotButton="0" quotePrefix="0" xfId="0">
      <alignment horizontal="center" vertical="top" wrapText="1"/>
    </xf>
    <xf numFmtId="0" fontId="2" fillId="0" borderId="1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7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center" vertical="center"/>
    </xf>
    <xf numFmtId="2" fontId="9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2" fontId="18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D31" sqref="D31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28" t="inlineStr">
        <is>
          <t>Приложение № 1</t>
        </is>
      </c>
    </row>
    <row r="4" ht="18.75" customHeight="1">
      <c r="B4" s="129" t="inlineStr">
        <is>
          <t>Сравнительная таблица отбора объекта-представителя</t>
        </is>
      </c>
    </row>
    <row r="5" ht="84" customHeight="1">
      <c r="B5" s="1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6" t="n"/>
      <c r="C6" s="86" t="n"/>
      <c r="D6" s="86" t="n"/>
    </row>
    <row r="7" ht="64.5" customHeight="1">
      <c r="B7" s="127" t="inlineStr">
        <is>
          <t>Наименование разрабатываемого показателя УНЦ - Однополюсный разъединитель с устройством фундамента напряжение 220(150) кВ</t>
        </is>
      </c>
    </row>
    <row r="8" ht="31.5" customHeight="1">
      <c r="B8" s="127" t="inlineStr">
        <is>
          <t>Сопоставимый уровень цен: 01.01.2001</t>
        </is>
      </c>
    </row>
    <row r="9" ht="15.75" customHeight="1">
      <c r="B9" s="127" t="inlineStr">
        <is>
          <t>Единица измерения  — 1 ед.</t>
        </is>
      </c>
    </row>
    <row r="10" ht="18.75" customHeight="1">
      <c r="B10" s="36" t="n"/>
    </row>
    <row r="11" ht="15.75" customHeight="1">
      <c r="B11" s="133" t="inlineStr">
        <is>
          <t>№ п/п</t>
        </is>
      </c>
      <c r="C11" s="133" t="inlineStr">
        <is>
          <t>Параметр</t>
        </is>
      </c>
      <c r="D11" s="133" t="inlineStr">
        <is>
          <t xml:space="preserve">Объект-представитель </t>
        </is>
      </c>
    </row>
    <row r="12" ht="75" customHeight="1">
      <c r="B12" s="133" t="n">
        <v>1</v>
      </c>
      <c r="C12" s="64" t="inlineStr">
        <is>
          <t>Наименование объекта-представителя</t>
        </is>
      </c>
      <c r="D12" s="87" t="inlineStr">
        <is>
          <t>ПС «Б-10» 220/110/10 кВ (установка выпрямительного устройства плавки гололёда (ВУПГ) организация плавки гололёда на проводах и тросах на отходящих ВЛ 220 кВ (МЭС Юга)</t>
        </is>
      </c>
    </row>
    <row r="13" ht="31.5" customHeight="1">
      <c r="B13" s="133" t="n">
        <v>2</v>
      </c>
      <c r="C13" s="64" t="inlineStr">
        <is>
          <t>Наименование субъекта Российской Федерации</t>
        </is>
      </c>
      <c r="D13" s="87" t="inlineStr">
        <is>
          <t>Ростовская область</t>
        </is>
      </c>
    </row>
    <row r="14" ht="15.75" customHeight="1">
      <c r="B14" s="133" t="n">
        <v>3</v>
      </c>
      <c r="C14" s="64" t="inlineStr">
        <is>
          <t>Климатический район и подрайон</t>
        </is>
      </c>
      <c r="D14" s="23" t="inlineStr">
        <is>
          <t>IIIВ</t>
        </is>
      </c>
    </row>
    <row r="15" ht="15.75" customHeight="1">
      <c r="B15" s="133" t="n">
        <v>4</v>
      </c>
      <c r="C15" s="64" t="inlineStr">
        <is>
          <t>Мощность объекта</t>
        </is>
      </c>
      <c r="D15" s="87" t="n">
        <v>3</v>
      </c>
    </row>
    <row r="16" ht="135" customHeight="1">
      <c r="B16" s="133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7" t="inlineStr">
        <is>
          <t>Разъединители трёхполюсные с одним заземляющим ножом напряжением 220 кВ, 2500 А, 50 кА 
свайные фундаменты.</t>
        </is>
      </c>
    </row>
    <row r="17" ht="78.75" customHeight="1">
      <c r="B17" s="133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'Прил.2 Расч стоим'!J12</f>
        <v/>
      </c>
    </row>
    <row r="18" ht="15.75" customHeight="1">
      <c r="B18" s="121" t="inlineStr">
        <is>
          <t>6.1</t>
        </is>
      </c>
      <c r="C18" s="64" t="inlineStr">
        <is>
          <t>строительно-монтажные работы</t>
        </is>
      </c>
      <c r="D18" s="66">
        <f>'Прил.2 Расч стоим'!G12</f>
        <v/>
      </c>
    </row>
    <row r="19" ht="15.75" customHeight="1">
      <c r="B19" s="121" t="inlineStr">
        <is>
          <t>6.2</t>
        </is>
      </c>
      <c r="C19" s="64" t="inlineStr">
        <is>
          <t>оборудование и инвентарь</t>
        </is>
      </c>
      <c r="D19" s="66">
        <f>'Прил.2 Расч стоим'!H12</f>
        <v/>
      </c>
    </row>
    <row r="20" ht="15.75" customHeight="1">
      <c r="B20" s="121" t="inlineStr">
        <is>
          <t>6.3</t>
        </is>
      </c>
      <c r="C20" s="64" t="inlineStr">
        <is>
          <t>пусконаладочные работы</t>
        </is>
      </c>
      <c r="D20" s="66">
        <f>D19*0.07*0.8</f>
        <v/>
      </c>
    </row>
    <row r="21" ht="15.75" customHeight="1">
      <c r="B21" s="121" t="inlineStr">
        <is>
          <t>6.4</t>
        </is>
      </c>
      <c r="C21" s="64" t="inlineStr">
        <is>
          <t>прочие и лимитированные затраты</t>
        </is>
      </c>
      <c r="D21" s="66">
        <f>D17-D18-D19-D20</f>
        <v/>
      </c>
    </row>
    <row r="22" ht="15.75" customHeight="1">
      <c r="B22" s="133" t="n">
        <v>7</v>
      </c>
      <c r="C22" s="64" t="inlineStr">
        <is>
          <t>Сопоставимый уровень цен</t>
        </is>
      </c>
      <c r="D22" s="65" t="n">
        <v>36892</v>
      </c>
      <c r="G22" s="95" t="n"/>
    </row>
    <row r="23" ht="110.25" customHeight="1">
      <c r="B23" s="133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</row>
    <row r="24" ht="47.25" customHeight="1">
      <c r="B24" s="133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G24" s="95" t="n"/>
    </row>
    <row r="25" hidden="1" ht="110.25" customHeight="1">
      <c r="B25" s="133" t="n">
        <v>10</v>
      </c>
      <c r="C25" s="64" t="inlineStr">
        <is>
          <t>Примечание</t>
        </is>
      </c>
      <c r="D25" s="6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9" t="n"/>
      <c r="C26" s="90" t="n"/>
      <c r="D26" s="90" t="n"/>
    </row>
    <row r="27" hidden="1">
      <c r="B27" s="6" t="inlineStr">
        <is>
          <t>Составил ______________________        Е.А. Князева</t>
        </is>
      </c>
      <c r="C27" s="1" t="n"/>
    </row>
    <row r="28" hidden="1">
      <c r="B28" s="91" t="inlineStr">
        <is>
          <t xml:space="preserve">                         (подпись, инициалы, фамилия)</t>
        </is>
      </c>
      <c r="C28" s="1" t="n"/>
    </row>
    <row r="29" hidden="1">
      <c r="B29" s="91" t="n"/>
      <c r="C29" s="1" t="n"/>
    </row>
    <row r="30">
      <c r="B30" s="6" t="inlineStr">
        <is>
          <t>Составил ______________________        Е. М. Добровольская</t>
        </is>
      </c>
      <c r="C30" s="1" t="n"/>
    </row>
    <row r="31">
      <c r="B31" s="91" t="inlineStr">
        <is>
          <t xml:space="preserve">                         (подпись, инициалы, фамилия)</t>
        </is>
      </c>
      <c r="C31" s="1" t="n"/>
    </row>
    <row r="32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1" t="inlineStr">
        <is>
          <t xml:space="preserve">                        (подпись, инициалы, фамилия)</t>
        </is>
      </c>
      <c r="C34" s="1" t="n"/>
    </row>
    <row r="35" ht="15.75" customHeight="1">
      <c r="B35" s="90" t="n"/>
      <c r="C35" s="90" t="n"/>
      <c r="D35" s="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41" customWidth="1" min="3" max="3"/>
    <col width="18.570312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28" t="inlineStr">
        <is>
          <t>Приложение № 2</t>
        </is>
      </c>
    </row>
    <row r="4" ht="15.75" customHeight="1"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27">
        <f>'Прил.1 Сравнит табл'!B7</f>
        <v/>
      </c>
    </row>
    <row r="7" ht="15.75" customHeight="1">
      <c r="B7" s="127">
        <f>'Прил.1 Сравнит табл'!B9</f>
        <v/>
      </c>
    </row>
    <row r="8" ht="18.75" customHeight="1">
      <c r="B8" s="36" t="n"/>
    </row>
    <row r="9" ht="15.75" customHeight="1">
      <c r="B9" s="133" t="inlineStr">
        <is>
          <t>№ п/п</t>
        </is>
      </c>
      <c r="C9" s="1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3" t="inlineStr">
        <is>
          <t>Объект-представитель 1</t>
        </is>
      </c>
      <c r="E9" s="170" t="n"/>
      <c r="F9" s="170" t="n"/>
      <c r="G9" s="170" t="n"/>
      <c r="H9" s="170" t="n"/>
      <c r="I9" s="170" t="n"/>
      <c r="J9" s="171" t="n"/>
    </row>
    <row r="10" ht="15.75" customHeight="1">
      <c r="B10" s="172" t="n"/>
      <c r="C10" s="172" t="n"/>
      <c r="D10" s="133" t="inlineStr">
        <is>
          <t>Номер сметы</t>
        </is>
      </c>
      <c r="E10" s="133" t="inlineStr">
        <is>
          <t>Наименование сметы</t>
        </is>
      </c>
      <c r="F10" s="133" t="inlineStr">
        <is>
          <t>Сметная стоимость в уровне цен 3кв. 2015 г., тыс. руб.</t>
        </is>
      </c>
      <c r="G10" s="170" t="n"/>
      <c r="H10" s="170" t="n"/>
      <c r="I10" s="170" t="n"/>
      <c r="J10" s="171" t="n"/>
    </row>
    <row r="11" ht="31.5" customHeight="1">
      <c r="B11" s="173" t="n"/>
      <c r="C11" s="173" t="n"/>
      <c r="D11" s="173" t="n"/>
      <c r="E11" s="173" t="n"/>
      <c r="F11" s="133" t="inlineStr">
        <is>
          <t>Строительные работы</t>
        </is>
      </c>
      <c r="G11" s="133" t="inlineStr">
        <is>
          <t>Монтажные работы</t>
        </is>
      </c>
      <c r="H11" s="133" t="inlineStr">
        <is>
          <t>Оборудование</t>
        </is>
      </c>
      <c r="I11" s="133" t="inlineStr">
        <is>
          <t>Прочее</t>
        </is>
      </c>
      <c r="J11" s="133" t="inlineStr">
        <is>
          <t>Всего</t>
        </is>
      </c>
    </row>
    <row r="12" ht="109.5" customFormat="1" customHeight="1" s="125">
      <c r="B12" s="119" t="n">
        <v>1</v>
      </c>
      <c r="C12" s="133" t="inlineStr">
        <is>
          <t>Разъединители трёхполюсные с одним заземляющим ножом напряжением 220 кВ, 2500 А, 50 кА 
свайные фундаменты.</t>
        </is>
      </c>
      <c r="D12" s="121" t="inlineStr">
        <is>
          <t>ЛС 02-07-03,
 ЛС 02-07-07</t>
        </is>
      </c>
      <c r="E12" s="122" t="inlineStr">
        <is>
          <t>ПС Б-10. Силовое электрооборудование; ПС Б-10. Конструкции строительные</t>
        </is>
      </c>
      <c r="F12" s="123" t="n"/>
      <c r="G12" s="123">
        <f>13694.06*6.37/1000</f>
        <v/>
      </c>
      <c r="H12" s="123">
        <f>132966*4.18/1000</f>
        <v/>
      </c>
      <c r="I12" s="123">
        <f>68240.55*6.37/1000</f>
        <v/>
      </c>
      <c r="J12" s="124">
        <f>SUM(F12:I12)</f>
        <v/>
      </c>
    </row>
    <row r="13" ht="15.75" customHeight="1">
      <c r="B13" s="132" t="inlineStr">
        <is>
          <t>Всего по объекту:</t>
        </is>
      </c>
      <c r="C13" s="170" t="n"/>
      <c r="D13" s="170" t="n"/>
      <c r="E13" s="171" t="n"/>
      <c r="F13" s="126">
        <f>F12</f>
        <v/>
      </c>
      <c r="G13" s="126">
        <f>G12</f>
        <v/>
      </c>
      <c r="H13" s="126">
        <f>H12</f>
        <v/>
      </c>
      <c r="I13" s="126">
        <f>I12</f>
        <v/>
      </c>
      <c r="J13" s="126">
        <f>J12</f>
        <v/>
      </c>
    </row>
    <row r="14" ht="28.5" customHeight="1">
      <c r="B14" s="132" t="inlineStr">
        <is>
          <t>Всего по объекту в сопоставимом уровне цен 3 кв. 2015 г:</t>
        </is>
      </c>
      <c r="C14" s="170" t="n"/>
      <c r="D14" s="170" t="n"/>
      <c r="E14" s="171" t="n"/>
      <c r="F14" s="126">
        <f>F13</f>
        <v/>
      </c>
      <c r="G14" s="126">
        <f>G13</f>
        <v/>
      </c>
      <c r="H14" s="126">
        <f>H13</f>
        <v/>
      </c>
      <c r="I14" s="126">
        <f>I13</f>
        <v/>
      </c>
      <c r="J14" s="126">
        <f>J13</f>
        <v/>
      </c>
    </row>
    <row r="18">
      <c r="C18" s="6" t="inlineStr">
        <is>
          <t>Составил ______________________        Е. М. Добровольская</t>
        </is>
      </c>
      <c r="D18" s="1" t="n"/>
    </row>
    <row r="19">
      <c r="C19" s="91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1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1"/>
  <sheetViews>
    <sheetView view="pageBreakPreview" topLeftCell="A93" zoomScale="70" zoomScaleNormal="100" zoomScaleSheetLayoutView="70" workbookViewId="0">
      <selection activeCell="E117" sqref="E117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28" t="inlineStr">
        <is>
          <t xml:space="preserve">Приложение № 3 </t>
        </is>
      </c>
    </row>
    <row r="3" ht="18.75" customHeight="1">
      <c r="A3" s="129" t="inlineStr">
        <is>
          <t>Объектная ресурсная ведомость</t>
        </is>
      </c>
    </row>
    <row r="4">
      <c r="B4" s="54" t="n"/>
    </row>
    <row r="5" ht="18.75" customHeight="1">
      <c r="A5" s="129" t="n"/>
      <c r="B5" s="129" t="n"/>
      <c r="C5" s="1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>
      <c r="A6" s="36" t="n"/>
    </row>
    <row r="7" ht="32.25" customHeight="1">
      <c r="A7" s="134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61" t="n"/>
    </row>
    <row r="9" ht="38.25" customHeight="1">
      <c r="A9" s="133" t="inlineStr">
        <is>
          <t>п/п</t>
        </is>
      </c>
      <c r="B9" s="133" t="inlineStr">
        <is>
          <t>№ЛСР</t>
        </is>
      </c>
      <c r="C9" s="133" t="inlineStr">
        <is>
          <t>Код ресурса</t>
        </is>
      </c>
      <c r="D9" s="133" t="inlineStr">
        <is>
          <t>Наименование ресурса</t>
        </is>
      </c>
      <c r="E9" s="133" t="inlineStr">
        <is>
          <t>Ед. изм.</t>
        </is>
      </c>
      <c r="F9" s="133" t="inlineStr">
        <is>
          <t>Кол-во единиц по данным объекта-представителя</t>
        </is>
      </c>
      <c r="G9" s="133" t="inlineStr">
        <is>
          <t>Сметная стоимость в ценах на 01.01.2000 (руб.)</t>
        </is>
      </c>
      <c r="H9" s="171" t="n"/>
    </row>
    <row r="10" ht="40.5" customHeight="1">
      <c r="A10" s="173" t="n"/>
      <c r="B10" s="173" t="n"/>
      <c r="C10" s="173" t="n"/>
      <c r="D10" s="173" t="n"/>
      <c r="E10" s="173" t="n"/>
      <c r="F10" s="173" t="n"/>
      <c r="G10" s="133" t="inlineStr">
        <is>
          <t>на ед.изм.</t>
        </is>
      </c>
      <c r="H10" s="133" t="inlineStr">
        <is>
          <t>общая</t>
        </is>
      </c>
    </row>
    <row r="11" ht="15.75" customHeight="1">
      <c r="A11" s="133" t="n">
        <v>1</v>
      </c>
      <c r="B11" s="51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51" t="n">
        <v>6</v>
      </c>
      <c r="H11" s="51" t="n">
        <v>7</v>
      </c>
    </row>
    <row r="12" ht="15" customHeight="1">
      <c r="A12" s="135" t="inlineStr">
        <is>
          <t>Затраты труда рабочих</t>
        </is>
      </c>
      <c r="B12" s="170" t="n"/>
      <c r="C12" s="170" t="n"/>
      <c r="D12" s="170" t="n"/>
      <c r="E12" s="170" t="n"/>
      <c r="F12" s="52">
        <f>SUM(F13:F23)</f>
        <v/>
      </c>
      <c r="G12" s="53" t="n"/>
      <c r="H12" s="52">
        <f>SUM(H13:H23)</f>
        <v/>
      </c>
      <c r="J12" s="67" t="n"/>
      <c r="K12" s="18" t="n"/>
    </row>
    <row r="13">
      <c r="A13" s="44" t="n">
        <v>1</v>
      </c>
      <c r="B13" s="62" t="n"/>
      <c r="C13" s="44" t="inlineStr">
        <is>
          <t>1-4-0</t>
        </is>
      </c>
      <c r="D13" s="45" t="inlineStr">
        <is>
          <t>Затраты труда рабочих (средний разряд работы 4,0)</t>
        </is>
      </c>
      <c r="E13" s="164" t="inlineStr">
        <is>
          <t>чел.-ч</t>
        </is>
      </c>
      <c r="F13" s="97" t="n">
        <v>243.12473803597</v>
      </c>
      <c r="G13" s="47" t="n">
        <v>9.619999999999999</v>
      </c>
      <c r="H13" s="47">
        <f>ROUND(F13*G13,2)</f>
        <v/>
      </c>
    </row>
    <row r="14">
      <c r="A14" s="48">
        <f>A13+1</f>
        <v/>
      </c>
      <c r="B14" s="62" t="n"/>
      <c r="C14" s="44" t="inlineStr">
        <is>
          <t>1-3-7</t>
        </is>
      </c>
      <c r="D14" s="45" t="inlineStr">
        <is>
          <t>Затраты труда рабочих (средний разряд работы 3,7)</t>
        </is>
      </c>
      <c r="E14" s="164" t="inlineStr">
        <is>
          <t>чел.-ч</t>
        </is>
      </c>
      <c r="F14" s="97" t="n">
        <v>29.987995872265</v>
      </c>
      <c r="G14" s="47" t="n">
        <v>9.289999999999999</v>
      </c>
      <c r="H14" s="47">
        <f>ROUND(F14*G14,2)</f>
        <v/>
      </c>
    </row>
    <row r="15">
      <c r="A15" s="48">
        <f>A14+1</f>
        <v/>
      </c>
      <c r="B15" s="62" t="n"/>
      <c r="C15" s="44" t="inlineStr">
        <is>
          <t>1-2-9</t>
        </is>
      </c>
      <c r="D15" s="45" t="inlineStr">
        <is>
          <t>Затраты труда рабочих (средний разряд работы 2,9)</t>
        </is>
      </c>
      <c r="E15" s="164" t="inlineStr">
        <is>
          <t>чел.-ч</t>
        </is>
      </c>
      <c r="F15" s="97" t="n">
        <v>15.730845834708</v>
      </c>
      <c r="G15" s="47" t="n">
        <v>8.460000000000001</v>
      </c>
      <c r="H15" s="47">
        <f>ROUND(F15*G15,2)</f>
        <v/>
      </c>
    </row>
    <row r="16">
      <c r="A16" s="48">
        <f>A15+1</f>
        <v/>
      </c>
      <c r="B16" s="62" t="n"/>
      <c r="C16" s="44" t="inlineStr">
        <is>
          <t>1-3-8</t>
        </is>
      </c>
      <c r="D16" s="45" t="inlineStr">
        <is>
          <t>Затраты труда рабочих (средний разряд работы 3,8)</t>
        </is>
      </c>
      <c r="E16" s="164" t="inlineStr">
        <is>
          <t>чел.-ч</t>
        </is>
      </c>
      <c r="F16" s="97" t="n">
        <v>5.4322091722768</v>
      </c>
      <c r="G16" s="47" t="n">
        <v>9.4</v>
      </c>
      <c r="H16" s="47">
        <f>ROUND(F16*G16,2)</f>
        <v/>
      </c>
    </row>
    <row r="17">
      <c r="A17" s="48">
        <f>A16+1</f>
        <v/>
      </c>
      <c r="B17" s="62" t="n"/>
      <c r="C17" s="44" t="inlineStr">
        <is>
          <t>1-3-5</t>
        </is>
      </c>
      <c r="D17" s="45" t="inlineStr">
        <is>
          <t>Затраты труда рабочих (средний разряд работы 3,5)</t>
        </is>
      </c>
      <c r="E17" s="164" t="inlineStr">
        <is>
          <t>чел.-ч</t>
        </is>
      </c>
      <c r="F17" s="97" t="n">
        <v>3.4243639286491</v>
      </c>
      <c r="G17" s="47" t="n">
        <v>9.07</v>
      </c>
      <c r="H17" s="47">
        <f>ROUND(F17*G17,2)</f>
        <v/>
      </c>
    </row>
    <row r="18">
      <c r="A18" s="48">
        <f>A17+1</f>
        <v/>
      </c>
      <c r="B18" s="62" t="n"/>
      <c r="C18" s="44" t="inlineStr">
        <is>
          <t>1-3-9</t>
        </is>
      </c>
      <c r="D18" s="45" t="inlineStr">
        <is>
          <t>Затраты труда рабочих (средний разряд работы 3,9)</t>
        </is>
      </c>
      <c r="E18" s="164" t="inlineStr">
        <is>
          <t>чел.-ч</t>
        </is>
      </c>
      <c r="F18" s="97" t="n">
        <v>3.2652235505542</v>
      </c>
      <c r="G18" s="47" t="n">
        <v>9.51</v>
      </c>
      <c r="H18" s="47">
        <f>ROUND(F18*G18,2)</f>
        <v/>
      </c>
    </row>
    <row r="19">
      <c r="A19" s="48">
        <f>A18+1</f>
        <v/>
      </c>
      <c r="B19" s="62" t="n"/>
      <c r="C19" s="44" t="inlineStr">
        <is>
          <t>1-2-2</t>
        </is>
      </c>
      <c r="D19" s="45" t="inlineStr">
        <is>
          <t>Затраты труда рабочих (средний разряд работы 2,2)</t>
        </is>
      </c>
      <c r="E19" s="164" t="inlineStr">
        <is>
          <t>чел.-ч</t>
        </is>
      </c>
      <c r="F19" s="97" t="n">
        <v>2.979144189932</v>
      </c>
      <c r="G19" s="47" t="n">
        <v>7.94</v>
      </c>
      <c r="H19" s="47">
        <f>ROUND(F19*G19,2)</f>
        <v/>
      </c>
    </row>
    <row r="20">
      <c r="A20" s="48">
        <f>A19+1</f>
        <v/>
      </c>
      <c r="B20" s="62" t="n"/>
      <c r="C20" s="44" t="inlineStr">
        <is>
          <t>1-2-5</t>
        </is>
      </c>
      <c r="D20" s="45" t="inlineStr">
        <is>
          <t>Затраты труда рабочих (средний разряд работы 2,5)</t>
        </is>
      </c>
      <c r="E20" s="164" t="inlineStr">
        <is>
          <t>чел.-ч</t>
        </is>
      </c>
      <c r="F20" s="97" t="n">
        <v>1.7772477553685</v>
      </c>
      <c r="G20" s="47" t="n">
        <v>8.17</v>
      </c>
      <c r="H20" s="47">
        <f>ROUND(F20*G20,2)</f>
        <v/>
      </c>
    </row>
    <row r="21">
      <c r="A21" s="48">
        <f>A20+1</f>
        <v/>
      </c>
      <c r="B21" s="62" t="n"/>
      <c r="C21" s="44" t="inlineStr">
        <is>
          <t>1-1-5</t>
        </is>
      </c>
      <c r="D21" s="45" t="inlineStr">
        <is>
          <t>Затраты труда рабочих (средний разряд работы 1,5)</t>
        </is>
      </c>
      <c r="E21" s="164" t="inlineStr">
        <is>
          <t>чел.-ч</t>
        </is>
      </c>
      <c r="F21" s="97" t="n">
        <v>0.3610799502987</v>
      </c>
      <c r="G21" s="47" t="n">
        <v>7.5</v>
      </c>
      <c r="H21" s="47">
        <f>ROUND(F21*G21,2)</f>
        <v/>
      </c>
      <c r="L21" s="43" t="n"/>
    </row>
    <row r="22">
      <c r="A22" s="48">
        <f>A21+1</f>
        <v/>
      </c>
      <c r="B22" s="62" t="n"/>
      <c r="C22" s="44" t="inlineStr">
        <is>
          <t>1-2-0</t>
        </is>
      </c>
      <c r="D22" s="45" t="inlineStr">
        <is>
          <t>Затраты труда рабочих (средний разряд работы 2,0)</t>
        </is>
      </c>
      <c r="E22" s="164" t="inlineStr">
        <is>
          <t>чел.-ч</t>
        </is>
      </c>
      <c r="F22" s="97" t="n">
        <v>0.13998478073162</v>
      </c>
      <c r="G22" s="47" t="n">
        <v>7.8</v>
      </c>
      <c r="H22" s="47">
        <f>ROUND(F22*G22,2)</f>
        <v/>
      </c>
    </row>
    <row r="23">
      <c r="A23" s="48">
        <f>A22+1</f>
        <v/>
      </c>
      <c r="B23" s="62" t="n"/>
      <c r="C23" s="44" t="inlineStr">
        <is>
          <t>1-3-0</t>
        </is>
      </c>
      <c r="D23" s="45" t="inlineStr">
        <is>
          <t>Затраты труда рабочих (средний разряд работы 3,0)</t>
        </is>
      </c>
      <c r="E23" s="164" t="inlineStr">
        <is>
          <t>чел.-ч</t>
        </is>
      </c>
      <c r="F23" s="97" t="n">
        <v>0.038341794722396</v>
      </c>
      <c r="G23" s="47" t="n">
        <v>8.529999999999999</v>
      </c>
      <c r="H23" s="47">
        <f>ROUND(F23*G23,2)</f>
        <v/>
      </c>
    </row>
    <row r="24" ht="15" customHeight="1">
      <c r="A24" s="139" t="inlineStr">
        <is>
          <t>Затраты труда машинистов</t>
        </is>
      </c>
      <c r="B24" s="170" t="n"/>
      <c r="C24" s="170" t="n"/>
      <c r="D24" s="170" t="n"/>
      <c r="E24" s="171" t="n"/>
      <c r="F24" s="53" t="n"/>
      <c r="G24" s="53" t="n"/>
      <c r="H24" s="52">
        <f>H25</f>
        <v/>
      </c>
    </row>
    <row r="25">
      <c r="A25" s="48">
        <f>A23+1</f>
        <v/>
      </c>
      <c r="B25" s="62" t="n"/>
      <c r="C25" s="44" t="n">
        <v>2</v>
      </c>
      <c r="D25" s="45" t="inlineStr">
        <is>
          <t>Затраты труда машинистов</t>
        </is>
      </c>
      <c r="E25" s="164" t="inlineStr">
        <is>
          <t>чел.-ч</t>
        </is>
      </c>
      <c r="F25" s="164">
        <f>'Прил.5 Расчет СМР и ОБ'!E16</f>
        <v/>
      </c>
      <c r="G25" s="47" t="n"/>
      <c r="H25" s="41">
        <f>'Прил.5 Расчет СМР и ОБ'!G16</f>
        <v/>
      </c>
      <c r="L25" s="43" t="n"/>
    </row>
    <row r="26" ht="15" customHeight="1">
      <c r="A26" s="139" t="inlineStr">
        <is>
          <t>Машины и механизмы</t>
        </is>
      </c>
      <c r="B26" s="170" t="n"/>
      <c r="C26" s="170" t="n"/>
      <c r="D26" s="170" t="n"/>
      <c r="E26" s="171" t="n"/>
      <c r="F26" s="53" t="n"/>
      <c r="G26" s="53" t="n"/>
      <c r="H26" s="52">
        <f>SUM(H27:H50)</f>
        <v/>
      </c>
      <c r="K26" s="18" t="n"/>
    </row>
    <row r="27" ht="25.5" customHeight="1">
      <c r="A27" s="44">
        <f>A25+1</f>
        <v/>
      </c>
      <c r="B27" s="62" t="n"/>
      <c r="C27" s="58" t="inlineStr">
        <is>
          <t>91.05.05-014</t>
        </is>
      </c>
      <c r="D27" s="45" t="inlineStr">
        <is>
          <t>Краны на автомобильном ходу, грузоподъемность 10 т</t>
        </is>
      </c>
      <c r="E27" s="164" t="inlineStr">
        <is>
          <t>маш.-ч</t>
        </is>
      </c>
      <c r="F27" s="164" t="n">
        <v>17.026688</v>
      </c>
      <c r="G27" s="49" t="n">
        <v>111.99</v>
      </c>
      <c r="H27" s="47">
        <f>ROUND(F27*G27,2)</f>
        <v/>
      </c>
    </row>
    <row r="28">
      <c r="A28" s="44">
        <f>A27+1</f>
        <v/>
      </c>
      <c r="B28" s="62" t="n"/>
      <c r="C28" s="58" t="inlineStr">
        <is>
          <t>91.10.01-002</t>
        </is>
      </c>
      <c r="D28" s="45" t="inlineStr">
        <is>
          <t>Агрегаты наполнительно-опрессовочные до 300 м3/ч</t>
        </is>
      </c>
      <c r="E28" s="164" t="inlineStr">
        <is>
          <t>маш.-ч</t>
        </is>
      </c>
      <c r="F28" s="50" t="n">
        <v>5.1336</v>
      </c>
      <c r="G28" s="49" t="n">
        <v>287.99</v>
      </c>
      <c r="H28" s="47">
        <f>ROUND(F28*G28,2)</f>
        <v/>
      </c>
    </row>
    <row r="29">
      <c r="A29" s="44">
        <f>A28+1</f>
        <v/>
      </c>
      <c r="B29" s="62" t="n"/>
      <c r="C29" s="58" t="inlineStr">
        <is>
          <t>91.06.06-042</t>
        </is>
      </c>
      <c r="D29" s="45" t="inlineStr">
        <is>
          <t>Подъемники гидравлические высотой подъема: 10 м</t>
        </is>
      </c>
      <c r="E29" s="164" t="inlineStr">
        <is>
          <t>маш.-ч</t>
        </is>
      </c>
      <c r="F29" s="164" t="n">
        <v>20.3688</v>
      </c>
      <c r="G29" s="49" t="n">
        <v>29.6</v>
      </c>
      <c r="H29" s="47">
        <f>ROUND(F29*G29,2)</f>
        <v/>
      </c>
    </row>
    <row r="30" ht="38.25" customHeight="1">
      <c r="A30" s="44">
        <f>A29+1</f>
        <v/>
      </c>
      <c r="B30" s="62" t="n"/>
      <c r="C30" s="58" t="inlineStr">
        <is>
          <t>91.02.04-032</t>
        </is>
      </c>
      <c r="D30" s="45" t="inlineStr">
        <is>
          <t>Установки буровые для бурения скважин под сваи ковшового бурения, глубиной до 24 м, диаметром до 1200 мм</t>
        </is>
      </c>
      <c r="E30" s="164" t="inlineStr">
        <is>
          <t>маш.-ч</t>
        </is>
      </c>
      <c r="F30" s="164" t="n">
        <v>3.48</v>
      </c>
      <c r="G30" s="49" t="n">
        <v>166.23</v>
      </c>
      <c r="H30" s="47">
        <f>ROUND(F30*G30,2)</f>
        <v/>
      </c>
    </row>
    <row r="31">
      <c r="A31" s="44">
        <f>A30+1</f>
        <v/>
      </c>
      <c r="B31" s="62" t="n"/>
      <c r="C31" s="58" t="inlineStr">
        <is>
          <t>91.14.02-001</t>
        </is>
      </c>
      <c r="D31" s="45" t="inlineStr">
        <is>
          <t>Автомобили бортовые, грузоподъемность до 5 т</t>
        </is>
      </c>
      <c r="E31" s="164" t="inlineStr">
        <is>
          <t>маш.-ч</t>
        </is>
      </c>
      <c r="F31" s="164" t="n">
        <v>7.814978</v>
      </c>
      <c r="G31" s="49" t="n">
        <v>65.70999999999999</v>
      </c>
      <c r="H31" s="47">
        <f>ROUND(F31*G31,2)</f>
        <v/>
      </c>
    </row>
    <row r="32" ht="25.5" customHeight="1">
      <c r="A32" s="44">
        <f>A31+1</f>
        <v/>
      </c>
      <c r="B32" s="62" t="n"/>
      <c r="C32" s="58" t="inlineStr">
        <is>
          <t>91.05.06-012</t>
        </is>
      </c>
      <c r="D32" s="45" t="inlineStr">
        <is>
          <t>Краны на гусеничном ходу, грузоподъемность до 16 т</t>
        </is>
      </c>
      <c r="E32" s="164" t="inlineStr">
        <is>
          <t>маш.-ч</t>
        </is>
      </c>
      <c r="F32" s="164" t="n">
        <v>5.10064</v>
      </c>
      <c r="G32" s="49" t="n">
        <v>96.89</v>
      </c>
      <c r="H32" s="47">
        <f>ROUND(F32*G32,2)</f>
        <v/>
      </c>
    </row>
    <row r="33" ht="25.5" customHeight="1">
      <c r="A33" s="44">
        <f>A32+1</f>
        <v/>
      </c>
      <c r="B33" s="62" t="n"/>
      <c r="C33" s="58" t="inlineStr">
        <is>
          <t>91.01.05-104</t>
        </is>
      </c>
      <c r="D33" s="45" t="inlineStr">
        <is>
          <t>Экскаваторы одноковшовые дизельные на пневмоколесном ходу, емкость ковша 0,4 м3</t>
        </is>
      </c>
      <c r="E33" s="164" t="inlineStr">
        <is>
          <t>маш.-ч</t>
        </is>
      </c>
      <c r="F33" s="164" t="n">
        <v>1.56</v>
      </c>
      <c r="G33" s="49" t="n">
        <v>98.90000000000001</v>
      </c>
      <c r="H33" s="47">
        <f>ROUND(F33*G33,2)</f>
        <v/>
      </c>
    </row>
    <row r="34" ht="25.5" customHeight="1">
      <c r="A34" s="44">
        <f>A33+1</f>
        <v/>
      </c>
      <c r="B34" s="62" t="n"/>
      <c r="C34" s="58" t="inlineStr">
        <is>
          <t>91.17.04-233</t>
        </is>
      </c>
      <c r="D34" s="45" t="inlineStr">
        <is>
          <t>Установки для сварки ручной дуговой (постоянного тока)</t>
        </is>
      </c>
      <c r="E34" s="164" t="inlineStr">
        <is>
          <t>маш.-ч</t>
        </is>
      </c>
      <c r="F34" s="164" t="n">
        <v>10.82518</v>
      </c>
      <c r="G34" s="49" t="n">
        <v>8.1</v>
      </c>
      <c r="H34" s="47">
        <f>ROUND(F34*G34,2)</f>
        <v/>
      </c>
    </row>
    <row r="35" ht="25.5" customHeight="1">
      <c r="A35" s="44">
        <f>A34+1</f>
        <v/>
      </c>
      <c r="B35" s="62" t="n"/>
      <c r="C35" s="58" t="inlineStr">
        <is>
          <t>91.06.03-058</t>
        </is>
      </c>
      <c r="D35" s="45" t="inlineStr">
        <is>
          <t>Лебедки электрические тяговым усилием 156,96 кН (16 т)</t>
        </is>
      </c>
      <c r="E35" s="164" t="inlineStr">
        <is>
          <t>маш.-ч</t>
        </is>
      </c>
      <c r="F35" s="164" t="n">
        <v>0.4968</v>
      </c>
      <c r="G35" s="49" t="n">
        <v>131.44</v>
      </c>
      <c r="H35" s="47">
        <f>ROUND(F35*G35,2)</f>
        <v/>
      </c>
    </row>
    <row r="36" ht="38.25" customHeight="1">
      <c r="A36" s="44">
        <f>A35+1</f>
        <v/>
      </c>
      <c r="B36" s="62" t="n"/>
      <c r="C36" s="58" t="inlineStr">
        <is>
          <t>91.18.01-007</t>
        </is>
      </c>
      <c r="D36" s="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164" t="inlineStr">
        <is>
          <t>маш.-ч</t>
        </is>
      </c>
      <c r="F36" s="164" t="n">
        <v>0.34308</v>
      </c>
      <c r="G36" s="49" t="n">
        <v>90</v>
      </c>
      <c r="H36" s="47">
        <f>ROUND(F36*G36,2)</f>
        <v/>
      </c>
    </row>
    <row r="37" ht="25.5" customHeight="1">
      <c r="A37" s="44">
        <f>A36+1</f>
        <v/>
      </c>
      <c r="B37" s="62" t="n"/>
      <c r="C37" s="58" t="inlineStr">
        <is>
          <t>91.01.05-106</t>
        </is>
      </c>
      <c r="D37" s="45" t="inlineStr">
        <is>
          <t>Экскаваторы одноковшовые дизельные на пневмоколесном ходу, емкость ковша 0,25 м3</t>
        </is>
      </c>
      <c r="E37" s="164" t="inlineStr">
        <is>
          <t>маш.-ч</t>
        </is>
      </c>
      <c r="F37" s="164" t="n">
        <v>0.35116</v>
      </c>
      <c r="G37" s="49" t="n">
        <v>70.01000000000001</v>
      </c>
      <c r="H37" s="47">
        <f>ROUND(F37*G37,2)</f>
        <v/>
      </c>
    </row>
    <row r="38">
      <c r="A38" s="44">
        <f>A37+1</f>
        <v/>
      </c>
      <c r="B38" s="62" t="n"/>
      <c r="C38" s="58" t="inlineStr">
        <is>
          <t>91.07.04-001</t>
        </is>
      </c>
      <c r="D38" s="45" t="inlineStr">
        <is>
          <t>Вибратор глубинный</t>
        </is>
      </c>
      <c r="E38" s="164" t="inlineStr">
        <is>
          <t>маш.-ч</t>
        </is>
      </c>
      <c r="F38" s="164" t="n">
        <v>8.68736</v>
      </c>
      <c r="G38" s="49" t="n">
        <v>1.9</v>
      </c>
      <c r="H38" s="47">
        <f>ROUND(F38*G38,2)</f>
        <v/>
      </c>
    </row>
    <row r="39">
      <c r="A39" s="44">
        <f>A38+1</f>
        <v/>
      </c>
      <c r="B39" s="62" t="n"/>
      <c r="C39" s="58" t="inlineStr">
        <is>
          <t>91.14.03-002</t>
        </is>
      </c>
      <c r="D39" s="45" t="inlineStr">
        <is>
          <t>Автомобиль-самосвал, грузоподъемность до 10 т</t>
        </is>
      </c>
      <c r="E39" s="164" t="inlineStr">
        <is>
          <t>маш.-ч</t>
        </is>
      </c>
      <c r="F39" s="164" t="n">
        <v>0.18793</v>
      </c>
      <c r="G39" s="49" t="n">
        <v>87.48999999999999</v>
      </c>
      <c r="H39" s="47">
        <f>ROUND(F39*G39,2)</f>
        <v/>
      </c>
    </row>
    <row r="40" ht="25.5" customHeight="1">
      <c r="A40" s="44">
        <f>A39+1</f>
        <v/>
      </c>
      <c r="B40" s="62" t="n"/>
      <c r="C40" s="58" t="inlineStr">
        <is>
          <t>91.06.01-003</t>
        </is>
      </c>
      <c r="D40" s="45" t="inlineStr">
        <is>
          <t>Домкраты гидравлические, грузоподъемность 63-100 т</t>
        </is>
      </c>
      <c r="E40" s="164" t="inlineStr">
        <is>
          <t>маш.-ч</t>
        </is>
      </c>
      <c r="F40" s="164" t="n">
        <v>12.5028</v>
      </c>
      <c r="G40" s="49" t="n">
        <v>0.9</v>
      </c>
      <c r="H40" s="47">
        <f>ROUND(F40*G40,2)</f>
        <v/>
      </c>
    </row>
    <row r="41">
      <c r="A41" s="44">
        <f>A40+1</f>
        <v/>
      </c>
      <c r="B41" s="62" t="n"/>
      <c r="C41" s="58" t="inlineStr">
        <is>
          <t>91.08.04-021</t>
        </is>
      </c>
      <c r="D41" s="45" t="inlineStr">
        <is>
          <t>Котлы битумные передвижные 400 л</t>
        </is>
      </c>
      <c r="E41" s="164" t="inlineStr">
        <is>
          <t>маш.-ч</t>
        </is>
      </c>
      <c r="F41" s="164" t="n">
        <v>0.29445</v>
      </c>
      <c r="G41" s="49" t="n">
        <v>30</v>
      </c>
      <c r="H41" s="47">
        <f>ROUND(F41*G41,2)</f>
        <v/>
      </c>
    </row>
    <row r="42" ht="25.5" customHeight="1">
      <c r="A42" s="44">
        <f>A41+1</f>
        <v/>
      </c>
      <c r="B42" s="62" t="n"/>
      <c r="C42" s="58" t="inlineStr">
        <is>
          <t>91.06.05-057</t>
        </is>
      </c>
      <c r="D42" s="45" t="inlineStr">
        <is>
          <t>Погрузчики одноковшовые универсальные фронтальные пневмоколесные, грузоподъемность 3 т</t>
        </is>
      </c>
      <c r="E42" s="164" t="inlineStr">
        <is>
          <t>маш.-ч</t>
        </is>
      </c>
      <c r="F42" s="164" t="n">
        <v>0.05808</v>
      </c>
      <c r="G42" s="49" t="n">
        <v>90.40000000000001</v>
      </c>
      <c r="H42" s="47">
        <f>ROUND(F42*G42,2)</f>
        <v/>
      </c>
    </row>
    <row r="43">
      <c r="A43" s="44">
        <f>A42+1</f>
        <v/>
      </c>
      <c r="B43" s="62" t="n"/>
      <c r="C43" s="58" t="inlineStr">
        <is>
          <t>91.01.01-034</t>
        </is>
      </c>
      <c r="D43" s="45" t="inlineStr">
        <is>
          <t>Бульдозеры, мощность 59 кВт (80 л.с.)</t>
        </is>
      </c>
      <c r="E43" s="164" t="inlineStr">
        <is>
          <t>маш.-ч</t>
        </is>
      </c>
      <c r="F43" s="164" t="n">
        <v>0.0682</v>
      </c>
      <c r="G43" s="49" t="n">
        <v>59.47</v>
      </c>
      <c r="H43" s="47">
        <f>ROUND(F43*G43,2)</f>
        <v/>
      </c>
    </row>
    <row r="44" ht="25.5" customHeight="1">
      <c r="A44" s="44">
        <f>A43+1</f>
        <v/>
      </c>
      <c r="B44" s="62" t="n"/>
      <c r="C44" s="58" t="inlineStr">
        <is>
          <t>91.06.06-048</t>
        </is>
      </c>
      <c r="D44" s="45" t="inlineStr">
        <is>
          <t>Подъемники одномачтовые, грузоподъемность до 500 кг, высота подъема 45 м</t>
        </is>
      </c>
      <c r="E44" s="164" t="inlineStr">
        <is>
          <t>маш.-ч</t>
        </is>
      </c>
      <c r="F44" s="164" t="n">
        <v>0.10804</v>
      </c>
      <c r="G44" s="49" t="n">
        <v>31.26</v>
      </c>
      <c r="H44" s="47">
        <f>ROUND(F44*G44,2)</f>
        <v/>
      </c>
    </row>
    <row r="45">
      <c r="A45" s="44">
        <f>A44+1</f>
        <v/>
      </c>
      <c r="B45" s="62" t="n"/>
      <c r="C45" s="58" t="inlineStr">
        <is>
          <t>91.01.01-035</t>
        </is>
      </c>
      <c r="D45" s="45" t="inlineStr">
        <is>
          <t>Бульдозеры, мощность 79 кВт (108 л.с.)</t>
        </is>
      </c>
      <c r="E45" s="164" t="inlineStr">
        <is>
          <t>маш.-ч</t>
        </is>
      </c>
      <c r="F45" s="164" t="n">
        <v>0.01304</v>
      </c>
      <c r="G45" s="49" t="n">
        <v>79.06999999999999</v>
      </c>
      <c r="H45" s="47">
        <f>ROUND(F45*G45,2)</f>
        <v/>
      </c>
    </row>
    <row r="46">
      <c r="A46" s="44">
        <f>A45+1</f>
        <v/>
      </c>
      <c r="B46" s="62" t="n"/>
      <c r="C46" s="58" t="inlineStr">
        <is>
          <t>91.06.05-011</t>
        </is>
      </c>
      <c r="D46" s="45" t="inlineStr">
        <is>
          <t>Погрузчик, грузоподъемность 5 т</t>
        </is>
      </c>
      <c r="E46" s="164" t="inlineStr">
        <is>
          <t>маш.-ч</t>
        </is>
      </c>
      <c r="F46" s="164" t="n">
        <v>0.0101</v>
      </c>
      <c r="G46" s="49" t="n">
        <v>89.98999999999999</v>
      </c>
      <c r="H46" s="47">
        <f>ROUND(F46*G46,2)</f>
        <v/>
      </c>
    </row>
    <row r="47">
      <c r="A47" s="44">
        <f>A46+1</f>
        <v/>
      </c>
      <c r="B47" s="62" t="n"/>
      <c r="C47" s="58" t="inlineStr">
        <is>
          <t>91.07.04-002</t>
        </is>
      </c>
      <c r="D47" s="45" t="inlineStr">
        <is>
          <t>Вибратор поверхностный</t>
        </is>
      </c>
      <c r="E47" s="164" t="inlineStr">
        <is>
          <t>маш.-ч</t>
        </is>
      </c>
      <c r="F47" s="164" t="n">
        <v>0.83147</v>
      </c>
      <c r="G47" s="49" t="n">
        <v>0.5</v>
      </c>
      <c r="H47" s="47">
        <f>ROUND(F47*G47,2)</f>
        <v/>
      </c>
    </row>
    <row r="48" ht="25.5" customHeight="1">
      <c r="A48" s="44">
        <f>A47+1</f>
        <v/>
      </c>
      <c r="B48" s="62" t="n"/>
      <c r="C48" s="58" t="inlineStr">
        <is>
          <t>91.21.01-012</t>
        </is>
      </c>
      <c r="D48" s="45" t="inlineStr">
        <is>
          <t>Агрегаты окрасочные высокого давления для окраски поверхностей конструкций, мощность 1 кВт</t>
        </is>
      </c>
      <c r="E48" s="164" t="inlineStr">
        <is>
          <t>маш.-ч</t>
        </is>
      </c>
      <c r="F48" s="164" t="n">
        <v>0.0598</v>
      </c>
      <c r="G48" s="49" t="n">
        <v>6.82</v>
      </c>
      <c r="H48" s="47">
        <f>ROUND(F48*G48,2)</f>
        <v/>
      </c>
    </row>
    <row r="49" ht="25.5" customHeight="1">
      <c r="A49" s="44">
        <f>A48+1</f>
        <v/>
      </c>
      <c r="B49" s="62" t="n"/>
      <c r="C49" s="58" t="inlineStr">
        <is>
          <t>91.08.09-023</t>
        </is>
      </c>
      <c r="D49" s="45" t="inlineStr">
        <is>
          <t>Трамбовки пневматические при работе от передвижных компрессорных станций</t>
        </is>
      </c>
      <c r="E49" s="164" t="inlineStr">
        <is>
          <t>маш.-ч</t>
        </is>
      </c>
      <c r="F49" s="164" t="n">
        <v>0.70446</v>
      </c>
      <c r="G49" s="49" t="n">
        <v>0.55</v>
      </c>
      <c r="H49" s="47">
        <f>ROUND(F49*G49,2)</f>
        <v/>
      </c>
    </row>
    <row r="50">
      <c r="A50" s="44">
        <f>A49+1</f>
        <v/>
      </c>
      <c r="B50" s="62" t="n"/>
      <c r="C50" s="58" t="inlineStr">
        <is>
          <t>91.14.03-001</t>
        </is>
      </c>
      <c r="D50" s="45" t="inlineStr">
        <is>
          <t>Автомобиль-самосвал, грузоподъемность до 7 т</t>
        </is>
      </c>
      <c r="E50" s="164" t="inlineStr">
        <is>
          <t>маш.-ч</t>
        </is>
      </c>
      <c r="F50" s="164" t="n">
        <v>0.00028</v>
      </c>
      <c r="G50" s="49" t="n">
        <v>89.54000000000001</v>
      </c>
      <c r="H50" s="47">
        <f>ROUND(F50*G50,2)</f>
        <v/>
      </c>
    </row>
    <row r="51" ht="15" customHeight="1">
      <c r="A51" s="139" t="inlineStr">
        <is>
          <t>Оборудование</t>
        </is>
      </c>
      <c r="B51" s="170" t="n"/>
      <c r="C51" s="170" t="n"/>
      <c r="D51" s="170" t="n"/>
      <c r="E51" s="171" t="n"/>
      <c r="F51" s="53" t="n"/>
      <c r="G51" s="53" t="n"/>
      <c r="H51" s="52">
        <f>SUM(H52:H53)</f>
        <v/>
      </c>
    </row>
    <row r="52" ht="108.75" customHeight="1">
      <c r="A52" s="48">
        <f>A50+1</f>
        <v/>
      </c>
      <c r="B52" s="139" t="n"/>
      <c r="C52" s="44" t="inlineStr">
        <is>
          <t>62.3.05.04-0028</t>
        </is>
      </c>
      <c r="D52" s="45" t="inlineStr">
        <is>
          <t>Разъединители напряжением: 220 кВ S2DAT, 2000 А трёхполюсные с одним заземляющим ножом (прим. Разъединитель однополюсный горизонтально-поворотный с одним комплектом заземляющих ножей напряжением 220кВ,  2000 А РГН.1б-220.II/2000-50 УХЛ1 (Zapel C6-950.II №2493 белого цвета), ПД-14УХЛ1 (однофазн.), БУ-2-14, КМЧ ВИЛЕ.305651.096-07 1П)</t>
        </is>
      </c>
      <c r="E52" s="164" t="inlineStr">
        <is>
          <t>компл</t>
        </is>
      </c>
      <c r="F52" s="164" t="inlineStr">
        <is>
          <t>3</t>
        </is>
      </c>
      <c r="G52" s="47" t="n">
        <v>145297.76</v>
      </c>
      <c r="H52" s="47" t="n">
        <v>435893.28</v>
      </c>
    </row>
    <row r="53" ht="36.75" customHeight="1">
      <c r="A53" s="48">
        <f>A52+1</f>
        <v/>
      </c>
      <c r="B53" s="139" t="n"/>
      <c r="C53" s="58" t="inlineStr">
        <is>
          <t>Прайс из СД ОП</t>
        </is>
      </c>
      <c r="D53" s="149" t="inlineStr">
        <is>
          <t>Шкаф управления разъединителями</t>
        </is>
      </c>
      <c r="E53" s="164" t="inlineStr">
        <is>
          <t>шт.</t>
        </is>
      </c>
      <c r="F53" s="164" t="n">
        <v>3</v>
      </c>
      <c r="G53" s="47" t="n">
        <v>95846.64999999999</v>
      </c>
      <c r="H53" s="47" t="n">
        <v>287539.95</v>
      </c>
    </row>
    <row r="54" ht="15" customHeight="1">
      <c r="A54" s="139" t="inlineStr">
        <is>
          <t>Материалы</t>
        </is>
      </c>
      <c r="B54" s="170" t="n"/>
      <c r="C54" s="170" t="n"/>
      <c r="D54" s="170" t="n"/>
      <c r="E54" s="171" t="n"/>
      <c r="F54" s="53" t="n"/>
      <c r="G54" s="53" t="n"/>
      <c r="H54" s="52">
        <f>SUM(H55:H111)</f>
        <v/>
      </c>
      <c r="K54" s="18" t="n"/>
    </row>
    <row r="55" ht="38.25" customHeight="1">
      <c r="A55" s="48">
        <f>A53+1</f>
        <v/>
      </c>
      <c r="B55" s="62" t="n"/>
      <c r="C55" s="44" t="inlineStr">
        <is>
          <t>04.1.02.02-0006</t>
        </is>
      </c>
      <c r="D55" s="45" t="inlineStr">
        <is>
          <t>Смеси бетонные тяжелого бетона (БСТ) для гидротехнических сооружений на сульфатостойких цементах, класс В15 (М200)</t>
        </is>
      </c>
      <c r="E55" s="164" t="inlineStr">
        <is>
          <t>м3</t>
        </is>
      </c>
      <c r="F55" s="164" t="n">
        <v>17.151</v>
      </c>
      <c r="G55" s="47" t="n">
        <v>708.91</v>
      </c>
      <c r="H55" s="47">
        <f>ROUND(F55*G55,2)</f>
        <v/>
      </c>
    </row>
    <row r="56" ht="25.5" customHeight="1">
      <c r="A56" s="48">
        <f>A55+1</f>
        <v/>
      </c>
      <c r="B56" s="62" t="n"/>
      <c r="C56" s="58" t="inlineStr">
        <is>
          <t>21.2.01.02-0101</t>
        </is>
      </c>
      <c r="D56" s="45" t="inlineStr">
        <is>
          <t>Провод неизолированный для воздушных линий электропередачи АС 500/26</t>
        </is>
      </c>
      <c r="E56" s="164" t="inlineStr">
        <is>
          <t>т</t>
        </is>
      </c>
      <c r="F56" s="164" t="n">
        <v>0.1</v>
      </c>
      <c r="G56" s="47" t="n">
        <v>34240.97</v>
      </c>
      <c r="H56" s="47">
        <f>ROUND(F56*G56,2)</f>
        <v/>
      </c>
    </row>
    <row r="57" ht="25.5" customHeight="1">
      <c r="A57" s="48">
        <f>A56+1</f>
        <v/>
      </c>
      <c r="B57" s="62" t="n"/>
      <c r="C57" s="58" t="inlineStr">
        <is>
          <t>21.1.06.10-0411</t>
        </is>
      </c>
      <c r="D57" s="45" t="inlineStr">
        <is>
          <t>Кабель силовой с медными жилами ВВГнг(A)-LS 5х16мк(N, РЕ)-1000</t>
        </is>
      </c>
      <c r="E57" s="164" t="inlineStr">
        <is>
          <t>1000 м</t>
        </is>
      </c>
      <c r="F57" s="164" t="n">
        <v>0.033</v>
      </c>
      <c r="G57" s="47" t="n">
        <v>98440.41</v>
      </c>
      <c r="H57" s="47">
        <f>ROUND(F57*G57,2)</f>
        <v/>
      </c>
    </row>
    <row r="58" ht="25.5" customHeight="1">
      <c r="A58" s="48">
        <f>A57+1</f>
        <v/>
      </c>
      <c r="B58" s="62" t="n"/>
      <c r="C58" s="58" t="inlineStr">
        <is>
          <t>08.4.03.03-0034</t>
        </is>
      </c>
      <c r="D58" s="45" t="inlineStr">
        <is>
          <t>Сталь арматурная, горячекатаная, периодического профиля, класс А-III, диаметр 16-18 мм</t>
        </is>
      </c>
      <c r="E58" s="164" t="inlineStr">
        <is>
          <t>т</t>
        </is>
      </c>
      <c r="F58" s="164" t="n">
        <v>0.337</v>
      </c>
      <c r="G58" s="47" t="n">
        <v>7956.21</v>
      </c>
      <c r="H58" s="47">
        <f>ROUND(F58*G58,2)</f>
        <v/>
      </c>
    </row>
    <row r="59" ht="25.5" customHeight="1">
      <c r="A59" s="48">
        <f>A58+1</f>
        <v/>
      </c>
      <c r="B59" s="62" t="n"/>
      <c r="C59" s="58" t="inlineStr">
        <is>
          <t>04.1.02.05-0043</t>
        </is>
      </c>
      <c r="D59" s="45" t="inlineStr">
        <is>
          <t>Смеси бетонные тяжелого бетона (БСТ), крупность заполнителя 20 мм, класс В15 (М200)</t>
        </is>
      </c>
      <c r="E59" s="164" t="inlineStr">
        <is>
          <t>м3</t>
        </is>
      </c>
      <c r="F59" s="164" t="n">
        <v>3.451</v>
      </c>
      <c r="G59" s="47" t="n">
        <v>665</v>
      </c>
      <c r="H59" s="47">
        <f>ROUND(F59*G59,2)</f>
        <v/>
      </c>
    </row>
    <row r="60">
      <c r="A60" s="48">
        <f>A59+1</f>
        <v/>
      </c>
      <c r="B60" s="62" t="n"/>
      <c r="C60" s="58" t="inlineStr">
        <is>
          <t>21.1.08.03-0574</t>
        </is>
      </c>
      <c r="D60" s="45" t="inlineStr">
        <is>
          <t>Кабель контрольный КВВГЭнг(А)-LS 4x2,5</t>
        </is>
      </c>
      <c r="E60" s="164" t="inlineStr">
        <is>
          <t>1000 м</t>
        </is>
      </c>
      <c r="F60" s="164" t="n">
        <v>0.054</v>
      </c>
      <c r="G60" s="47" t="n">
        <v>38348.22</v>
      </c>
      <c r="H60" s="47">
        <f>ROUND(F60*G60,2)</f>
        <v/>
      </c>
    </row>
    <row r="61" ht="25.5" customHeight="1">
      <c r="A61" s="48">
        <f>A60+1</f>
        <v/>
      </c>
      <c r="B61" s="62" t="n"/>
      <c r="C61" s="58" t="inlineStr">
        <is>
          <t>08.4.03.03-0032</t>
        </is>
      </c>
      <c r="D61" s="45" t="inlineStr">
        <is>
          <t>Сталь арматурная, горячекатаная, периодического профиля, класс А-III, диаметр 12 мм</t>
        </is>
      </c>
      <c r="E61" s="164" t="inlineStr">
        <is>
          <t>т</t>
        </is>
      </c>
      <c r="F61" s="164" t="n">
        <v>0.196</v>
      </c>
      <c r="G61" s="47" t="n">
        <v>7997.23</v>
      </c>
      <c r="H61" s="47">
        <f>ROUND(F61*G61,2)</f>
        <v/>
      </c>
    </row>
    <row r="62" ht="25.5" customHeight="1">
      <c r="A62" s="48">
        <f>A61+1</f>
        <v/>
      </c>
      <c r="B62" s="62" t="n"/>
      <c r="C62" s="58" t="inlineStr">
        <is>
          <t>05.1.01.10-0131</t>
        </is>
      </c>
      <c r="D62" s="45" t="inlineStr">
        <is>
          <t>Лотки каналов и тоннелей железобетонные для прокладки коммуникаций</t>
        </is>
      </c>
      <c r="E62" s="164" t="inlineStr">
        <is>
          <t>м3</t>
        </is>
      </c>
      <c r="F62" s="164" t="n">
        <v>0.84</v>
      </c>
      <c r="G62" s="47" t="n">
        <v>1837.28</v>
      </c>
      <c r="H62" s="47">
        <f>ROUND(F62*G62,2)</f>
        <v/>
      </c>
    </row>
    <row r="63" ht="25.5" customHeight="1">
      <c r="A63" s="48">
        <f>A62+1</f>
        <v/>
      </c>
      <c r="B63" s="62" t="n"/>
      <c r="C63" s="58" t="inlineStr">
        <is>
          <t>08.4.03.03-0031</t>
        </is>
      </c>
      <c r="D63" s="45" t="inlineStr">
        <is>
          <t>Сталь арматурная, горячекатаная, периодического профиля, класс А-III, диаметр 10 мм</t>
        </is>
      </c>
      <c r="E63" s="164" t="inlineStr">
        <is>
          <t>т</t>
        </is>
      </c>
      <c r="F63" s="164" t="n">
        <v>0.105</v>
      </c>
      <c r="G63" s="47" t="n">
        <v>8014.15</v>
      </c>
      <c r="H63" s="47">
        <f>ROUND(F63*G63,2)</f>
        <v/>
      </c>
    </row>
    <row r="64">
      <c r="A64" s="48">
        <f>A63+1</f>
        <v/>
      </c>
      <c r="B64" s="62" t="n"/>
      <c r="C64" s="58" t="n"/>
      <c r="D64" s="45" t="inlineStr">
        <is>
          <t>Итого основные материалы</t>
        </is>
      </c>
      <c r="E64" s="164" t="n"/>
      <c r="F64" s="164" t="n"/>
      <c r="G64" s="47" t="n"/>
      <c r="H64" s="47">
        <f>ROUND(F64*G64,2)</f>
        <v/>
      </c>
    </row>
    <row r="65" ht="25.5" customHeight="1">
      <c r="A65" s="48">
        <f>A64+1</f>
        <v/>
      </c>
      <c r="B65" s="62" t="n"/>
      <c r="C65" s="58" t="inlineStr">
        <is>
          <t>08.4.01.01-0022</t>
        </is>
      </c>
      <c r="D65" s="45" t="inlineStr">
        <is>
          <t>Детали анкерные с резьбой из прямых или гнутых круглых стержней</t>
        </is>
      </c>
      <c r="E65" s="164" t="inlineStr">
        <is>
          <t>т</t>
        </is>
      </c>
      <c r="F65" s="164" t="n">
        <v>0.055</v>
      </c>
      <c r="G65" s="47" t="n">
        <v>10100</v>
      </c>
      <c r="H65" s="47">
        <f>ROUND(F65*G65,2)</f>
        <v/>
      </c>
    </row>
    <row r="66" ht="51" customHeight="1">
      <c r="A66" s="48">
        <f>A65+1</f>
        <v/>
      </c>
      <c r="B66" s="62" t="n"/>
      <c r="C66" s="58" t="inlineStr">
        <is>
          <t>01.2.03.05-0004</t>
        </is>
      </c>
      <c r="D66" s="45" t="inlineStr">
        <is>
          <t>Праймер битумный для подготовки (огрунтовки) изолируемых поверхностей перед укладкой наплавляемых битумных и битумно-полимерных материалов</t>
        </is>
      </c>
      <c r="E66" s="164" t="inlineStr">
        <is>
          <t>кг</t>
        </is>
      </c>
      <c r="F66" s="164" t="n">
        <v>2.4</v>
      </c>
      <c r="G66" s="47" t="n">
        <v>216.14</v>
      </c>
      <c r="H66" s="47">
        <f>ROUND(F66*G66,2)</f>
        <v/>
      </c>
    </row>
    <row r="67" ht="25.5" customHeight="1">
      <c r="A67" s="48">
        <f>A66+1</f>
        <v/>
      </c>
      <c r="B67" s="62" t="n"/>
      <c r="C67" s="58" t="inlineStr">
        <is>
          <t>08.4.03.03-0029</t>
        </is>
      </c>
      <c r="D67" s="45" t="inlineStr">
        <is>
          <t>Сталь арматурная, горячекатаная, периодического профиля, класс А-III, диаметр 6 мм</t>
        </is>
      </c>
      <c r="E67" s="164" t="inlineStr">
        <is>
          <t>т</t>
        </is>
      </c>
      <c r="F67" s="164" t="n">
        <v>0.054</v>
      </c>
      <c r="G67" s="47" t="n">
        <v>8213.719999999999</v>
      </c>
      <c r="H67" s="47">
        <f>ROUND(F67*G67,2)</f>
        <v/>
      </c>
    </row>
    <row r="68">
      <c r="A68" s="48">
        <f>A67+1</f>
        <v/>
      </c>
      <c r="B68" s="62" t="n"/>
      <c r="C68" s="58" t="inlineStr">
        <is>
          <t>20.1.01.02-0067</t>
        </is>
      </c>
      <c r="D68" s="45" t="inlineStr">
        <is>
          <t>Зажим аппаратный прессуемый: А4А-400-2</t>
        </is>
      </c>
      <c r="E68" s="164" t="inlineStr">
        <is>
          <t>100 шт.</t>
        </is>
      </c>
      <c r="F68" s="164" t="n">
        <v>0.06</v>
      </c>
      <c r="G68" s="47" t="n">
        <v>6505</v>
      </c>
      <c r="H68" s="47">
        <f>ROUND(F68*G68,2)</f>
        <v/>
      </c>
    </row>
    <row r="69">
      <c r="A69" s="48">
        <f>A68+1</f>
        <v/>
      </c>
      <c r="B69" s="62" t="n"/>
      <c r="C69" s="58" t="inlineStr">
        <is>
          <t>02.2.05.04-1777</t>
        </is>
      </c>
      <c r="D69" s="45" t="inlineStr">
        <is>
          <t>Щебень М 800, фракция 20-40 мм, группа 2</t>
        </is>
      </c>
      <c r="E69" s="164" t="inlineStr">
        <is>
          <t>м3</t>
        </is>
      </c>
      <c r="F69" s="164" t="n">
        <v>3.6</v>
      </c>
      <c r="G69" s="47" t="n">
        <v>108.4</v>
      </c>
      <c r="H69" s="47">
        <f>ROUND(F69*G69,2)</f>
        <v/>
      </c>
    </row>
    <row r="70" ht="38.25" customHeight="1">
      <c r="A70" s="48">
        <f>A69+1</f>
        <v/>
      </c>
      <c r="B70" s="62" t="n"/>
      <c r="C70" s="58" t="inlineStr">
        <is>
          <t>23.3.01.04-0074</t>
        </is>
      </c>
      <c r="D70" s="45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70" s="164" t="inlineStr">
        <is>
          <t>м</t>
        </is>
      </c>
      <c r="F70" s="164" t="n">
        <v>0.3</v>
      </c>
      <c r="G70" s="47" t="n">
        <v>1001.3</v>
      </c>
      <c r="H70" s="47">
        <f>ROUND(F70*G70,2)</f>
        <v/>
      </c>
    </row>
    <row r="71" ht="25.5" customHeight="1">
      <c r="A71" s="48">
        <f>A70+1</f>
        <v/>
      </c>
      <c r="B71" s="62" t="n"/>
      <c r="C71" s="58" t="inlineStr">
        <is>
          <t>25.1.01.05-0032</t>
        </is>
      </c>
      <c r="D71" s="45" t="inlineStr">
        <is>
          <t>Шпалы пропитанные для железных дорог широкой колеи, обрезные и необрезные, лиственничные, тип II</t>
        </is>
      </c>
      <c r="E71" s="164" t="inlineStr">
        <is>
          <t>шт.</t>
        </is>
      </c>
      <c r="F71" s="164" t="n">
        <v>1.08</v>
      </c>
      <c r="G71" s="47" t="n">
        <v>276.17</v>
      </c>
      <c r="H71" s="47">
        <f>ROUND(F71*G71,2)</f>
        <v/>
      </c>
    </row>
    <row r="72">
      <c r="A72" s="48">
        <f>A71+1</f>
        <v/>
      </c>
      <c r="B72" s="62" t="n"/>
      <c r="C72" s="58" t="inlineStr">
        <is>
          <t>20.1.02.23-0121</t>
        </is>
      </c>
      <c r="D72" s="45" t="inlineStr">
        <is>
          <t>Проводник заземляющий П-750</t>
        </is>
      </c>
      <c r="E72" s="164" t="inlineStr">
        <is>
          <t>шт.</t>
        </is>
      </c>
      <c r="F72" s="164" t="inlineStr">
        <is>
          <t>20</t>
        </is>
      </c>
      <c r="G72" s="47" t="n">
        <v>13.55</v>
      </c>
      <c r="H72" s="47">
        <f>ROUND(F72*G72,2)</f>
        <v/>
      </c>
    </row>
    <row r="73">
      <c r="A73" s="48">
        <f>A72+1</f>
        <v/>
      </c>
      <c r="B73" s="62" t="n"/>
      <c r="C73" s="58" t="inlineStr">
        <is>
          <t>11.2.13.04-0011</t>
        </is>
      </c>
      <c r="D73" s="45" t="inlineStr">
        <is>
          <t>Щиты из досок толщиной 25 мм</t>
        </is>
      </c>
      <c r="E73" s="164" t="inlineStr">
        <is>
          <t>м2</t>
        </is>
      </c>
      <c r="F73" s="164" t="n">
        <v>4.059</v>
      </c>
      <c r="G73" s="47" t="n">
        <v>35.53</v>
      </c>
      <c r="H73" s="47">
        <f>ROUND(F73*G73,2)</f>
        <v/>
      </c>
    </row>
    <row r="74">
      <c r="A74" s="48">
        <f>A73+1</f>
        <v/>
      </c>
      <c r="B74" s="62" t="n"/>
      <c r="C74" s="58" t="inlineStr">
        <is>
          <t>01.2.03.03-0013</t>
        </is>
      </c>
      <c r="D74" s="45" t="inlineStr">
        <is>
          <t>Мастика битумная кровельная горячая</t>
        </is>
      </c>
      <c r="E74" s="164" t="inlineStr">
        <is>
          <t>т</t>
        </is>
      </c>
      <c r="F74" s="164" t="n">
        <v>0.03624</v>
      </c>
      <c r="G74" s="47" t="n">
        <v>3390</v>
      </c>
      <c r="H74" s="47">
        <f>ROUND(F74*G74,2)</f>
        <v/>
      </c>
    </row>
    <row r="75" ht="63.75" customHeight="1">
      <c r="A75" s="48">
        <f>A74+1</f>
        <v/>
      </c>
      <c r="B75" s="62" t="n"/>
      <c r="C75" s="58" t="inlineStr">
        <is>
          <t>08.4.01.02-0013</t>
        </is>
      </c>
      <c r="D75" s="4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75" s="164" t="inlineStr">
        <is>
          <t>т</t>
        </is>
      </c>
      <c r="F75" s="164" t="n">
        <v>0.017</v>
      </c>
      <c r="G75" s="47" t="n">
        <v>6800</v>
      </c>
      <c r="H75" s="47">
        <f>ROUND(F75*G75,2)</f>
        <v/>
      </c>
    </row>
    <row r="76">
      <c r="A76" s="48">
        <f>A75+1</f>
        <v/>
      </c>
      <c r="B76" s="62" t="n"/>
      <c r="C76" s="58" t="inlineStr">
        <is>
          <t>02.2.05.04-1777</t>
        </is>
      </c>
      <c r="D76" s="45" t="inlineStr">
        <is>
          <t>Щебень М 800, фракция 20-40 мм, группа 2</t>
        </is>
      </c>
      <c r="E76" s="164" t="inlineStr">
        <is>
          <t>м3</t>
        </is>
      </c>
      <c r="F76" s="164" t="n">
        <v>0.94424</v>
      </c>
      <c r="G76" s="47" t="n">
        <v>108.4</v>
      </c>
      <c r="H76" s="47">
        <f>ROUND(F76*G76,2)</f>
        <v/>
      </c>
    </row>
    <row r="77">
      <c r="A77" s="48">
        <f>A76+1</f>
        <v/>
      </c>
      <c r="B77" s="62" t="n"/>
      <c r="C77" s="58" t="inlineStr">
        <is>
          <t>04.3.01.09-0015</t>
        </is>
      </c>
      <c r="D77" s="45" t="inlineStr">
        <is>
          <t>Раствор готовый кладочный, цементный, М150</t>
        </is>
      </c>
      <c r="E77" s="164" t="inlineStr">
        <is>
          <t>м3</t>
        </is>
      </c>
      <c r="F77" s="164" t="n">
        <v>0.18615</v>
      </c>
      <c r="G77" s="47" t="n">
        <v>548.3</v>
      </c>
      <c r="H77" s="47">
        <f>ROUND(F77*G77,2)</f>
        <v/>
      </c>
    </row>
    <row r="78">
      <c r="A78" s="48">
        <f>A77+1</f>
        <v/>
      </c>
      <c r="B78" s="62" t="n"/>
      <c r="C78" s="58" t="inlineStr">
        <is>
          <t>01.7.15.11-0026</t>
        </is>
      </c>
      <c r="D78" s="45" t="inlineStr">
        <is>
          <t>Шайбы квадратные</t>
        </is>
      </c>
      <c r="E78" s="164" t="inlineStr">
        <is>
          <t>100 шт.</t>
        </is>
      </c>
      <c r="F78" s="164" t="n">
        <v>0.36</v>
      </c>
      <c r="G78" s="47" t="n">
        <v>254</v>
      </c>
      <c r="H78" s="47">
        <f>ROUND(F78*G78,2)</f>
        <v/>
      </c>
    </row>
    <row r="79">
      <c r="A79" s="48">
        <f>A78+1</f>
        <v/>
      </c>
      <c r="B79" s="62" t="n"/>
      <c r="C79" s="58" t="inlineStr">
        <is>
          <t>01.7.15.03-0042</t>
        </is>
      </c>
      <c r="D79" s="45" t="inlineStr">
        <is>
          <t>Болты с гайками и шайбами строительные</t>
        </is>
      </c>
      <c r="E79" s="164" t="inlineStr">
        <is>
          <t>кг</t>
        </is>
      </c>
      <c r="F79" s="164" t="n">
        <v>9.952999999999999</v>
      </c>
      <c r="G79" s="47" t="n">
        <v>9.039999999999999</v>
      </c>
      <c r="H79" s="47">
        <f>ROUND(F79*G79,2)</f>
        <v/>
      </c>
    </row>
    <row r="80" ht="25.5" customHeight="1">
      <c r="A80" s="48">
        <f>A79+1</f>
        <v/>
      </c>
      <c r="B80" s="62" t="n"/>
      <c r="C80" s="58" t="inlineStr">
        <is>
          <t>08.4.03.02-0001</t>
        </is>
      </c>
      <c r="D80" s="45" t="inlineStr">
        <is>
          <t>Сталь арматурная, горячекатаная, гладкая, класс А-I, диаметр 6 мм</t>
        </is>
      </c>
      <c r="E80" s="164" t="inlineStr">
        <is>
          <t>т</t>
        </is>
      </c>
      <c r="F80" s="164" t="n">
        <v>0.012</v>
      </c>
      <c r="G80" s="47" t="n">
        <v>7418.82</v>
      </c>
      <c r="H80" s="47">
        <f>ROUND(F80*G80,2)</f>
        <v/>
      </c>
    </row>
    <row r="81" ht="25.5" customHeight="1">
      <c r="A81" s="48">
        <f>A80+1</f>
        <v/>
      </c>
      <c r="B81" s="62" t="n"/>
      <c r="C81" s="58" t="inlineStr">
        <is>
          <t>20.2.10.03-0002</t>
        </is>
      </c>
      <c r="D81" s="45" t="inlineStr">
        <is>
          <t>Наконечники кабельные медные для электротехнических установок</t>
        </is>
      </c>
      <c r="E81" s="164" t="inlineStr">
        <is>
          <t>100 шт.</t>
        </is>
      </c>
      <c r="F81" s="164" t="n">
        <v>0.0204</v>
      </c>
      <c r="G81" s="47" t="n">
        <v>3986</v>
      </c>
      <c r="H81" s="47">
        <f>ROUND(F81*G81,2)</f>
        <v/>
      </c>
    </row>
    <row r="82" ht="25.5" customHeight="1">
      <c r="A82" s="48">
        <f>A81+1</f>
        <v/>
      </c>
      <c r="B82" s="62" t="n"/>
      <c r="C82" s="58" t="inlineStr">
        <is>
          <t>08.3.07.01-0076</t>
        </is>
      </c>
      <c r="D82" s="45" t="inlineStr">
        <is>
          <t>Прокат полосовой, горячекатаный, марка стали Ст3сп, ширина 50-200 мм, толщина 4-5 мм</t>
        </is>
      </c>
      <c r="E82" s="164" t="inlineStr">
        <is>
          <t>т</t>
        </is>
      </c>
      <c r="F82" s="164" t="n">
        <v>0.0159</v>
      </c>
      <c r="G82" s="47" t="n">
        <v>5000</v>
      </c>
      <c r="H82" s="47">
        <f>ROUND(F82*G82,2)</f>
        <v/>
      </c>
    </row>
    <row r="83" ht="25.5" customHeight="1">
      <c r="A83" s="48">
        <f>A82+1</f>
        <v/>
      </c>
      <c r="B83" s="62" t="n"/>
      <c r="C83" s="58" t="inlineStr">
        <is>
          <t>14.4.04.04-0002</t>
        </is>
      </c>
      <c r="D83" s="45" t="inlineStr">
        <is>
          <t>Эмаль кремнийорганическая КО-168 атмосферостойкая разных цветов</t>
        </is>
      </c>
      <c r="E83" s="164" t="inlineStr">
        <is>
          <t>т</t>
        </is>
      </c>
      <c r="F83" s="164" t="n">
        <v>0.002</v>
      </c>
      <c r="G83" s="47" t="n">
        <v>33915</v>
      </c>
      <c r="H83" s="47">
        <f>ROUND(F83*G83,2)</f>
        <v/>
      </c>
    </row>
    <row r="84">
      <c r="A84" s="48">
        <f>A83+1</f>
        <v/>
      </c>
      <c r="B84" s="62" t="n"/>
      <c r="C84" s="58" t="inlineStr">
        <is>
          <t>01.7.11.07-0034</t>
        </is>
      </c>
      <c r="D84" s="45" t="inlineStr">
        <is>
          <t>Электроды сварочные Э42А, диаметр 4 мм</t>
        </is>
      </c>
      <c r="E84" s="164" t="inlineStr">
        <is>
          <t>кг</t>
        </is>
      </c>
      <c r="F84" s="164" t="n">
        <v>5.94</v>
      </c>
      <c r="G84" s="47" t="n">
        <v>10.57</v>
      </c>
      <c r="H84" s="47">
        <f>ROUND(F84*G84,2)</f>
        <v/>
      </c>
    </row>
    <row r="85">
      <c r="A85" s="48">
        <f>A84+1</f>
        <v/>
      </c>
      <c r="B85" s="62" t="n"/>
      <c r="C85" s="58" t="inlineStr">
        <is>
          <t>14.4.02.09-0001</t>
        </is>
      </c>
      <c r="D85" s="45" t="inlineStr">
        <is>
          <t>Краска</t>
        </is>
      </c>
      <c r="E85" s="164" t="inlineStr">
        <is>
          <t>кг</t>
        </is>
      </c>
      <c r="F85" s="164" t="n">
        <v>2.061</v>
      </c>
      <c r="G85" s="47" t="n">
        <v>28.6</v>
      </c>
      <c r="H85" s="47">
        <f>ROUND(F85*G85,2)</f>
        <v/>
      </c>
    </row>
    <row r="86" ht="25.5" customHeight="1">
      <c r="A86" s="48">
        <f>A85+1</f>
        <v/>
      </c>
      <c r="B86" s="62" t="n"/>
      <c r="C86" s="58" t="inlineStr">
        <is>
          <t>01.3.01.06-0050</t>
        </is>
      </c>
      <c r="D86" s="45" t="inlineStr">
        <is>
          <t>Смазка универсальная тугоплавкая УТ (консталин жировой)</t>
        </is>
      </c>
      <c r="E86" s="164" t="inlineStr">
        <is>
          <t>т</t>
        </is>
      </c>
      <c r="F86" s="164" t="n">
        <v>0.00246</v>
      </c>
      <c r="G86" s="47" t="n">
        <v>17500</v>
      </c>
      <c r="H86" s="47">
        <f>ROUND(F86*G86,2)</f>
        <v/>
      </c>
    </row>
    <row r="87">
      <c r="A87" s="48">
        <f>A86+1</f>
        <v/>
      </c>
      <c r="B87" s="62" t="n"/>
      <c r="C87" s="58" t="inlineStr">
        <is>
          <t>999-9950</t>
        </is>
      </c>
      <c r="D87" s="45" t="inlineStr">
        <is>
          <t>Вспомогательные ненормируемые материалы</t>
        </is>
      </c>
      <c r="E87" s="164" t="inlineStr">
        <is>
          <t>руб</t>
        </is>
      </c>
      <c r="F87" s="164" t="n">
        <v>32.9505</v>
      </c>
      <c r="G87" s="47" t="n">
        <v>1</v>
      </c>
      <c r="H87" s="47">
        <f>ROUND(F87*G87,2)</f>
        <v/>
      </c>
    </row>
    <row r="88" ht="25.5" customHeight="1">
      <c r="A88" s="48">
        <f>A87+1</f>
        <v/>
      </c>
      <c r="B88" s="62" t="n"/>
      <c r="C88" s="58" t="inlineStr">
        <is>
          <t>11.1.03.06-0095</t>
        </is>
      </c>
      <c r="D88" s="45" t="inlineStr">
        <is>
          <t>Доска обрезная, хвойных пород, ширина 75-150 мм, толщина 44 мм и более, длина 4-6,5 м, сорт III</t>
        </is>
      </c>
      <c r="E88" s="164" t="inlineStr">
        <is>
          <t>м3</t>
        </is>
      </c>
      <c r="F88" s="164" t="n">
        <v>0.02346</v>
      </c>
      <c r="G88" s="47" t="n">
        <v>1056</v>
      </c>
      <c r="H88" s="47">
        <f>ROUND(F88*G88,2)</f>
        <v/>
      </c>
    </row>
    <row r="89">
      <c r="A89" s="48">
        <f>A88+1</f>
        <v/>
      </c>
      <c r="B89" s="62" t="n"/>
      <c r="C89" s="58" t="inlineStr">
        <is>
          <t>01.7.15.07-0014</t>
        </is>
      </c>
      <c r="D89" s="45" t="inlineStr">
        <is>
          <t>Дюбели распорные полипропиленовые</t>
        </is>
      </c>
      <c r="E89" s="164" t="inlineStr">
        <is>
          <t>100 шт.</t>
        </is>
      </c>
      <c r="F89" s="164" t="n">
        <v>0.2448</v>
      </c>
      <c r="G89" s="47" t="n">
        <v>86</v>
      </c>
      <c r="H89" s="47">
        <f>ROUND(F89*G89,2)</f>
        <v/>
      </c>
    </row>
    <row r="90" ht="63.75" customHeight="1">
      <c r="A90" s="48">
        <f>A89+1</f>
        <v/>
      </c>
      <c r="B90" s="62" t="n"/>
      <c r="C90" s="58" t="inlineStr">
        <is>
          <t>08.4.01.02-0014</t>
        </is>
      </c>
      <c r="D90" s="4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      </is>
      </c>
      <c r="E90" s="164" t="inlineStr">
        <is>
          <t>т</t>
        </is>
      </c>
      <c r="F90" s="164" t="n">
        <v>0.002</v>
      </c>
      <c r="G90" s="47" t="n">
        <v>8073</v>
      </c>
      <c r="H90" s="47">
        <f>ROUND(F90*G90,2)</f>
        <v/>
      </c>
    </row>
    <row r="91">
      <c r="A91" s="48">
        <f>A90+1</f>
        <v/>
      </c>
      <c r="B91" s="62" t="n"/>
      <c r="C91" s="58" t="inlineStr">
        <is>
          <t>01.7.15.06-0111</t>
        </is>
      </c>
      <c r="D91" s="45" t="inlineStr">
        <is>
          <t>Гвозди строительные</t>
        </is>
      </c>
      <c r="E91" s="164" t="inlineStr">
        <is>
          <t>т</t>
        </is>
      </c>
      <c r="F91" s="164" t="n">
        <v>0.001258</v>
      </c>
      <c r="G91" s="47" t="n">
        <v>11978</v>
      </c>
      <c r="H91" s="47">
        <f>ROUND(F91*G91,2)</f>
        <v/>
      </c>
    </row>
    <row r="92" ht="25.5" customHeight="1">
      <c r="A92" s="48">
        <f>A91+1</f>
        <v/>
      </c>
      <c r="B92" s="62" t="n"/>
      <c r="C92" s="58" t="inlineStr">
        <is>
          <t>11.1.02.04-0031</t>
        </is>
      </c>
      <c r="D92" s="45" t="inlineStr">
        <is>
          <t>Лесоматериалы круглые хвойных пород для строительства диаметром 14-24 см, длиной 3-6,5 м</t>
        </is>
      </c>
      <c r="E92" s="164" t="inlineStr">
        <is>
          <t>м3</t>
        </is>
      </c>
      <c r="F92" s="164" t="n">
        <v>0.02346</v>
      </c>
      <c r="G92" s="47" t="n">
        <v>558.33</v>
      </c>
      <c r="H92" s="47">
        <f>ROUND(F92*G92,2)</f>
        <v/>
      </c>
    </row>
    <row r="93">
      <c r="A93" s="48">
        <f>A92+1</f>
        <v/>
      </c>
      <c r="B93" s="62" t="n"/>
      <c r="C93" s="58" t="inlineStr">
        <is>
          <t>01.7.20.08-0031</t>
        </is>
      </c>
      <c r="D93" s="45" t="inlineStr">
        <is>
          <t xml:space="preserve">Бязь суровая </t>
        </is>
      </c>
      <c r="E93" s="164" t="inlineStr">
        <is>
          <t>10 м2</t>
        </is>
      </c>
      <c r="F93" s="164" t="n">
        <v>0.1485</v>
      </c>
      <c r="G93" s="47" t="n">
        <v>79.09999999999999</v>
      </c>
      <c r="H93" s="47">
        <f>ROUND(F93*G93,2)</f>
        <v/>
      </c>
    </row>
    <row r="94">
      <c r="A94" s="48">
        <f>A93+1</f>
        <v/>
      </c>
      <c r="B94" s="62" t="n"/>
      <c r="C94" s="58" t="inlineStr">
        <is>
          <t>07.2.07.02-0001</t>
        </is>
      </c>
      <c r="D94" s="45" t="inlineStr">
        <is>
          <t>Кондуктор инвентарный металлический</t>
        </is>
      </c>
      <c r="E94" s="164" t="inlineStr">
        <is>
          <t>шт.</t>
        </is>
      </c>
      <c r="F94" s="164" t="n">
        <v>0.03055</v>
      </c>
      <c r="G94" s="47" t="n">
        <v>346</v>
      </c>
      <c r="H94" s="47">
        <f>ROUND(F94*G94,2)</f>
        <v/>
      </c>
    </row>
    <row r="95">
      <c r="A95" s="48">
        <f>A94+1</f>
        <v/>
      </c>
      <c r="B95" s="62" t="n"/>
      <c r="C95" s="58" t="inlineStr">
        <is>
          <t>14.5.09.07-0029</t>
        </is>
      </c>
      <c r="D95" s="45" t="inlineStr">
        <is>
          <t>Растворитель марки Р-4</t>
        </is>
      </c>
      <c r="E95" s="164" t="inlineStr">
        <is>
          <t>т</t>
        </is>
      </c>
      <c r="F95" s="164" t="n">
        <v>0.001104</v>
      </c>
      <c r="G95" s="47" t="n">
        <v>9420</v>
      </c>
      <c r="H95" s="47">
        <f>ROUND(F95*G95,2)</f>
        <v/>
      </c>
    </row>
    <row r="96">
      <c r="A96" s="48">
        <f>A95+1</f>
        <v/>
      </c>
      <c r="B96" s="62" t="n"/>
      <c r="C96" s="58" t="inlineStr">
        <is>
          <t>01.3.01.03-0002</t>
        </is>
      </c>
      <c r="D96" s="45" t="inlineStr">
        <is>
          <t>Керосин для технических целей</t>
        </is>
      </c>
      <c r="E96" s="164" t="inlineStr">
        <is>
          <t>т</t>
        </is>
      </c>
      <c r="F96" s="164" t="n">
        <v>0.003624</v>
      </c>
      <c r="G96" s="47" t="n">
        <v>2606.9</v>
      </c>
      <c r="H96" s="47">
        <f>ROUND(F96*G96,2)</f>
        <v/>
      </c>
    </row>
    <row r="97" ht="25.5" customHeight="1">
      <c r="A97" s="48">
        <f>A96+1</f>
        <v/>
      </c>
      <c r="B97" s="62" t="n"/>
      <c r="C97" s="58" t="inlineStr">
        <is>
          <t>11.1.03.06-0087</t>
        </is>
      </c>
      <c r="D97" s="45" t="inlineStr">
        <is>
          <t>Доска обрезная, хвойных пород, ширина 75-150 мм, толщина 25 мм, длина 4-6,5 м, сорт III</t>
        </is>
      </c>
      <c r="E97" s="164" t="inlineStr">
        <is>
          <t>м3</t>
        </is>
      </c>
      <c r="F97" s="164" t="n">
        <v>0.0068</v>
      </c>
      <c r="G97" s="47" t="n">
        <v>1100</v>
      </c>
      <c r="H97" s="47">
        <f>ROUND(F97*G97,2)</f>
        <v/>
      </c>
    </row>
    <row r="98" ht="25.5" customHeight="1">
      <c r="A98" s="48">
        <f>A97+1</f>
        <v/>
      </c>
      <c r="B98" s="62" t="n"/>
      <c r="C98" s="58" t="inlineStr">
        <is>
          <t>08.3.03.06-0002</t>
        </is>
      </c>
      <c r="D98" s="45" t="inlineStr">
        <is>
          <t>Проволока горячекатаная в мотках, диаметром 6,3-6,5 мм</t>
        </is>
      </c>
      <c r="E98" s="164" t="inlineStr">
        <is>
          <t>т</t>
        </is>
      </c>
      <c r="F98" s="164" t="n">
        <v>0.00136</v>
      </c>
      <c r="G98" s="47" t="n">
        <v>4455.2</v>
      </c>
      <c r="H98" s="47">
        <f>ROUND(F98*G98,2)</f>
        <v/>
      </c>
    </row>
    <row r="99">
      <c r="A99" s="48">
        <f>A98+1</f>
        <v/>
      </c>
      <c r="B99" s="62" t="n"/>
      <c r="C99" s="58" t="inlineStr">
        <is>
          <t>20.1.02.23-0082</t>
        </is>
      </c>
      <c r="D99" s="45" t="inlineStr">
        <is>
          <t>Перемычки гибкие, тип ПГС-50</t>
        </is>
      </c>
      <c r="E99" s="164" t="inlineStr">
        <is>
          <t>10 шт.</t>
        </is>
      </c>
      <c r="F99" s="164" t="n">
        <v>0.1</v>
      </c>
      <c r="G99" s="47" t="n">
        <v>39</v>
      </c>
      <c r="H99" s="47">
        <f>ROUND(F99*G99,2)</f>
        <v/>
      </c>
    </row>
    <row r="100">
      <c r="A100" s="48">
        <f>A99+1</f>
        <v/>
      </c>
      <c r="B100" s="62" t="n"/>
      <c r="C100" s="58" t="inlineStr">
        <is>
          <t>14.4.03.13-0002</t>
        </is>
      </c>
      <c r="D100" s="45" t="inlineStr">
        <is>
          <t>Лак ХВ-784</t>
        </is>
      </c>
      <c r="E100" s="164" t="inlineStr">
        <is>
          <t>т</t>
        </is>
      </c>
      <c r="F100" s="164" t="n">
        <v>0.000208</v>
      </c>
      <c r="G100" s="47" t="n">
        <v>18460</v>
      </c>
      <c r="H100" s="47">
        <f>ROUND(F100*G100,2)</f>
        <v/>
      </c>
    </row>
    <row r="101" ht="25.5" customHeight="1">
      <c r="A101" s="48">
        <f>A100+1</f>
        <v/>
      </c>
      <c r="B101" s="62" t="n"/>
      <c r="C101" s="58" t="inlineStr">
        <is>
          <t>11.1.03.01-0079</t>
        </is>
      </c>
      <c r="D101" s="45" t="inlineStr">
        <is>
          <t>Бруски обрезные хвойных пород длиной 4-6,5 м, шириной 75-150 мм, толщиной 40-75 мм, III сорта</t>
        </is>
      </c>
      <c r="E101" s="164" t="inlineStr">
        <is>
          <t>м3</t>
        </is>
      </c>
      <c r="F101" s="164" t="n">
        <v>0.00272</v>
      </c>
      <c r="G101" s="47" t="n">
        <v>1287</v>
      </c>
      <c r="H101" s="47">
        <f>ROUND(F101*G101,2)</f>
        <v/>
      </c>
    </row>
    <row r="102">
      <c r="A102" s="44">
        <f>A101+1</f>
        <v/>
      </c>
      <c r="B102" s="62" t="n"/>
      <c r="C102" s="58" t="inlineStr">
        <is>
          <t>01.7.11.07-0054</t>
        </is>
      </c>
      <c r="D102" s="45" t="inlineStr">
        <is>
          <t>Электроды сварочные Э42, диаметр 6 мм</t>
        </is>
      </c>
      <c r="E102" s="164" t="inlineStr">
        <is>
          <t>т</t>
        </is>
      </c>
      <c r="F102" s="164" t="n">
        <v>0.000136</v>
      </c>
      <c r="G102" s="47" t="n">
        <v>9424</v>
      </c>
      <c r="H102" s="47">
        <f>ROUND(F102*G102,2)</f>
        <v/>
      </c>
    </row>
    <row r="103">
      <c r="A103" s="44">
        <f>A102+1</f>
        <v/>
      </c>
      <c r="B103" s="62" t="n"/>
      <c r="C103" s="58" t="inlineStr">
        <is>
          <t>01.7.07.12-0024</t>
        </is>
      </c>
      <c r="D103" s="45" t="inlineStr">
        <is>
          <t>Пленка полиэтиленовая толщиной 0,15 мм</t>
        </is>
      </c>
      <c r="E103" s="164" t="inlineStr">
        <is>
          <t>м2</t>
        </is>
      </c>
      <c r="F103" s="164" t="n">
        <v>0.3434</v>
      </c>
      <c r="G103" s="47" t="n">
        <v>3.62</v>
      </c>
      <c r="H103" s="47">
        <f>ROUND(F103*G103,2)</f>
        <v/>
      </c>
    </row>
    <row r="104">
      <c r="A104" s="44">
        <f>A103+1</f>
        <v/>
      </c>
      <c r="B104" s="62" t="n"/>
      <c r="C104" s="58" t="inlineStr">
        <is>
          <t>03.1.02.03-0011</t>
        </is>
      </c>
      <c r="D104" s="45" t="inlineStr">
        <is>
          <t>Известь строительная негашеная комовая, сорт I</t>
        </is>
      </c>
      <c r="E104" s="164" t="inlineStr">
        <is>
          <t>т</t>
        </is>
      </c>
      <c r="F104" s="164" t="n">
        <v>0.001564</v>
      </c>
      <c r="G104" s="47" t="n">
        <v>734.5</v>
      </c>
      <c r="H104" s="47">
        <f>ROUND(F104*G104,2)</f>
        <v/>
      </c>
    </row>
    <row r="105">
      <c r="A105" s="44">
        <f>A104+1</f>
        <v/>
      </c>
      <c r="B105" s="62" t="n"/>
      <c r="C105" s="58" t="inlineStr">
        <is>
          <t>01.7.11.07-0032</t>
        </is>
      </c>
      <c r="D105" s="45" t="inlineStr">
        <is>
          <t>Электроды сварочные Э42, диаметр 4 мм</t>
        </is>
      </c>
      <c r="E105" s="164" t="inlineStr">
        <is>
          <t>т</t>
        </is>
      </c>
      <c r="F105" s="164" t="n">
        <v>0.00011</v>
      </c>
      <c r="G105" s="47" t="n">
        <v>10315.01</v>
      </c>
      <c r="H105" s="47">
        <f>ROUND(F105*G105,2)</f>
        <v/>
      </c>
    </row>
    <row r="106">
      <c r="A106" s="44">
        <f>A105+1</f>
        <v/>
      </c>
      <c r="B106" s="62" t="n"/>
      <c r="C106" s="58" t="inlineStr">
        <is>
          <t>01.7.03.01-0001</t>
        </is>
      </c>
      <c r="D106" s="45" t="inlineStr">
        <is>
          <t>Вода</t>
        </is>
      </c>
      <c r="E106" s="164" t="inlineStr">
        <is>
          <t>м3</t>
        </is>
      </c>
      <c r="F106" s="164" t="n">
        <v>0.464258</v>
      </c>
      <c r="G106" s="47" t="n">
        <v>2.44</v>
      </c>
      <c r="H106" s="47">
        <f>ROUND(F106*G106,2)</f>
        <v/>
      </c>
    </row>
    <row r="107">
      <c r="A107" s="44">
        <f>A106+1</f>
        <v/>
      </c>
      <c r="B107" s="62" t="n"/>
      <c r="C107" s="58" t="inlineStr">
        <is>
          <t>24.3.01.01-0001</t>
        </is>
      </c>
      <c r="D107" s="45" t="inlineStr">
        <is>
          <t>Трубка ХВТ</t>
        </is>
      </c>
      <c r="E107" s="164" t="inlineStr">
        <is>
          <t>кг</t>
        </is>
      </c>
      <c r="F107" s="164" t="n">
        <v>0.016</v>
      </c>
      <c r="G107" s="47" t="n">
        <v>41.7</v>
      </c>
      <c r="H107" s="47">
        <f>ROUND(F107*G107,2)</f>
        <v/>
      </c>
    </row>
    <row r="108">
      <c r="A108" s="44">
        <f>A107+1</f>
        <v/>
      </c>
      <c r="B108" s="62" t="n"/>
      <c r="C108" s="58" t="inlineStr">
        <is>
          <t>01.7.06.07-0001</t>
        </is>
      </c>
      <c r="D108" s="45" t="inlineStr">
        <is>
          <t>Лента К226</t>
        </is>
      </c>
      <c r="E108" s="164" t="inlineStr">
        <is>
          <t>100 м</t>
        </is>
      </c>
      <c r="F108" s="164" t="n">
        <v>0.0048</v>
      </c>
      <c r="G108" s="47" t="n">
        <v>120</v>
      </c>
      <c r="H108" s="47">
        <f>ROUND(F108*G108,2)</f>
        <v/>
      </c>
    </row>
    <row r="109">
      <c r="A109" s="44">
        <f>A108+1</f>
        <v/>
      </c>
      <c r="B109" s="62" t="n"/>
      <c r="C109" s="58" t="inlineStr">
        <is>
          <t>01.2.01.02-0054</t>
        </is>
      </c>
      <c r="D109" s="45" t="inlineStr">
        <is>
          <t>Битумы нефтяные строительные марки БН-90/10</t>
        </is>
      </c>
      <c r="E109" s="164" t="inlineStr">
        <is>
          <t>т</t>
        </is>
      </c>
      <c r="F109" s="164" t="n">
        <v>0.000416</v>
      </c>
      <c r="G109" s="47" t="n">
        <v>1383.1</v>
      </c>
      <c r="H109" s="47">
        <f>ROUND(F109*G109,2)</f>
        <v/>
      </c>
    </row>
    <row r="110" ht="38.25" customHeight="1">
      <c r="A110" s="44">
        <f>A109+1</f>
        <v/>
      </c>
      <c r="B110" s="62" t="n"/>
      <c r="C110" s="58" t="inlineStr">
        <is>
          <t>01.7.15.14-0043</t>
        </is>
      </c>
      <c r="D110" s="45" t="inlineStr">
        <is>
          <t>Шурупы самонарезающий прокалывающий, для крепления металлических профилей или листовых деталей 3,5/11 мм</t>
        </is>
      </c>
      <c r="E110" s="164" t="inlineStr">
        <is>
          <t>100 шт.</t>
        </is>
      </c>
      <c r="F110" s="164" t="n">
        <v>0.2448</v>
      </c>
      <c r="G110" s="47" t="n">
        <v>2</v>
      </c>
      <c r="H110" s="47">
        <f>ROUND(F110*G110,2)</f>
        <v/>
      </c>
    </row>
    <row r="111">
      <c r="A111" s="44">
        <f>A110+1</f>
        <v/>
      </c>
      <c r="B111" s="62" t="n"/>
      <c r="C111" s="58" t="inlineStr">
        <is>
          <t>01.7.20.08-0051</t>
        </is>
      </c>
      <c r="D111" s="45" t="inlineStr">
        <is>
          <t>Ветошь</t>
        </is>
      </c>
      <c r="E111" s="164" t="inlineStr">
        <is>
          <t>кг</t>
        </is>
      </c>
      <c r="F111" s="164" t="n">
        <v>0.0151</v>
      </c>
      <c r="G111" s="47" t="n">
        <v>1.82</v>
      </c>
      <c r="H111" s="47">
        <f>ROUND(F111*G111,2)</f>
        <v/>
      </c>
    </row>
    <row r="112">
      <c r="K112" s="92" t="n"/>
    </row>
    <row r="113" ht="25.5" customHeight="1">
      <c r="B113" s="54" t="inlineStr">
        <is>
          <t xml:space="preserve">Примечание: </t>
        </is>
      </c>
      <c r="C113" s="13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7">
      <c r="B117" s="6" t="inlineStr">
        <is>
          <t>Составил ______________________        Е. М. Добровольская</t>
        </is>
      </c>
      <c r="C117" s="1" t="n"/>
    </row>
    <row r="118">
      <c r="B118" s="91" t="inlineStr">
        <is>
          <t xml:space="preserve">                         (подпись, инициалы, фамилия)</t>
        </is>
      </c>
      <c r="C118" s="1" t="n"/>
    </row>
    <row r="119">
      <c r="B119" s="6" t="n"/>
      <c r="C119" s="1" t="n"/>
    </row>
    <row r="120">
      <c r="B120" s="6" t="inlineStr">
        <is>
          <t>Проверил ______________________        А.В. Костянецкая</t>
        </is>
      </c>
      <c r="C120" s="1" t="n"/>
    </row>
    <row r="121">
      <c r="B121" s="91" t="inlineStr">
        <is>
          <t xml:space="preserve">                        (подпись, инициалы, фамилия)</t>
        </is>
      </c>
      <c r="C121" s="1" t="n"/>
    </row>
  </sheetData>
  <mergeCells count="17">
    <mergeCell ref="C9:C10"/>
    <mergeCell ref="B9:B10"/>
    <mergeCell ref="A12:E12"/>
    <mergeCell ref="A3:H3"/>
    <mergeCell ref="E9:E10"/>
    <mergeCell ref="A26:E26"/>
    <mergeCell ref="A24:E24"/>
    <mergeCell ref="A54:E54"/>
    <mergeCell ref="A7:H7"/>
    <mergeCell ref="F9:F10"/>
    <mergeCell ref="C5:H5"/>
    <mergeCell ref="A2:H2"/>
    <mergeCell ref="A9:A10"/>
    <mergeCell ref="D9:D10"/>
    <mergeCell ref="A51:E51"/>
    <mergeCell ref="C113:H113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zoomScaleNormal="100" zoomScaleSheetLayoutView="100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4" t="inlineStr">
        <is>
          <t>Наименование</t>
        </is>
      </c>
      <c r="C10" s="144" t="inlineStr">
        <is>
          <t>Сметная стоимость в ценах на 01.01.2023
 (руб.)</t>
        </is>
      </c>
      <c r="D10" s="144" t="inlineStr">
        <is>
          <t>Удельный вес, 
(в СМР)</t>
        </is>
      </c>
      <c r="E10" s="14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17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7" t="inlineStr">
        <is>
          <t>Эксплуатация машин основных</t>
        </is>
      </c>
      <c r="C12" s="117">
        <f>'Прил.5 Расчет СМР и ОБ'!J25</f>
        <v/>
      </c>
      <c r="D12" s="100">
        <f>C12/$C$24</f>
        <v/>
      </c>
      <c r="E12" s="100">
        <f>C12/$C$40</f>
        <v/>
      </c>
    </row>
    <row r="13">
      <c r="B13" s="7" t="inlineStr">
        <is>
          <t>Эксплуатация машин прочих</t>
        </is>
      </c>
      <c r="C13" s="117">
        <f>'Прил.5 Расчет СМР и ОБ'!J44</f>
        <v/>
      </c>
      <c r="D13" s="100">
        <f>C13/$C$24</f>
        <v/>
      </c>
      <c r="E13" s="100">
        <f>C13/$C$40</f>
        <v/>
      </c>
    </row>
    <row r="14">
      <c r="B14" s="7" t="inlineStr">
        <is>
          <t>ЭКСПЛУАТАЦИЯ МАШИН, ВСЕГО:</t>
        </is>
      </c>
      <c r="C14" s="117">
        <f>C13+C12</f>
        <v/>
      </c>
      <c r="D14" s="100">
        <f>C14/$C$24</f>
        <v/>
      </c>
      <c r="E14" s="100">
        <f>C14/$C$40</f>
        <v/>
      </c>
    </row>
    <row r="15">
      <c r="B15" s="7" t="inlineStr">
        <is>
          <t>в том числе зарплата машинистов</t>
        </is>
      </c>
      <c r="C15" s="117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7" t="inlineStr">
        <is>
          <t>Материалы основные</t>
        </is>
      </c>
      <c r="C16" s="117">
        <f>'Прил.5 Расчет СМР и ОБ'!J65</f>
        <v/>
      </c>
      <c r="D16" s="100">
        <f>C16/$C$24</f>
        <v/>
      </c>
      <c r="E16" s="100">
        <f>C16/$C$40</f>
        <v/>
      </c>
    </row>
    <row r="17">
      <c r="B17" s="7" t="inlineStr">
        <is>
          <t>Материалы прочие</t>
        </is>
      </c>
      <c r="C17" s="117">
        <f>'Прил.5 Расчет СМР и ОБ'!J113</f>
        <v/>
      </c>
      <c r="D17" s="100">
        <f>C17/$C$24</f>
        <v/>
      </c>
      <c r="E17" s="100">
        <f>C17/$C$40</f>
        <v/>
      </c>
      <c r="G17" s="17" t="n"/>
    </row>
    <row r="18">
      <c r="B18" s="7" t="inlineStr">
        <is>
          <t>МАТЕРИАЛЫ, ВСЕГО:</t>
        </is>
      </c>
      <c r="C18" s="117">
        <f>C17+C16</f>
        <v/>
      </c>
      <c r="D18" s="100">
        <f>C18/$C$24</f>
        <v/>
      </c>
      <c r="E18" s="100">
        <f>C18/$C$40</f>
        <v/>
      </c>
    </row>
    <row r="19">
      <c r="B19" s="7" t="inlineStr">
        <is>
          <t>ИТОГО</t>
        </is>
      </c>
      <c r="C19" s="117">
        <f>C18+C14+C11</f>
        <v/>
      </c>
      <c r="D19" s="100" t="n"/>
      <c r="E19" s="7" t="n"/>
    </row>
    <row r="20">
      <c r="B20" s="7" t="inlineStr">
        <is>
          <t>Сметная прибыль, руб.</t>
        </is>
      </c>
      <c r="C20" s="117">
        <f>ROUND(C21*(C11+C15),2)</f>
        <v/>
      </c>
      <c r="D20" s="100">
        <f>C20/$C$24</f>
        <v/>
      </c>
      <c r="E20" s="100">
        <f>C20/$C$40</f>
        <v/>
      </c>
    </row>
    <row r="21">
      <c r="B21" s="7" t="inlineStr">
        <is>
          <t>Сметная прибыль, %</t>
        </is>
      </c>
      <c r="C21" s="101">
        <f>'Прил.5 Расчет СМР и ОБ'!E117</f>
        <v/>
      </c>
      <c r="D21" s="100" t="n"/>
      <c r="E21" s="7" t="n"/>
    </row>
    <row r="22">
      <c r="B22" s="7" t="inlineStr">
        <is>
          <t>Накладные расходы, руб.</t>
        </is>
      </c>
      <c r="C22" s="117">
        <f>ROUND(C23*(C11+C15),2)</f>
        <v/>
      </c>
      <c r="D22" s="100">
        <f>C22/$C$24</f>
        <v/>
      </c>
      <c r="E22" s="100">
        <f>C22/$C$40</f>
        <v/>
      </c>
    </row>
    <row r="23">
      <c r="B23" s="7" t="inlineStr">
        <is>
          <t>Накладные расходы, %</t>
        </is>
      </c>
      <c r="C23" s="101">
        <f>'Прил.5 Расчет СМР и ОБ'!E116</f>
        <v/>
      </c>
      <c r="D23" s="100" t="n"/>
      <c r="E23" s="7" t="n"/>
    </row>
    <row r="24">
      <c r="B24" s="7" t="inlineStr">
        <is>
          <t>ВСЕГО СМР с НР и СП</t>
        </is>
      </c>
      <c r="C24" s="117">
        <f>C19+C20+C22</f>
        <v/>
      </c>
      <c r="D24" s="100">
        <f>C24/$C$24</f>
        <v/>
      </c>
      <c r="E24" s="100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17">
        <f>'Прил.5 Расчет СМР и ОБ'!J53</f>
        <v/>
      </c>
      <c r="D25" s="100" t="n"/>
      <c r="E25" s="100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17">
        <f>C25</f>
        <v/>
      </c>
      <c r="D26" s="100" t="n"/>
      <c r="E26" s="100">
        <f>C26/$C$40</f>
        <v/>
      </c>
    </row>
    <row r="27">
      <c r="B27" s="7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102">
        <f>ROUND(C24*3.9%,2)</f>
        <v/>
      </c>
      <c r="D29" s="7" t="n"/>
      <c r="E29" s="100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7" t="n"/>
      <c r="E30" s="100">
        <f>C30/$C$40</f>
        <v/>
      </c>
    </row>
    <row r="31">
      <c r="B31" s="7" t="inlineStr">
        <is>
          <t>Пусконаладочные работы</t>
        </is>
      </c>
      <c r="C31" s="102">
        <f>81007.14*3</f>
        <v/>
      </c>
      <c r="D31" s="7" t="n"/>
      <c r="E31" s="100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102">
        <f>ROUND($C$27*0%,2)</f>
        <v/>
      </c>
      <c r="D32" s="7" t="n"/>
      <c r="E32" s="100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102">
        <f>ROUND($C$27*0%,2)</f>
        <v/>
      </c>
      <c r="D33" s="7" t="n"/>
      <c r="E33" s="100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>
        <f>ROUND($C$27*0%,2)</f>
        <v/>
      </c>
      <c r="D34" s="7" t="n"/>
      <c r="E34" s="100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ROUND($C$27*0%,2)</f>
        <v/>
      </c>
      <c r="D35" s="7" t="n"/>
      <c r="E35" s="100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7" t="n"/>
      <c r="E36" s="100">
        <f>C36/$C$40</f>
        <v/>
      </c>
      <c r="G36" s="63" t="n"/>
      <c r="L36" s="18" t="n"/>
    </row>
    <row r="37">
      <c r="B37" s="7" t="inlineStr">
        <is>
          <t>Авторский надзор - 0,2%</t>
        </is>
      </c>
      <c r="C37" s="102">
        <f>ROUND((C27+C32+C33+C34+C35+C29+C31+C30)*0.2%,2)</f>
        <v/>
      </c>
      <c r="D37" s="7" t="n"/>
      <c r="E37" s="100">
        <f>C37/$C$40</f>
        <v/>
      </c>
      <c r="G37" s="63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7" t="n"/>
      <c r="E38" s="100">
        <f>C38/$C$40</f>
        <v/>
      </c>
    </row>
    <row r="39" ht="13.5" customHeight="1">
      <c r="B39" s="7" t="inlineStr">
        <is>
          <t>Непредвиденные расходы</t>
        </is>
      </c>
      <c r="C39" s="117">
        <f>ROUND(C38*3%,2)</f>
        <v/>
      </c>
      <c r="D39" s="7" t="n"/>
      <c r="E39" s="100">
        <f>C39/$C$38</f>
        <v/>
      </c>
    </row>
    <row r="40">
      <c r="B40" s="7" t="inlineStr">
        <is>
          <t>ВСЕГО:</t>
        </is>
      </c>
      <c r="C40" s="117">
        <f>C39+C38</f>
        <v/>
      </c>
      <c r="D40" s="7" t="n"/>
      <c r="E40" s="100">
        <f>C40/$C$40</f>
        <v/>
      </c>
    </row>
    <row r="41">
      <c r="B41" s="7" t="inlineStr">
        <is>
          <t>ИТОГО ПОКАЗАТЕЛЬ НА ЕД. ИЗМ.</t>
        </is>
      </c>
      <c r="C41" s="117">
        <f>C40/'Прил.5 Расчет СМР и ОБ'!E120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 М. Добровольская</t>
        </is>
      </c>
      <c r="C43" s="1" t="n"/>
      <c r="D43" s="6" t="n"/>
      <c r="E43" s="6" t="n"/>
    </row>
    <row r="44">
      <c r="B44" s="91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1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27"/>
  <sheetViews>
    <sheetView tabSelected="1" view="pageBreakPreview" topLeftCell="A19" zoomScale="70" zoomScaleNormal="100" zoomScaleSheetLayoutView="70" workbookViewId="0">
      <selection activeCell="C137" sqref="C13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25" t="n"/>
      <c r="J2" s="68" t="inlineStr">
        <is>
          <t>Приложение №5</t>
        </is>
      </c>
    </row>
    <row r="4" ht="12.75" customFormat="1" customHeight="1" s="6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6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26.25" customFormat="1" customHeight="1" s="6">
      <c r="A6" s="143" t="inlineStr">
        <is>
          <t>Наименование разрабатываемого показателя УНЦ</t>
        </is>
      </c>
      <c r="D6" s="143" t="inlineStr">
        <is>
          <t>Однополюсный разъединитель с устройством фундамента напряжение 220(150) кВ</t>
        </is>
      </c>
    </row>
    <row r="7" ht="12.75" customFormat="1" customHeight="1" s="6">
      <c r="A7" s="143">
        <f>'Прил.1 Сравнит табл'!B9</f>
        <v/>
      </c>
      <c r="I7" s="141" t="n"/>
      <c r="J7" s="141" t="n"/>
    </row>
    <row r="8" ht="12.75" customFormat="1" customHeight="1" s="6"/>
    <row r="9" ht="27" customHeight="1">
      <c r="A9" s="144" t="inlineStr">
        <is>
          <t>№ пп.</t>
        </is>
      </c>
      <c r="B9" s="144" t="inlineStr">
        <is>
          <t>Код ресурса</t>
        </is>
      </c>
      <c r="C9" s="144" t="inlineStr">
        <is>
          <t>Наименование</t>
        </is>
      </c>
      <c r="D9" s="144" t="inlineStr">
        <is>
          <t>Ед. изм.</t>
        </is>
      </c>
      <c r="E9" s="144" t="inlineStr">
        <is>
          <t>Кол-во единиц по проектным данным</t>
        </is>
      </c>
      <c r="F9" s="144" t="inlineStr">
        <is>
          <t>Сметная стоимость в ценах на 01.01.2000 (руб.)</t>
        </is>
      </c>
      <c r="G9" s="171" t="n"/>
      <c r="H9" s="144" t="inlineStr">
        <is>
          <t>Удельный вес, %</t>
        </is>
      </c>
      <c r="I9" s="144" t="inlineStr">
        <is>
          <t>Сметная стоимость в ценах на 01.01.2023 (руб.)</t>
        </is>
      </c>
      <c r="J9" s="171" t="n"/>
    </row>
    <row r="10" ht="28.5" customHeight="1">
      <c r="A10" s="173" t="n"/>
      <c r="B10" s="173" t="n"/>
      <c r="C10" s="173" t="n"/>
      <c r="D10" s="173" t="n"/>
      <c r="E10" s="173" t="n"/>
      <c r="F10" s="144" t="inlineStr">
        <is>
          <t>на ед. изм.</t>
        </is>
      </c>
      <c r="G10" s="144" t="inlineStr">
        <is>
          <t>общая</t>
        </is>
      </c>
      <c r="H10" s="173" t="n"/>
      <c r="I10" s="144" t="inlineStr">
        <is>
          <t>на ед. изм.</t>
        </is>
      </c>
      <c r="J10" s="144" t="inlineStr">
        <is>
          <t>общая</t>
        </is>
      </c>
    </row>
    <row r="11">
      <c r="A11" s="144" t="n">
        <v>1</v>
      </c>
      <c r="B11" s="144" t="n">
        <v>2</v>
      </c>
      <c r="C11" s="144" t="n">
        <v>3</v>
      </c>
      <c r="D11" s="144" t="n">
        <v>4</v>
      </c>
      <c r="E11" s="144" t="n">
        <v>5</v>
      </c>
      <c r="F11" s="144" t="n">
        <v>6</v>
      </c>
      <c r="G11" s="144" t="n">
        <v>7</v>
      </c>
      <c r="H11" s="144" t="n">
        <v>8</v>
      </c>
      <c r="I11" s="144" t="n">
        <v>9</v>
      </c>
      <c r="J11" s="144" t="n">
        <v>10</v>
      </c>
    </row>
    <row r="12">
      <c r="A12" s="144" t="n"/>
      <c r="B12" s="139" t="inlineStr">
        <is>
          <t>Затраты труда рабочих-строителей</t>
        </is>
      </c>
      <c r="C12" s="170" t="n"/>
      <c r="D12" s="170" t="n"/>
      <c r="E12" s="170" t="n"/>
      <c r="F12" s="170" t="n"/>
      <c r="G12" s="170" t="n"/>
      <c r="H12" s="171" t="n"/>
      <c r="I12" s="106" t="n"/>
      <c r="J12" s="106" t="n"/>
    </row>
    <row r="13" ht="25.5" customHeight="1">
      <c r="A13" s="144" t="n">
        <v>1</v>
      </c>
      <c r="B13" s="58" t="inlineStr">
        <is>
          <t>1-3-9</t>
        </is>
      </c>
      <c r="C13" s="149" t="inlineStr">
        <is>
          <t>Затраты труда рабочих-строителей среднего разряда (3,9)</t>
        </is>
      </c>
      <c r="D13" s="144" t="inlineStr">
        <is>
          <t>чел.-ч.</t>
        </is>
      </c>
      <c r="E13" s="107" t="n">
        <v>305.5730809674</v>
      </c>
      <c r="F13" s="14" t="n">
        <v>9.51</v>
      </c>
      <c r="G13" s="14" t="n">
        <v>2906</v>
      </c>
      <c r="H13" s="156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4" t="n"/>
      <c r="B14" s="144" t="n"/>
      <c r="C14" s="139" t="inlineStr">
        <is>
          <t>Итого по разделу "Затраты труда рабочих-строителей"</t>
        </is>
      </c>
      <c r="D14" s="144" t="inlineStr">
        <is>
          <t>чел.-ч.</t>
        </is>
      </c>
      <c r="E14" s="107">
        <f>SUM(E13:E13)</f>
        <v/>
      </c>
      <c r="F14" s="14" t="n"/>
      <c r="G14" s="14">
        <f>SUM(G13:G13)</f>
        <v/>
      </c>
      <c r="H14" s="156" t="n">
        <v>1</v>
      </c>
      <c r="I14" s="14" t="n"/>
      <c r="J14" s="14">
        <f>SUM(J13:J13)</f>
        <v/>
      </c>
      <c r="K14" s="57" t="n"/>
      <c r="L14" s="96" t="n"/>
    </row>
    <row r="15" ht="14.25" customFormat="1" customHeight="1" s="1">
      <c r="A15" s="144" t="n"/>
      <c r="B15" s="149" t="inlineStr">
        <is>
          <t>Затраты труда машинистов</t>
        </is>
      </c>
      <c r="C15" s="170" t="n"/>
      <c r="D15" s="170" t="n"/>
      <c r="E15" s="170" t="n"/>
      <c r="F15" s="170" t="n"/>
      <c r="G15" s="170" t="n"/>
      <c r="H15" s="171" t="n"/>
      <c r="I15" s="106" t="n"/>
      <c r="J15" s="106" t="n"/>
    </row>
    <row r="16" ht="14.25" customFormat="1" customHeight="1" s="1">
      <c r="A16" s="144" t="n">
        <v>2</v>
      </c>
      <c r="B16" s="144" t="n">
        <v>2</v>
      </c>
      <c r="C16" s="149" t="inlineStr">
        <is>
          <t>Затраты труда машинистов</t>
        </is>
      </c>
      <c r="D16" s="144" t="inlineStr">
        <is>
          <t>чел.-ч.</t>
        </is>
      </c>
      <c r="E16" s="107" t="n">
        <v>101.2554</v>
      </c>
      <c r="F16" s="14">
        <f>G16/E16</f>
        <v/>
      </c>
      <c r="G16" s="14" t="n">
        <v>755.5956</v>
      </c>
      <c r="H16" s="156" t="n">
        <v>1</v>
      </c>
      <c r="I16" s="14">
        <f>ROUND(F16*Прил.10!D10,2)</f>
        <v/>
      </c>
      <c r="J16" s="14">
        <f>ROUND(I16*E16,2)</f>
        <v/>
      </c>
      <c r="L16" s="60" t="n"/>
    </row>
    <row r="17" ht="14.25" customFormat="1" customHeight="1" s="1">
      <c r="A17" s="144" t="n"/>
      <c r="B17" s="139" t="inlineStr">
        <is>
          <t>Машины и механизмы</t>
        </is>
      </c>
      <c r="C17" s="170" t="n"/>
      <c r="D17" s="170" t="n"/>
      <c r="E17" s="170" t="n"/>
      <c r="F17" s="170" t="n"/>
      <c r="G17" s="170" t="n"/>
      <c r="H17" s="171" t="n"/>
      <c r="I17" s="156" t="n"/>
      <c r="J17" s="156" t="n"/>
    </row>
    <row r="18" ht="14.25" customFormat="1" customHeight="1" s="1">
      <c r="A18" s="144" t="n"/>
      <c r="B18" s="149" t="inlineStr">
        <is>
          <t>Основные машины и механизмы</t>
        </is>
      </c>
      <c r="C18" s="170" t="n"/>
      <c r="D18" s="170" t="n"/>
      <c r="E18" s="170" t="n"/>
      <c r="F18" s="170" t="n"/>
      <c r="G18" s="170" t="n"/>
      <c r="H18" s="171" t="n"/>
      <c r="I18" s="106" t="n"/>
      <c r="J18" s="106" t="n"/>
    </row>
    <row r="19" ht="25.5" customFormat="1" customHeight="1" s="1">
      <c r="A19" s="144" t="n">
        <v>3</v>
      </c>
      <c r="B19" s="58" t="inlineStr">
        <is>
          <t>91.05.05-014</t>
        </is>
      </c>
      <c r="C19" s="149" t="inlineStr">
        <is>
          <t>Краны на автомобильном ходу, грузоподъемность 10 т</t>
        </is>
      </c>
      <c r="D19" s="144" t="inlineStr">
        <is>
          <t>маш.-ч</t>
        </is>
      </c>
      <c r="E19" s="107" t="n">
        <v>17.026688</v>
      </c>
      <c r="F19" s="161" t="n">
        <v>111.99</v>
      </c>
      <c r="G19" s="14">
        <f>ROUND(E19*F19,2)</f>
        <v/>
      </c>
      <c r="H19" s="156">
        <f>G19/$G$45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4" t="n">
        <v>4</v>
      </c>
      <c r="B20" s="58" t="inlineStr">
        <is>
          <t>91.10.01-002</t>
        </is>
      </c>
      <c r="C20" s="149" t="inlineStr">
        <is>
          <t>Агрегаты наполнительно-опрессовочные до 300 м3/ч</t>
        </is>
      </c>
      <c r="D20" s="144" t="inlineStr">
        <is>
          <t>маш.-ч</t>
        </is>
      </c>
      <c r="E20" s="107" t="n">
        <v>5.1336</v>
      </c>
      <c r="F20" s="161" t="n">
        <v>287.99</v>
      </c>
      <c r="G20" s="14">
        <f>ROUND(E20*F20,2)</f>
        <v/>
      </c>
      <c r="H20" s="156">
        <f>G20/$G$45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4" t="n">
        <v>5</v>
      </c>
      <c r="B21" s="58" t="inlineStr">
        <is>
          <t>91.06.06-042</t>
        </is>
      </c>
      <c r="C21" s="149" t="inlineStr">
        <is>
          <t>Подъемники гидравлические высотой подъема: 10 м</t>
        </is>
      </c>
      <c r="D21" s="144" t="inlineStr">
        <is>
          <t>маш.-ч</t>
        </is>
      </c>
      <c r="E21" s="107" t="n">
        <v>20.3688</v>
      </c>
      <c r="F21" s="161" t="n">
        <v>29.6</v>
      </c>
      <c r="G21" s="14">
        <f>ROUND(E21*F21,2)</f>
        <v/>
      </c>
      <c r="H21" s="156">
        <f>G21/$G$45</f>
        <v/>
      </c>
      <c r="I21" s="14">
        <f>ROUND(F21*Прил.10!$D$11,2)</f>
        <v/>
      </c>
      <c r="J21" s="14">
        <f>ROUND(I21*E21,2)</f>
        <v/>
      </c>
    </row>
    <row r="22" ht="38.25" customFormat="1" customHeight="1" s="1">
      <c r="A22" s="144" t="n">
        <v>6</v>
      </c>
      <c r="B22" s="58" t="inlineStr">
        <is>
          <t>91.02.04-032</t>
        </is>
      </c>
      <c r="C22" s="149" t="inlineStr">
        <is>
          <t>Установки буровые для бурения скважин под сваи ковшового бурения, глубиной до 24 м, диаметром до 1200 мм</t>
        </is>
      </c>
      <c r="D22" s="144" t="inlineStr">
        <is>
          <t>маш.-ч</t>
        </is>
      </c>
      <c r="E22" s="107" t="n">
        <v>3.48</v>
      </c>
      <c r="F22" s="161" t="n">
        <v>166.23</v>
      </c>
      <c r="G22" s="14">
        <f>ROUND(E22*F22,2)</f>
        <v/>
      </c>
      <c r="H22" s="156">
        <f>G22/$G$45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44" t="n">
        <v>7</v>
      </c>
      <c r="B23" s="58" t="inlineStr">
        <is>
          <t>91.14.02-001</t>
        </is>
      </c>
      <c r="C23" s="149" t="inlineStr">
        <is>
          <t>Автомобили бортовые, грузоподъемность до 5 т</t>
        </is>
      </c>
      <c r="D23" s="144" t="inlineStr">
        <is>
          <t>маш.-ч</t>
        </is>
      </c>
      <c r="E23" s="107" t="n">
        <v>7.814978</v>
      </c>
      <c r="F23" s="161" t="n">
        <v>65.70999999999999</v>
      </c>
      <c r="G23" s="14">
        <f>ROUND(E23*F23,2)</f>
        <v/>
      </c>
      <c r="H23" s="156">
        <f>G23/$G$45</f>
        <v/>
      </c>
      <c r="I23" s="14">
        <f>ROUND(F23*Прил.10!$D$11,2)</f>
        <v/>
      </c>
      <c r="J23" s="14">
        <f>ROUND(I23*E23,2)</f>
        <v/>
      </c>
    </row>
    <row r="24" ht="25.5" customFormat="1" customHeight="1" s="1">
      <c r="A24" s="144" t="n">
        <v>8</v>
      </c>
      <c r="B24" s="58" t="inlineStr">
        <is>
          <t>91.05.06-012</t>
        </is>
      </c>
      <c r="C24" s="149" t="inlineStr">
        <is>
          <t>Краны на гусеничном ходу, грузоподъемность до 16 т</t>
        </is>
      </c>
      <c r="D24" s="144" t="inlineStr">
        <is>
          <t>маш.-ч</t>
        </is>
      </c>
      <c r="E24" s="107" t="n">
        <v>5.10064</v>
      </c>
      <c r="F24" s="161" t="n">
        <v>96.89</v>
      </c>
      <c r="G24" s="14">
        <f>ROUND(E24*F24,2)</f>
        <v/>
      </c>
      <c r="H24" s="156">
        <f>G24/$G$45</f>
        <v/>
      </c>
      <c r="I24" s="14">
        <f>ROUND(F24*Прил.10!$D$11,2)</f>
        <v/>
      </c>
      <c r="J24" s="14">
        <f>ROUND(I24*E24,2)</f>
        <v/>
      </c>
    </row>
    <row r="25" ht="14.25" customFormat="1" customHeight="1" s="1">
      <c r="A25" s="144" t="n"/>
      <c r="B25" s="144" t="n"/>
      <c r="C25" s="149" t="inlineStr">
        <is>
          <t>Итого основные машины и механизмы</t>
        </is>
      </c>
      <c r="D25" s="144" t="n"/>
      <c r="E25" s="108" t="n"/>
      <c r="F25" s="14" t="n"/>
      <c r="G25" s="14">
        <f>SUM(G19:G24)</f>
        <v/>
      </c>
      <c r="H25" s="156">
        <f>G25/G45</f>
        <v/>
      </c>
      <c r="I25" s="14" t="n"/>
      <c r="J25" s="14">
        <f>SUM(J19:J24)</f>
        <v/>
      </c>
      <c r="L25" s="57" t="n"/>
    </row>
    <row r="26" outlineLevel="1" ht="38.25" customFormat="1" customHeight="1" s="1">
      <c r="A26" s="144" t="n">
        <v>9</v>
      </c>
      <c r="B26" s="58" t="inlineStr">
        <is>
          <t>91.01.05-104</t>
        </is>
      </c>
      <c r="C26" s="149" t="inlineStr">
        <is>
          <t>Экскаваторы одноковшовые дизельные на пневмоколесном ходу, емкость ковша 0,4 м3</t>
        </is>
      </c>
      <c r="D26" s="144" t="inlineStr">
        <is>
          <t>маш.-ч</t>
        </is>
      </c>
      <c r="E26" s="107" t="n">
        <v>1.56</v>
      </c>
      <c r="F26" s="161" t="n">
        <v>98.90000000000001</v>
      </c>
      <c r="G26" s="14">
        <f>ROUND(E26*F26,2)</f>
        <v/>
      </c>
      <c r="H26" s="156">
        <f>G26/$G$45</f>
        <v/>
      </c>
      <c r="I26" s="14">
        <f>ROUND(F26*Прил.10!$D$11,2)</f>
        <v/>
      </c>
      <c r="J26" s="14">
        <f>ROUND(I26*E26,2)</f>
        <v/>
      </c>
      <c r="L26" s="57" t="n"/>
    </row>
    <row r="27" outlineLevel="1" ht="25.5" customFormat="1" customHeight="1" s="1">
      <c r="A27" s="144" t="n">
        <v>10</v>
      </c>
      <c r="B27" s="58" t="inlineStr">
        <is>
          <t>91.17.04-233</t>
        </is>
      </c>
      <c r="C27" s="149" t="inlineStr">
        <is>
          <t>Установки для сварки ручной дуговой (постоянного тока)</t>
        </is>
      </c>
      <c r="D27" s="144" t="inlineStr">
        <is>
          <t>маш.-ч</t>
        </is>
      </c>
      <c r="E27" s="107" t="n">
        <v>10.82518</v>
      </c>
      <c r="F27" s="161" t="n">
        <v>8.1</v>
      </c>
      <c r="G27" s="14">
        <f>ROUND(E27*F27,2)</f>
        <v/>
      </c>
      <c r="H27" s="156">
        <f>G27/$G$45</f>
        <v/>
      </c>
      <c r="I27" s="14">
        <f>ROUND(F27*Прил.10!$D$11,2)</f>
        <v/>
      </c>
      <c r="J27" s="14">
        <f>ROUND(I27*E27,2)</f>
        <v/>
      </c>
      <c r="L27" s="57" t="n"/>
    </row>
    <row r="28" outlineLevel="1" ht="25.5" customFormat="1" customHeight="1" s="1">
      <c r="A28" s="144" t="n">
        <v>11</v>
      </c>
      <c r="B28" s="58" t="inlineStr">
        <is>
          <t>91.06.03-058</t>
        </is>
      </c>
      <c r="C28" s="149" t="inlineStr">
        <is>
          <t>Лебедки электрические тяговым усилием 156,96 кН (16 т)</t>
        </is>
      </c>
      <c r="D28" s="144" t="inlineStr">
        <is>
          <t>маш.-ч</t>
        </is>
      </c>
      <c r="E28" s="107" t="n">
        <v>0.4968</v>
      </c>
      <c r="F28" s="161" t="n">
        <v>131.44</v>
      </c>
      <c r="G28" s="14">
        <f>ROUND(E28*F28,2)</f>
        <v/>
      </c>
      <c r="H28" s="156">
        <f>G28/$G$45</f>
        <v/>
      </c>
      <c r="I28" s="14">
        <f>ROUND(F28*Прил.10!$D$11,2)</f>
        <v/>
      </c>
      <c r="J28" s="14">
        <f>ROUND(I28*E28,2)</f>
        <v/>
      </c>
      <c r="L28" s="57" t="n"/>
    </row>
    <row r="29" outlineLevel="1" ht="51" customFormat="1" customHeight="1" s="1">
      <c r="A29" s="144" t="n">
        <v>12</v>
      </c>
      <c r="B29" s="58" t="inlineStr">
        <is>
          <t>91.18.01-007</t>
        </is>
      </c>
      <c r="C29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144" t="inlineStr">
        <is>
          <t>маш.-ч</t>
        </is>
      </c>
      <c r="E29" s="107" t="n">
        <v>0.34308</v>
      </c>
      <c r="F29" s="161" t="n">
        <v>90</v>
      </c>
      <c r="G29" s="14">
        <f>ROUND(E29*F29,2)</f>
        <v/>
      </c>
      <c r="H29" s="156">
        <f>G29/$G$45</f>
        <v/>
      </c>
      <c r="I29" s="14">
        <f>ROUND(F29*Прил.10!$D$11,2)</f>
        <v/>
      </c>
      <c r="J29" s="14">
        <f>ROUND(I29*E29,2)</f>
        <v/>
      </c>
      <c r="L29" s="57" t="n"/>
    </row>
    <row r="30" outlineLevel="1" ht="38.25" customFormat="1" customHeight="1" s="1">
      <c r="A30" s="144" t="n">
        <v>13</v>
      </c>
      <c r="B30" s="58" t="inlineStr">
        <is>
          <t>91.01.05-106</t>
        </is>
      </c>
      <c r="C30" s="149" t="inlineStr">
        <is>
          <t>Экскаваторы одноковшовые дизельные на пневмоколесном ходу, емкость ковша 0,25 м3</t>
        </is>
      </c>
      <c r="D30" s="144" t="inlineStr">
        <is>
          <t>маш.-ч</t>
        </is>
      </c>
      <c r="E30" s="107" t="n">
        <v>0.35116</v>
      </c>
      <c r="F30" s="161" t="n">
        <v>70.01000000000001</v>
      </c>
      <c r="G30" s="14">
        <f>ROUND(E30*F30,2)</f>
        <v/>
      </c>
      <c r="H30" s="156">
        <f>G30/$G$45</f>
        <v/>
      </c>
      <c r="I30" s="14">
        <f>ROUND(F30*Прил.10!$D$11,2)</f>
        <v/>
      </c>
      <c r="J30" s="14">
        <f>ROUND(I30*E30,2)</f>
        <v/>
      </c>
      <c r="L30" s="57" t="n"/>
    </row>
    <row r="31" outlineLevel="1" ht="14.25" customFormat="1" customHeight="1" s="1">
      <c r="A31" s="144" t="n">
        <v>14</v>
      </c>
      <c r="B31" s="58" t="inlineStr">
        <is>
          <t>91.07.04-001</t>
        </is>
      </c>
      <c r="C31" s="149" t="inlineStr">
        <is>
          <t>Вибратор глубинный</t>
        </is>
      </c>
      <c r="D31" s="144" t="inlineStr">
        <is>
          <t>маш.-ч</t>
        </is>
      </c>
      <c r="E31" s="107" t="n">
        <v>8.68736</v>
      </c>
      <c r="F31" s="161" t="n">
        <v>1.9</v>
      </c>
      <c r="G31" s="14">
        <f>ROUND(E31*F31,2)</f>
        <v/>
      </c>
      <c r="H31" s="156">
        <f>G31/$G$45</f>
        <v/>
      </c>
      <c r="I31" s="14">
        <f>ROUND(F31*Прил.10!$D$11,2)</f>
        <v/>
      </c>
      <c r="J31" s="14">
        <f>ROUND(I31*E31,2)</f>
        <v/>
      </c>
      <c r="L31" s="57" t="n"/>
    </row>
    <row r="32" outlineLevel="1" ht="25.5" customFormat="1" customHeight="1" s="1">
      <c r="A32" s="144" t="n">
        <v>15</v>
      </c>
      <c r="B32" s="58" t="inlineStr">
        <is>
          <t>91.14.03-002</t>
        </is>
      </c>
      <c r="C32" s="149" t="inlineStr">
        <is>
          <t>Автомобиль-самосвал, грузоподъемность до 10 т</t>
        </is>
      </c>
      <c r="D32" s="144" t="inlineStr">
        <is>
          <t>маш.-ч</t>
        </is>
      </c>
      <c r="E32" s="107" t="n">
        <v>0.18793</v>
      </c>
      <c r="F32" s="161" t="n">
        <v>87.48999999999999</v>
      </c>
      <c r="G32" s="14">
        <f>ROUND(E32*F32,2)</f>
        <v/>
      </c>
      <c r="H32" s="156">
        <f>G32/$G$45</f>
        <v/>
      </c>
      <c r="I32" s="14">
        <f>ROUND(F32*Прил.10!$D$11,2)</f>
        <v/>
      </c>
      <c r="J32" s="14">
        <f>ROUND(I32*E32,2)</f>
        <v/>
      </c>
      <c r="L32" s="57" t="n"/>
    </row>
    <row r="33" outlineLevel="1" ht="25.5" customFormat="1" customHeight="1" s="1">
      <c r="A33" s="144" t="n">
        <v>16</v>
      </c>
      <c r="B33" s="58" t="inlineStr">
        <is>
          <t>91.06.01-003</t>
        </is>
      </c>
      <c r="C33" s="149" t="inlineStr">
        <is>
          <t>Домкраты гидравлические, грузоподъемность 63-100 т</t>
        </is>
      </c>
      <c r="D33" s="144" t="inlineStr">
        <is>
          <t>маш.-ч</t>
        </is>
      </c>
      <c r="E33" s="107" t="n">
        <v>12.5028</v>
      </c>
      <c r="F33" s="161" t="n">
        <v>0.9</v>
      </c>
      <c r="G33" s="14">
        <f>ROUND(E33*F33,2)</f>
        <v/>
      </c>
      <c r="H33" s="156">
        <f>G33/$G$45</f>
        <v/>
      </c>
      <c r="I33" s="14">
        <f>ROUND(F33*Прил.10!$D$11,2)</f>
        <v/>
      </c>
      <c r="J33" s="14">
        <f>ROUND(I33*E33,2)</f>
        <v/>
      </c>
      <c r="L33" s="57" t="n"/>
    </row>
    <row r="34" outlineLevel="1" ht="14.25" customFormat="1" customHeight="1" s="1">
      <c r="A34" s="144" t="n">
        <v>17</v>
      </c>
      <c r="B34" s="58" t="inlineStr">
        <is>
          <t>91.08.04-021</t>
        </is>
      </c>
      <c r="C34" s="149" t="inlineStr">
        <is>
          <t>Котлы битумные передвижные 400 л</t>
        </is>
      </c>
      <c r="D34" s="144" t="inlineStr">
        <is>
          <t>маш.-ч</t>
        </is>
      </c>
      <c r="E34" s="107" t="n">
        <v>0.29445</v>
      </c>
      <c r="F34" s="161" t="n">
        <v>30</v>
      </c>
      <c r="G34" s="14">
        <f>ROUND(E34*F34,2)</f>
        <v/>
      </c>
      <c r="H34" s="156">
        <f>G34/$G$45</f>
        <v/>
      </c>
      <c r="I34" s="14">
        <f>ROUND(F34*Прил.10!$D$11,2)</f>
        <v/>
      </c>
      <c r="J34" s="14">
        <f>ROUND(I34*E34,2)</f>
        <v/>
      </c>
      <c r="L34" s="57" t="n"/>
    </row>
    <row r="35" outlineLevel="1" ht="38.25" customFormat="1" customHeight="1" s="1">
      <c r="A35" s="144" t="n">
        <v>18</v>
      </c>
      <c r="B35" s="58" t="inlineStr">
        <is>
          <t>91.06.05-057</t>
        </is>
      </c>
      <c r="C35" s="149" t="inlineStr">
        <is>
          <t>Погрузчики одноковшовые универсальные фронтальные пневмоколесные, грузоподъемность 3 т</t>
        </is>
      </c>
      <c r="D35" s="144" t="inlineStr">
        <is>
          <t>маш.-ч</t>
        </is>
      </c>
      <c r="E35" s="107" t="n">
        <v>0.05808</v>
      </c>
      <c r="F35" s="161" t="n">
        <v>90.40000000000001</v>
      </c>
      <c r="G35" s="14">
        <f>ROUND(E35*F35,2)</f>
        <v/>
      </c>
      <c r="H35" s="156">
        <f>G35/$G$45</f>
        <v/>
      </c>
      <c r="I35" s="14">
        <f>ROUND(F35*Прил.10!$D$11,2)</f>
        <v/>
      </c>
      <c r="J35" s="14">
        <f>ROUND(I35*E35,2)</f>
        <v/>
      </c>
      <c r="L35" s="57" t="n"/>
    </row>
    <row r="36" outlineLevel="1" ht="14.25" customFormat="1" customHeight="1" s="1">
      <c r="A36" s="144" t="n">
        <v>19</v>
      </c>
      <c r="B36" s="58" t="inlineStr">
        <is>
          <t>91.01.01-034</t>
        </is>
      </c>
      <c r="C36" s="149" t="inlineStr">
        <is>
          <t>Бульдозеры, мощность 59 кВт (80 л.с.)</t>
        </is>
      </c>
      <c r="D36" s="144" t="inlineStr">
        <is>
          <t>маш.-ч</t>
        </is>
      </c>
      <c r="E36" s="107" t="n">
        <v>0.0682</v>
      </c>
      <c r="F36" s="161" t="n">
        <v>59.47</v>
      </c>
      <c r="G36" s="14">
        <f>ROUND(E36*F36,2)</f>
        <v/>
      </c>
      <c r="H36" s="156">
        <f>G36/$G$45</f>
        <v/>
      </c>
      <c r="I36" s="14">
        <f>ROUND(F36*Прил.10!$D$11,2)</f>
        <v/>
      </c>
      <c r="J36" s="14">
        <f>ROUND(I36*E36,2)</f>
        <v/>
      </c>
      <c r="L36" s="57" t="n"/>
    </row>
    <row r="37" outlineLevel="1" ht="38.25" customFormat="1" customHeight="1" s="1">
      <c r="A37" s="144" t="n">
        <v>20</v>
      </c>
      <c r="B37" s="58" t="inlineStr">
        <is>
          <t>91.06.06-048</t>
        </is>
      </c>
      <c r="C37" s="149" t="inlineStr">
        <is>
          <t>Подъемники одномачтовые, грузоподъемность до 500 кг, высота подъема 45 м</t>
        </is>
      </c>
      <c r="D37" s="144" t="inlineStr">
        <is>
          <t>маш.-ч</t>
        </is>
      </c>
      <c r="E37" s="107" t="n">
        <v>0.10804</v>
      </c>
      <c r="F37" s="161" t="n">
        <v>31.26</v>
      </c>
      <c r="G37" s="14">
        <f>ROUND(E37*F37,2)</f>
        <v/>
      </c>
      <c r="H37" s="156">
        <f>G37/$G$45</f>
        <v/>
      </c>
      <c r="I37" s="14">
        <f>ROUND(F37*Прил.10!$D$11,2)</f>
        <v/>
      </c>
      <c r="J37" s="14">
        <f>ROUND(I37*E37,2)</f>
        <v/>
      </c>
      <c r="L37" s="57" t="n"/>
    </row>
    <row r="38" outlineLevel="1" ht="14.25" customFormat="1" customHeight="1" s="1">
      <c r="A38" s="144" t="n">
        <v>21</v>
      </c>
      <c r="B38" s="58" t="inlineStr">
        <is>
          <t>91.01.01-035</t>
        </is>
      </c>
      <c r="C38" s="149" t="inlineStr">
        <is>
          <t>Бульдозеры, мощность 79 кВт (108 л.с.)</t>
        </is>
      </c>
      <c r="D38" s="144" t="inlineStr">
        <is>
          <t>маш.-ч</t>
        </is>
      </c>
      <c r="E38" s="107" t="n">
        <v>0.01304</v>
      </c>
      <c r="F38" s="161" t="n">
        <v>79.06999999999999</v>
      </c>
      <c r="G38" s="14">
        <f>ROUND(E38*F38,2)</f>
        <v/>
      </c>
      <c r="H38" s="156">
        <f>G38/$G$45</f>
        <v/>
      </c>
      <c r="I38" s="14">
        <f>ROUND(F38*Прил.10!$D$11,2)</f>
        <v/>
      </c>
      <c r="J38" s="14">
        <f>ROUND(I38*E38,2)</f>
        <v/>
      </c>
      <c r="L38" s="57" t="n"/>
    </row>
    <row r="39" outlineLevel="1" ht="14.25" customFormat="1" customHeight="1" s="1">
      <c r="A39" s="144" t="n">
        <v>22</v>
      </c>
      <c r="B39" s="58" t="inlineStr">
        <is>
          <t>91.06.05-011</t>
        </is>
      </c>
      <c r="C39" s="149" t="inlineStr">
        <is>
          <t>Погрузчик, грузоподъемность 5 т</t>
        </is>
      </c>
      <c r="D39" s="144" t="inlineStr">
        <is>
          <t>маш.-ч</t>
        </is>
      </c>
      <c r="E39" s="107" t="n">
        <v>0.0101</v>
      </c>
      <c r="F39" s="161" t="n">
        <v>89.98999999999999</v>
      </c>
      <c r="G39" s="14">
        <f>ROUND(E39*F39,2)</f>
        <v/>
      </c>
      <c r="H39" s="156">
        <f>G39/$G$45</f>
        <v/>
      </c>
      <c r="I39" s="14">
        <f>ROUND(F39*Прил.10!$D$11,2)</f>
        <v/>
      </c>
      <c r="J39" s="14">
        <f>ROUND(I39*E39,2)</f>
        <v/>
      </c>
      <c r="L39" s="57" t="n"/>
    </row>
    <row r="40" outlineLevel="1" ht="14.25" customFormat="1" customHeight="1" s="1">
      <c r="A40" s="144" t="n">
        <v>23</v>
      </c>
      <c r="B40" s="58" t="inlineStr">
        <is>
          <t>91.07.04-002</t>
        </is>
      </c>
      <c r="C40" s="149" t="inlineStr">
        <is>
          <t>Вибратор поверхностный</t>
        </is>
      </c>
      <c r="D40" s="144" t="inlineStr">
        <is>
          <t>маш.-ч</t>
        </is>
      </c>
      <c r="E40" s="107" t="n">
        <v>0.83147</v>
      </c>
      <c r="F40" s="161" t="n">
        <v>0.5</v>
      </c>
      <c r="G40" s="14">
        <f>ROUND(E40*F40,2)</f>
        <v/>
      </c>
      <c r="H40" s="156">
        <f>G40/$G$45</f>
        <v/>
      </c>
      <c r="I40" s="14">
        <f>ROUND(F40*Прил.10!$D$11,2)</f>
        <v/>
      </c>
      <c r="J40" s="14">
        <f>ROUND(I40*E40,2)</f>
        <v/>
      </c>
      <c r="L40" s="57" t="n"/>
    </row>
    <row r="41" outlineLevel="1" ht="38.25" customFormat="1" customHeight="1" s="1">
      <c r="A41" s="144" t="n">
        <v>24</v>
      </c>
      <c r="B41" s="58" t="inlineStr">
        <is>
          <t>91.21.01-012</t>
        </is>
      </c>
      <c r="C41" s="149" t="inlineStr">
        <is>
          <t>Агрегаты окрасочные высокого давления для окраски поверхностей конструкций, мощность 1 кВт</t>
        </is>
      </c>
      <c r="D41" s="144" t="inlineStr">
        <is>
          <t>маш.-ч</t>
        </is>
      </c>
      <c r="E41" s="107" t="n">
        <v>0.0598</v>
      </c>
      <c r="F41" s="161" t="n">
        <v>6.82</v>
      </c>
      <c r="G41" s="14">
        <f>ROUND(E41*F41,2)</f>
        <v/>
      </c>
      <c r="H41" s="156">
        <f>G41/$G$45</f>
        <v/>
      </c>
      <c r="I41" s="14">
        <f>ROUND(F41*Прил.10!$D$11,2)</f>
        <v/>
      </c>
      <c r="J41" s="14">
        <f>ROUND(I41*E41,2)</f>
        <v/>
      </c>
      <c r="L41" s="57" t="n"/>
    </row>
    <row r="42" outlineLevel="1" ht="25.5" customFormat="1" customHeight="1" s="1">
      <c r="A42" s="144" t="n">
        <v>25</v>
      </c>
      <c r="B42" s="58" t="inlineStr">
        <is>
          <t>91.08.09-023</t>
        </is>
      </c>
      <c r="C42" s="149" t="inlineStr">
        <is>
          <t>Трамбовки пневматические при работе от передвижных компрессорных станций</t>
        </is>
      </c>
      <c r="D42" s="144" t="inlineStr">
        <is>
          <t>маш.-ч</t>
        </is>
      </c>
      <c r="E42" s="107" t="n">
        <v>0.70446</v>
      </c>
      <c r="F42" s="161" t="n">
        <v>0.55</v>
      </c>
      <c r="G42" s="14">
        <f>ROUND(E42*F42,2)</f>
        <v/>
      </c>
      <c r="H42" s="156">
        <f>G42/$G$45</f>
        <v/>
      </c>
      <c r="I42" s="14">
        <f>ROUND(F42*Прил.10!$D$11,2)</f>
        <v/>
      </c>
      <c r="J42" s="14">
        <f>ROUND(I42*E42,2)</f>
        <v/>
      </c>
      <c r="L42" s="57" t="n"/>
    </row>
    <row r="43" outlineLevel="1" ht="25.5" customFormat="1" customHeight="1" s="1">
      <c r="A43" s="144" t="n">
        <v>26</v>
      </c>
      <c r="B43" s="58" t="inlineStr">
        <is>
          <t>91.14.03-001</t>
        </is>
      </c>
      <c r="C43" s="149" t="inlineStr">
        <is>
          <t>Автомобиль-самосвал, грузоподъемность до 7 т</t>
        </is>
      </c>
      <c r="D43" s="144" t="inlineStr">
        <is>
          <t>маш.-ч</t>
        </is>
      </c>
      <c r="E43" s="107" t="n">
        <v>0.00028</v>
      </c>
      <c r="F43" s="161" t="n">
        <v>89.54000000000001</v>
      </c>
      <c r="G43" s="14">
        <f>ROUND(E43*F43,2)</f>
        <v/>
      </c>
      <c r="H43" s="156">
        <f>G43/$G$45</f>
        <v/>
      </c>
      <c r="I43" s="14">
        <f>ROUND(F43*Прил.10!$D$11,2)</f>
        <v/>
      </c>
      <c r="J43" s="14">
        <f>ROUND(I43*E43,2)</f>
        <v/>
      </c>
      <c r="L43" s="57" t="n"/>
    </row>
    <row r="44" ht="14.25" customFormat="1" customHeight="1" s="1">
      <c r="A44" s="144" t="n"/>
      <c r="B44" s="144" t="n"/>
      <c r="C44" s="149" t="inlineStr">
        <is>
          <t>Итого прочие машины и механизмы</t>
        </is>
      </c>
      <c r="D44" s="144" t="n"/>
      <c r="E44" s="150" t="n"/>
      <c r="F44" s="14" t="n"/>
      <c r="G44" s="14">
        <f>SUM(G26:G43)</f>
        <v/>
      </c>
      <c r="H44" s="156">
        <f>G44/G45</f>
        <v/>
      </c>
      <c r="I44" s="14" t="n"/>
      <c r="J44" s="14">
        <f>SUM(J26:J43)</f>
        <v/>
      </c>
      <c r="K44" s="57" t="n"/>
      <c r="L44" s="57" t="n"/>
    </row>
    <row r="45" ht="25.5" customFormat="1" customHeight="1" s="1">
      <c r="A45" s="144" t="n"/>
      <c r="B45" s="145" t="n"/>
      <c r="C45" s="109" t="inlineStr">
        <is>
          <t>Итого по разделу «Машины и механизмы»</t>
        </is>
      </c>
      <c r="D45" s="145" t="n"/>
      <c r="E45" s="110" t="n"/>
      <c r="F45" s="111" t="n"/>
      <c r="G45" s="111">
        <f>G25+G44</f>
        <v/>
      </c>
      <c r="H45" s="112" t="n">
        <v>1</v>
      </c>
      <c r="I45" s="111" t="n"/>
      <c r="J45" s="111">
        <f>J25+J44</f>
        <v/>
      </c>
    </row>
    <row r="46">
      <c r="A46" s="147" t="n"/>
      <c r="B46" s="139" t="inlineStr">
        <is>
          <t xml:space="preserve">Оборудование </t>
        </is>
      </c>
      <c r="C46" s="170" t="n"/>
      <c r="D46" s="170" t="n"/>
      <c r="E46" s="170" t="n"/>
      <c r="F46" s="170" t="n"/>
      <c r="G46" s="170" t="n"/>
      <c r="H46" s="170" t="n"/>
      <c r="I46" s="170" t="n"/>
      <c r="J46" s="171" t="n"/>
    </row>
    <row r="47" ht="15" customHeight="1">
      <c r="A47" s="144" t="n"/>
      <c r="B47" s="157" t="inlineStr">
        <is>
          <t>Основное оборудование</t>
        </is>
      </c>
    </row>
    <row r="48" ht="38.25" customHeight="1">
      <c r="A48" s="144" t="n">
        <v>27</v>
      </c>
      <c r="B48" s="58" t="inlineStr">
        <is>
          <t>БЦ.64.1124</t>
        </is>
      </c>
      <c r="C48" s="149" t="inlineStr">
        <is>
          <t xml:space="preserve">Разъединители трёхполюсные с одним заземляющим ножом напряжением 220 кВ, 2500 А, 50 кА </t>
        </is>
      </c>
      <c r="D48" s="144" t="inlineStr">
        <is>
          <t>компл</t>
        </is>
      </c>
      <c r="E48" s="107" t="inlineStr">
        <is>
          <t>3</t>
        </is>
      </c>
      <c r="F48" s="151">
        <f>ROUND(I48/Прил.10!$D$13,2)</f>
        <v/>
      </c>
      <c r="G48" s="14">
        <f>ROUND(E48*F48,2)</f>
        <v/>
      </c>
      <c r="H48" s="156">
        <f>G48/$G$52</f>
        <v/>
      </c>
      <c r="I48" s="14" t="n">
        <v>3060000</v>
      </c>
      <c r="J48" s="14">
        <f>ROUND(I48*E48,2)</f>
        <v/>
      </c>
    </row>
    <row r="49">
      <c r="A49" s="144" t="n"/>
      <c r="B49" s="144" t="n"/>
      <c r="C49" s="149" t="inlineStr">
        <is>
          <t>Итого основное оборудование</t>
        </is>
      </c>
      <c r="D49" s="144" t="n"/>
      <c r="E49" s="107" t="n"/>
      <c r="F49" s="151" t="n"/>
      <c r="G49" s="14">
        <f>SUM(G48:G48)</f>
        <v/>
      </c>
      <c r="H49" s="156">
        <f>G49/$G$52</f>
        <v/>
      </c>
      <c r="I49" s="14" t="n"/>
      <c r="J49" s="14">
        <f>SUM(J48:J48)</f>
        <v/>
      </c>
      <c r="K49" s="57" t="n"/>
    </row>
    <row r="50" outlineLevel="1" ht="42.75" customHeight="1">
      <c r="A50" s="144" t="n">
        <v>28</v>
      </c>
      <c r="B50" s="58" t="inlineStr">
        <is>
          <t>БЦ.30_1.159</t>
        </is>
      </c>
      <c r="C50" s="149" t="inlineStr">
        <is>
          <t>Шкаф управления разъединителями</t>
        </is>
      </c>
      <c r="D50" s="144" t="inlineStr">
        <is>
          <t>шт.</t>
        </is>
      </c>
      <c r="E50" s="107" t="n">
        <v>3</v>
      </c>
      <c r="F50" s="151">
        <f>ROUND(I50/Прил.10!$D$13,2)</f>
        <v/>
      </c>
      <c r="G50" s="14">
        <f>ROUND(E50*F50,2)</f>
        <v/>
      </c>
      <c r="H50" s="156">
        <f>G50/$G$52</f>
        <v/>
      </c>
      <c r="I50" s="14" t="n">
        <v>345000</v>
      </c>
      <c r="J50" s="14">
        <f>ROUND(I50*E50,2)</f>
        <v/>
      </c>
      <c r="K50" s="57" t="n"/>
    </row>
    <row r="51">
      <c r="A51" s="144" t="n"/>
      <c r="B51" s="144" t="n"/>
      <c r="C51" s="149" t="inlineStr">
        <is>
          <t>Итого прочее оборудование</t>
        </is>
      </c>
      <c r="D51" s="144" t="n"/>
      <c r="E51" s="150" t="n"/>
      <c r="F51" s="151" t="n"/>
      <c r="G51" s="14">
        <f>SUM(G50:G50)</f>
        <v/>
      </c>
      <c r="H51" s="156">
        <f>G51/$G$52</f>
        <v/>
      </c>
      <c r="I51" s="14" t="n"/>
      <c r="J51" s="14">
        <f>SUM(J50:J50)</f>
        <v/>
      </c>
      <c r="K51" s="57" t="n"/>
    </row>
    <row r="52">
      <c r="A52" s="144" t="n"/>
      <c r="B52" s="144" t="n"/>
      <c r="C52" s="139" t="inlineStr">
        <is>
          <t>Итого по разделу «Оборудование»</t>
        </is>
      </c>
      <c r="D52" s="144" t="n"/>
      <c r="E52" s="150" t="n"/>
      <c r="F52" s="151" t="n"/>
      <c r="G52" s="14">
        <f>G51+G49</f>
        <v/>
      </c>
      <c r="H52" s="156">
        <f>(G49+G51)/G52</f>
        <v/>
      </c>
      <c r="I52" s="14" t="n"/>
      <c r="J52" s="14">
        <f>J51+J49</f>
        <v/>
      </c>
      <c r="K52" s="57" t="n"/>
    </row>
    <row r="53" ht="25.5" customHeight="1">
      <c r="A53" s="144" t="n"/>
      <c r="B53" s="144" t="n"/>
      <c r="C53" s="149" t="inlineStr">
        <is>
          <t>в том числе технологическое оборудование</t>
        </is>
      </c>
      <c r="D53" s="144" t="n"/>
      <c r="E53" s="150" t="n"/>
      <c r="F53" s="151" t="n"/>
      <c r="G53" s="14">
        <f>G52</f>
        <v/>
      </c>
      <c r="H53" s="156">
        <f>G53/$G$52</f>
        <v/>
      </c>
      <c r="I53" s="14" t="n"/>
      <c r="J53" s="14">
        <f>J52</f>
        <v/>
      </c>
      <c r="K53" s="57" t="n"/>
    </row>
    <row r="54" ht="14.25" customFormat="1" customHeight="1" s="1">
      <c r="A54" s="144" t="n"/>
      <c r="B54" s="174" t="inlineStr">
        <is>
          <t>Материалы</t>
        </is>
      </c>
      <c r="J54" s="175" t="n"/>
      <c r="K54" s="57" t="n"/>
    </row>
    <row r="55" ht="14.25" customFormat="1" customHeight="1" s="1">
      <c r="A55" s="144" t="n"/>
      <c r="B55" s="149" t="inlineStr">
        <is>
          <t>Основные материалы</t>
        </is>
      </c>
      <c r="C55" s="170" t="n"/>
      <c r="D55" s="170" t="n"/>
      <c r="E55" s="170" t="n"/>
      <c r="F55" s="170" t="n"/>
      <c r="G55" s="170" t="n"/>
      <c r="H55" s="171" t="n"/>
      <c r="I55" s="156" t="n"/>
      <c r="J55" s="156" t="n"/>
    </row>
    <row r="56" ht="51" customFormat="1" customHeight="1" s="1">
      <c r="A56" s="144" t="n">
        <v>29</v>
      </c>
      <c r="B56" s="58" t="inlineStr">
        <is>
          <t>04.1.02.02-0006</t>
        </is>
      </c>
      <c r="C56" s="149" t="inlineStr">
        <is>
          <t>Смеси бетонные тяжелого бетона (БСТ) для гидротехнических сооружений на сульфатостойких цементах, класс В15 (М200)</t>
        </is>
      </c>
      <c r="D56" s="144" t="inlineStr">
        <is>
          <t>м3</t>
        </is>
      </c>
      <c r="E56" s="107" t="n">
        <v>17.151</v>
      </c>
      <c r="F56" s="161" t="n">
        <v>708.91</v>
      </c>
      <c r="G56" s="14">
        <f>ROUND(E56*F56,2)</f>
        <v/>
      </c>
      <c r="H56" s="156">
        <f>G56/$G$114</f>
        <v/>
      </c>
      <c r="I56" s="14">
        <f>ROUND(F56*Прил.10!$D$12,2)</f>
        <v/>
      </c>
      <c r="J56" s="14">
        <f>ROUND(I56*E56,2)</f>
        <v/>
      </c>
    </row>
    <row r="57" ht="25.5" customFormat="1" customHeight="1" s="1">
      <c r="A57" s="144" t="n">
        <v>30</v>
      </c>
      <c r="B57" s="58" t="inlineStr">
        <is>
          <t>21.2.01.02-0101</t>
        </is>
      </c>
      <c r="C57" s="149" t="inlineStr">
        <is>
          <t>Провод неизолированный для воздушных линий электропередачи АС 500/26</t>
        </is>
      </c>
      <c r="D57" s="144" t="inlineStr">
        <is>
          <t>т</t>
        </is>
      </c>
      <c r="E57" s="107" t="n">
        <v>0.1</v>
      </c>
      <c r="F57" s="161" t="n">
        <v>34240.97</v>
      </c>
      <c r="G57" s="14">
        <f>ROUND(E57*F57,2)</f>
        <v/>
      </c>
      <c r="H57" s="156">
        <f>G57/$G$114</f>
        <v/>
      </c>
      <c r="I57" s="14">
        <f>ROUND(F57*Прил.10!$D$12,2)</f>
        <v/>
      </c>
      <c r="J57" s="14">
        <f>ROUND(I57*E57,2)</f>
        <v/>
      </c>
    </row>
    <row r="58" ht="25.5" customFormat="1" customHeight="1" s="1">
      <c r="A58" s="144" t="n">
        <v>31</v>
      </c>
      <c r="B58" s="58" t="inlineStr">
        <is>
          <t>21.1.06.10-0411</t>
        </is>
      </c>
      <c r="C58" s="149" t="inlineStr">
        <is>
          <t>Кабель силовой с медными жилами ВВГнг(A)-LS 5х16мк(N, РЕ)-1000</t>
        </is>
      </c>
      <c r="D58" s="144" t="inlineStr">
        <is>
          <t>1000 м</t>
        </is>
      </c>
      <c r="E58" s="107" t="n">
        <v>0.033</v>
      </c>
      <c r="F58" s="161" t="n">
        <v>98440.41</v>
      </c>
      <c r="G58" s="14">
        <f>ROUND(E58*F58,2)</f>
        <v/>
      </c>
      <c r="H58" s="156">
        <f>G58/$G$114</f>
        <v/>
      </c>
      <c r="I58" s="14">
        <f>ROUND(F58*Прил.10!$D$12,2)</f>
        <v/>
      </c>
      <c r="J58" s="14">
        <f>ROUND(I58*E58,2)</f>
        <v/>
      </c>
    </row>
    <row r="59" ht="38.25" customFormat="1" customHeight="1" s="1">
      <c r="A59" s="144" t="n">
        <v>32</v>
      </c>
      <c r="B59" s="58" t="inlineStr">
        <is>
          <t>08.4.03.03-0034</t>
        </is>
      </c>
      <c r="C59" s="149" t="inlineStr">
        <is>
          <t>Сталь арматурная, горячекатаная, периодического профиля, класс А-III, диаметр 16-18 мм</t>
        </is>
      </c>
      <c r="D59" s="144" t="inlineStr">
        <is>
          <t>т</t>
        </is>
      </c>
      <c r="E59" s="107" t="n">
        <v>0.337</v>
      </c>
      <c r="F59" s="161" t="n">
        <v>7956.21</v>
      </c>
      <c r="G59" s="14">
        <f>ROUND(E59*F59,2)</f>
        <v/>
      </c>
      <c r="H59" s="156">
        <f>G59/$G$114</f>
        <v/>
      </c>
      <c r="I59" s="14">
        <f>ROUND(F59*Прил.10!$D$12,2)</f>
        <v/>
      </c>
      <c r="J59" s="14">
        <f>ROUND(I59*E59,2)</f>
        <v/>
      </c>
    </row>
    <row r="60" ht="38.25" customFormat="1" customHeight="1" s="1">
      <c r="A60" s="144" t="n">
        <v>33</v>
      </c>
      <c r="B60" s="58" t="inlineStr">
        <is>
          <t>04.1.02.05-0043</t>
        </is>
      </c>
      <c r="C60" s="149" t="inlineStr">
        <is>
          <t>Смеси бетонные тяжелого бетона (БСТ), крупность заполнителя 20 мм, класс В15 (М200)</t>
        </is>
      </c>
      <c r="D60" s="144" t="inlineStr">
        <is>
          <t>м3</t>
        </is>
      </c>
      <c r="E60" s="107" t="n">
        <v>3.451</v>
      </c>
      <c r="F60" s="161" t="n">
        <v>665</v>
      </c>
      <c r="G60" s="14">
        <f>ROUND(E60*F60,2)</f>
        <v/>
      </c>
      <c r="H60" s="156">
        <f>G60/$G$114</f>
        <v/>
      </c>
      <c r="I60" s="14">
        <f>ROUND(F60*Прил.10!$D$12,2)</f>
        <v/>
      </c>
      <c r="J60" s="14">
        <f>ROUND(I60*E60,2)</f>
        <v/>
      </c>
    </row>
    <row r="61" ht="14.25" customFormat="1" customHeight="1" s="1">
      <c r="A61" s="144" t="n">
        <v>34</v>
      </c>
      <c r="B61" s="58" t="inlineStr">
        <is>
          <t>21.1.08.03-0574</t>
        </is>
      </c>
      <c r="C61" s="149" t="inlineStr">
        <is>
          <t>Кабель контрольный КВВГЭнг(А)-LS 4x2,5</t>
        </is>
      </c>
      <c r="D61" s="144" t="inlineStr">
        <is>
          <t>1000 м</t>
        </is>
      </c>
      <c r="E61" s="107" t="n">
        <v>0.054</v>
      </c>
      <c r="F61" s="161" t="n">
        <v>38348.22</v>
      </c>
      <c r="G61" s="14">
        <f>ROUND(E61*F61,2)</f>
        <v/>
      </c>
      <c r="H61" s="156">
        <f>G61/$G$114</f>
        <v/>
      </c>
      <c r="I61" s="14">
        <f>ROUND(F61*Прил.10!$D$12,2)</f>
        <v/>
      </c>
      <c r="J61" s="14">
        <f>ROUND(I61*E61,2)</f>
        <v/>
      </c>
    </row>
    <row r="62" ht="38.25" customFormat="1" customHeight="1" s="1">
      <c r="A62" s="144" t="n">
        <v>35</v>
      </c>
      <c r="B62" s="58" t="inlineStr">
        <is>
          <t>08.4.03.03-0032</t>
        </is>
      </c>
      <c r="C62" s="149" t="inlineStr">
        <is>
          <t>Сталь арматурная, горячекатаная, периодического профиля, класс А-III, диаметр 12 мм</t>
        </is>
      </c>
      <c r="D62" s="144" t="inlineStr">
        <is>
          <t>т</t>
        </is>
      </c>
      <c r="E62" s="107" t="n">
        <v>0.196</v>
      </c>
      <c r="F62" s="161" t="n">
        <v>7997.23</v>
      </c>
      <c r="G62" s="14">
        <f>ROUND(E62*F62,2)</f>
        <v/>
      </c>
      <c r="H62" s="156">
        <f>G62/$G$114</f>
        <v/>
      </c>
      <c r="I62" s="14">
        <f>ROUND(F62*Прил.10!$D$12,2)</f>
        <v/>
      </c>
      <c r="J62" s="14">
        <f>ROUND(I62*E62,2)</f>
        <v/>
      </c>
    </row>
    <row r="63" ht="25.5" customFormat="1" customHeight="1" s="1">
      <c r="A63" s="144" t="n">
        <v>36</v>
      </c>
      <c r="B63" s="58" t="inlineStr">
        <is>
          <t>05.1.01.10-0131</t>
        </is>
      </c>
      <c r="C63" s="149" t="inlineStr">
        <is>
          <t>Лотки каналов и тоннелей железобетонные для прокладки коммуникаций</t>
        </is>
      </c>
      <c r="D63" s="144" t="inlineStr">
        <is>
          <t>м3</t>
        </is>
      </c>
      <c r="E63" s="107" t="n">
        <v>0.84</v>
      </c>
      <c r="F63" s="161" t="n">
        <v>1837.28</v>
      </c>
      <c r="G63" s="14">
        <f>ROUND(E63*F63,2)</f>
        <v/>
      </c>
      <c r="H63" s="156">
        <f>G63/$G$114</f>
        <v/>
      </c>
      <c r="I63" s="14">
        <f>ROUND(F63*Прил.10!$D$12,2)</f>
        <v/>
      </c>
      <c r="J63" s="14">
        <f>ROUND(I63*E63,2)</f>
        <v/>
      </c>
    </row>
    <row r="64" ht="38.25" customFormat="1" customHeight="1" s="1">
      <c r="A64" s="144" t="n">
        <v>37</v>
      </c>
      <c r="B64" s="58" t="inlineStr">
        <is>
          <t>08.4.03.03-0031</t>
        </is>
      </c>
      <c r="C64" s="149" t="inlineStr">
        <is>
          <t>Сталь арматурная, горячекатаная, периодического профиля, класс А-III, диаметр 10 мм</t>
        </is>
      </c>
      <c r="D64" s="144" t="inlineStr">
        <is>
          <t>т</t>
        </is>
      </c>
      <c r="E64" s="107" t="n">
        <v>0.105</v>
      </c>
      <c r="F64" s="161" t="n">
        <v>8014.15</v>
      </c>
      <c r="G64" s="14">
        <f>ROUND(E64*F64,2)</f>
        <v/>
      </c>
      <c r="H64" s="156">
        <f>G64/$G$114</f>
        <v/>
      </c>
      <c r="I64" s="14">
        <f>ROUND(F64*Прил.10!$D$12,2)</f>
        <v/>
      </c>
      <c r="J64" s="14">
        <f>ROUND(I64*E64,2)</f>
        <v/>
      </c>
    </row>
    <row r="65" ht="14.25" customFormat="1" customHeight="1" s="1">
      <c r="A65" s="144" t="n"/>
      <c r="B65" s="144" t="n"/>
      <c r="C65" s="149" t="inlineStr">
        <is>
          <t>Итого основные материалы</t>
        </is>
      </c>
      <c r="D65" s="144" t="n"/>
      <c r="E65" s="107" t="n"/>
      <c r="F65" s="151" t="n"/>
      <c r="G65" s="14">
        <f>SUM(G56:G64)</f>
        <v/>
      </c>
      <c r="H65" s="156">
        <f>G65/$G$114</f>
        <v/>
      </c>
      <c r="I65" s="14" t="n"/>
      <c r="J65" s="14">
        <f>SUM(J56:J64)</f>
        <v/>
      </c>
      <c r="K65" s="57" t="n"/>
    </row>
    <row r="66" outlineLevel="1" ht="25.5" customFormat="1" customHeight="1" s="1">
      <c r="A66" s="144" t="n">
        <v>38</v>
      </c>
      <c r="B66" s="58" t="inlineStr">
        <is>
          <t>08.4.01.01-0022</t>
        </is>
      </c>
      <c r="C66" s="149" t="inlineStr">
        <is>
          <t>Детали анкерные с резьбой из прямых или гнутых круглых стержней</t>
        </is>
      </c>
      <c r="D66" s="144" t="inlineStr">
        <is>
          <t>т</t>
        </is>
      </c>
      <c r="E66" s="107" t="n">
        <v>0.055</v>
      </c>
      <c r="F66" s="161" t="n">
        <v>10100</v>
      </c>
      <c r="G66" s="14">
        <f>ROUND(F66*E66,2)</f>
        <v/>
      </c>
      <c r="H66" s="156">
        <f>G66/$G$114</f>
        <v/>
      </c>
      <c r="I66" s="14">
        <f>ROUND(F66*Прил.10!$D$12,2)</f>
        <v/>
      </c>
      <c r="J66" s="14">
        <f>ROUND(I66*E66,2)</f>
        <v/>
      </c>
    </row>
    <row r="67" outlineLevel="1" ht="51" customFormat="1" customHeight="1" s="1">
      <c r="A67" s="144" t="n">
        <v>39</v>
      </c>
      <c r="B67" s="58" t="inlineStr">
        <is>
          <t>01.2.03.05-0004</t>
        </is>
      </c>
      <c r="C67" s="149" t="inlineStr">
        <is>
          <t>Праймер битумный для подготовки (огрунтовки) изолируемых поверхностей перед укладкой наплавляемых битумных и битумно-полимерных материалов</t>
        </is>
      </c>
      <c r="D67" s="144" t="inlineStr">
        <is>
          <t>кг</t>
        </is>
      </c>
      <c r="E67" s="107" t="n">
        <v>2.4</v>
      </c>
      <c r="F67" s="161" t="n">
        <v>216.14</v>
      </c>
      <c r="G67" s="14">
        <f>ROUND(F67*E67,2)</f>
        <v/>
      </c>
      <c r="H67" s="156">
        <f>G67/$G$114</f>
        <v/>
      </c>
      <c r="I67" s="14">
        <f>ROUND(F67*Прил.10!$D$12,2)</f>
        <v/>
      </c>
      <c r="J67" s="14">
        <f>ROUND(I67*E67,2)</f>
        <v/>
      </c>
    </row>
    <row r="68" outlineLevel="1" ht="38.25" customFormat="1" customHeight="1" s="1">
      <c r="A68" s="144" t="n">
        <v>40</v>
      </c>
      <c r="B68" s="58" t="inlineStr">
        <is>
          <t>08.4.03.03-0029</t>
        </is>
      </c>
      <c r="C68" s="149" t="inlineStr">
        <is>
          <t>Сталь арматурная, горячекатаная, периодического профиля, класс А-III, диаметр 6 мм</t>
        </is>
      </c>
      <c r="D68" s="144" t="inlineStr">
        <is>
          <t>т</t>
        </is>
      </c>
      <c r="E68" s="107" t="n">
        <v>0.054</v>
      </c>
      <c r="F68" s="161" t="n">
        <v>8213.719999999999</v>
      </c>
      <c r="G68" s="14">
        <f>ROUND(F68*E68,2)</f>
        <v/>
      </c>
      <c r="H68" s="156">
        <f>G68/$G$114</f>
        <v/>
      </c>
      <c r="I68" s="14">
        <f>ROUND(F68*Прил.10!$D$12,2)</f>
        <v/>
      </c>
      <c r="J68" s="14">
        <f>ROUND(I68*E68,2)</f>
        <v/>
      </c>
    </row>
    <row r="69" outlineLevel="1" ht="25.5" customFormat="1" customHeight="1" s="1">
      <c r="A69" s="144" t="n">
        <v>41</v>
      </c>
      <c r="B69" s="58" t="inlineStr">
        <is>
          <t>20.1.01.02-0067</t>
        </is>
      </c>
      <c r="C69" s="149" t="inlineStr">
        <is>
          <t>Зажим аппаратный прессуемый: А4А-400-2</t>
        </is>
      </c>
      <c r="D69" s="144" t="inlineStr">
        <is>
          <t>100 шт.</t>
        </is>
      </c>
      <c r="E69" s="107" t="n">
        <v>0.06</v>
      </c>
      <c r="F69" s="161" t="n">
        <v>6505</v>
      </c>
      <c r="G69" s="14">
        <f>ROUND(F69*E69,2)</f>
        <v/>
      </c>
      <c r="H69" s="156">
        <f>G69/$G$114</f>
        <v/>
      </c>
      <c r="I69" s="14">
        <f>ROUND(F69*Прил.10!$D$12,2)</f>
        <v/>
      </c>
      <c r="J69" s="14">
        <f>ROUND(I69*E69,2)</f>
        <v/>
      </c>
    </row>
    <row r="70" outlineLevel="1" ht="25.5" customFormat="1" customHeight="1" s="1">
      <c r="A70" s="144" t="n">
        <v>42</v>
      </c>
      <c r="B70" s="58" t="inlineStr">
        <is>
          <t>02.2.05.04-1777</t>
        </is>
      </c>
      <c r="C70" s="149" t="inlineStr">
        <is>
          <t>Щебень М 800, фракция 20-40 мм, группа 2</t>
        </is>
      </c>
      <c r="D70" s="144" t="inlineStr">
        <is>
          <t>м3</t>
        </is>
      </c>
      <c r="E70" s="107" t="n">
        <v>3.6</v>
      </c>
      <c r="F70" s="161" t="n">
        <v>108.4</v>
      </c>
      <c r="G70" s="14">
        <f>ROUND(F70*E70,2)</f>
        <v/>
      </c>
      <c r="H70" s="156">
        <f>G70/$G$114</f>
        <v/>
      </c>
      <c r="I70" s="14">
        <f>ROUND(F70*Прил.10!$D$12,2)</f>
        <v/>
      </c>
      <c r="J70" s="14">
        <f>ROUND(I70*E70,2)</f>
        <v/>
      </c>
    </row>
    <row r="71" outlineLevel="1" ht="51" customFormat="1" customHeight="1" s="1">
      <c r="A71" s="144" t="n">
        <v>43</v>
      </c>
      <c r="B71" s="58" t="inlineStr">
        <is>
          <t>23.3.01.04-0074</t>
        </is>
      </c>
      <c r="C71" s="149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71" s="144" t="inlineStr">
        <is>
          <t>м</t>
        </is>
      </c>
      <c r="E71" s="107" t="n">
        <v>0.3</v>
      </c>
      <c r="F71" s="161" t="n">
        <v>1001.3</v>
      </c>
      <c r="G71" s="14">
        <f>ROUND(F71*E71,2)</f>
        <v/>
      </c>
      <c r="H71" s="156">
        <f>G71/$G$114</f>
        <v/>
      </c>
      <c r="I71" s="14">
        <f>ROUND(F71*Прил.10!$D$12,2)</f>
        <v/>
      </c>
      <c r="J71" s="14">
        <f>ROUND(I71*E71,2)</f>
        <v/>
      </c>
    </row>
    <row r="72" outlineLevel="1" ht="38.25" customFormat="1" customHeight="1" s="1">
      <c r="A72" s="144" t="n">
        <v>44</v>
      </c>
      <c r="B72" s="58" t="inlineStr">
        <is>
          <t>25.1.01.05-0032</t>
        </is>
      </c>
      <c r="C72" s="149" t="inlineStr">
        <is>
          <t>Шпалы пропитанные для железных дорог широкой колеи, обрезные и необрезные, лиственничные, тип II</t>
        </is>
      </c>
      <c r="D72" s="144" t="inlineStr">
        <is>
          <t>шт.</t>
        </is>
      </c>
      <c r="E72" s="107" t="n">
        <v>1.08</v>
      </c>
      <c r="F72" s="161" t="n">
        <v>276.17</v>
      </c>
      <c r="G72" s="14">
        <f>ROUND(F72*E72,2)</f>
        <v/>
      </c>
      <c r="H72" s="156">
        <f>G72/$G$114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">
      <c r="A73" s="144" t="n">
        <v>45</v>
      </c>
      <c r="B73" s="58" t="inlineStr">
        <is>
          <t>20.1.02.23-0121</t>
        </is>
      </c>
      <c r="C73" s="149" t="inlineStr">
        <is>
          <t>Проводник заземляющий П-750</t>
        </is>
      </c>
      <c r="D73" s="144" t="inlineStr">
        <is>
          <t>шт.</t>
        </is>
      </c>
      <c r="E73" s="107" t="inlineStr">
        <is>
          <t>20</t>
        </is>
      </c>
      <c r="F73" s="161" t="n">
        <v>13.55</v>
      </c>
      <c r="G73" s="14">
        <f>ROUND(F73*E73,2)</f>
        <v/>
      </c>
      <c r="H73" s="156">
        <f>G73/$G$114</f>
        <v/>
      </c>
      <c r="I73" s="14">
        <f>ROUND(F73*Прил.10!$D$12,2)</f>
        <v/>
      </c>
      <c r="J73" s="14">
        <f>ROUND(I73*E73,2)</f>
        <v/>
      </c>
    </row>
    <row r="74" outlineLevel="1" ht="14.25" customFormat="1" customHeight="1" s="1">
      <c r="A74" s="144" t="n">
        <v>46</v>
      </c>
      <c r="B74" s="58" t="inlineStr">
        <is>
          <t>11.2.13.04-0011</t>
        </is>
      </c>
      <c r="C74" s="149" t="inlineStr">
        <is>
          <t>Щиты из досок толщиной 25 мм</t>
        </is>
      </c>
      <c r="D74" s="144" t="inlineStr">
        <is>
          <t>м2</t>
        </is>
      </c>
      <c r="E74" s="107" t="n">
        <v>4.059</v>
      </c>
      <c r="F74" s="161" t="n">
        <v>35.53</v>
      </c>
      <c r="G74" s="14">
        <f>ROUND(F74*E74,2)</f>
        <v/>
      </c>
      <c r="H74" s="156">
        <f>G74/$G$114</f>
        <v/>
      </c>
      <c r="I74" s="14">
        <f>ROUND(F74*Прил.10!$D$12,2)</f>
        <v/>
      </c>
      <c r="J74" s="14">
        <f>ROUND(I74*E74,2)</f>
        <v/>
      </c>
    </row>
    <row r="75" outlineLevel="1" ht="14.25" customFormat="1" customHeight="1" s="1">
      <c r="A75" s="144" t="n">
        <v>47</v>
      </c>
      <c r="B75" s="58" t="inlineStr">
        <is>
          <t>01.2.03.03-0013</t>
        </is>
      </c>
      <c r="C75" s="149" t="inlineStr">
        <is>
          <t>Мастика битумная кровельная горячая</t>
        </is>
      </c>
      <c r="D75" s="144" t="inlineStr">
        <is>
          <t>т</t>
        </is>
      </c>
      <c r="E75" s="107" t="n">
        <v>0.03624</v>
      </c>
      <c r="F75" s="161" t="n">
        <v>3390</v>
      </c>
      <c r="G75" s="14">
        <f>ROUND(F75*E75,2)</f>
        <v/>
      </c>
      <c r="H75" s="156">
        <f>G75/$G$114</f>
        <v/>
      </c>
      <c r="I75" s="14">
        <f>ROUND(F75*Прил.10!$D$12,2)</f>
        <v/>
      </c>
      <c r="J75" s="14">
        <f>ROUND(I75*E75,2)</f>
        <v/>
      </c>
    </row>
    <row r="76" outlineLevel="1" ht="76.5" customFormat="1" customHeight="1" s="1">
      <c r="A76" s="144" t="n">
        <v>48</v>
      </c>
      <c r="B76" s="58" t="inlineStr">
        <is>
          <t>08.4.01.02-0013</t>
        </is>
      </c>
      <c r="C76" s="14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76" s="144" t="inlineStr">
        <is>
          <t>т</t>
        </is>
      </c>
      <c r="E76" s="107" t="n">
        <v>0.017</v>
      </c>
      <c r="F76" s="161" t="n">
        <v>6800</v>
      </c>
      <c r="G76" s="14">
        <f>ROUND(F76*E76,2)</f>
        <v/>
      </c>
      <c r="H76" s="156">
        <f>G76/$G$114</f>
        <v/>
      </c>
      <c r="I76" s="14">
        <f>ROUND(F76*Прил.10!$D$12,2)</f>
        <v/>
      </c>
      <c r="J76" s="14">
        <f>ROUND(I76*E76,2)</f>
        <v/>
      </c>
    </row>
    <row r="77" outlineLevel="1" ht="25.5" customFormat="1" customHeight="1" s="1">
      <c r="A77" s="144" t="n">
        <v>49</v>
      </c>
      <c r="B77" s="58" t="inlineStr">
        <is>
          <t>02.2.05.04-1777</t>
        </is>
      </c>
      <c r="C77" s="149" t="inlineStr">
        <is>
          <t>Щебень М 800, фракция 20-40 мм, группа 2</t>
        </is>
      </c>
      <c r="D77" s="144" t="inlineStr">
        <is>
          <t>м3</t>
        </is>
      </c>
      <c r="E77" s="107" t="n">
        <v>0.94424</v>
      </c>
      <c r="F77" s="161" t="n">
        <v>108.4</v>
      </c>
      <c r="G77" s="14">
        <f>ROUND(F77*E77,2)</f>
        <v/>
      </c>
      <c r="H77" s="156">
        <f>G77/$G$114</f>
        <v/>
      </c>
      <c r="I77" s="14">
        <f>ROUND(F77*Прил.10!$D$12,2)</f>
        <v/>
      </c>
      <c r="J77" s="14">
        <f>ROUND(I77*E77,2)</f>
        <v/>
      </c>
    </row>
    <row r="78" outlineLevel="1" ht="25.5" customFormat="1" customHeight="1" s="1">
      <c r="A78" s="144" t="n">
        <v>50</v>
      </c>
      <c r="B78" s="58" t="inlineStr">
        <is>
          <t>04.3.01.09-0015</t>
        </is>
      </c>
      <c r="C78" s="149" t="inlineStr">
        <is>
          <t>Раствор готовый кладочный, цементный, М150</t>
        </is>
      </c>
      <c r="D78" s="144" t="inlineStr">
        <is>
          <t>м3</t>
        </is>
      </c>
      <c r="E78" s="107" t="n">
        <v>0.18615</v>
      </c>
      <c r="F78" s="161" t="n">
        <v>548.3</v>
      </c>
      <c r="G78" s="14">
        <f>ROUND(F78*E78,2)</f>
        <v/>
      </c>
      <c r="H78" s="156">
        <f>G78/$G$114</f>
        <v/>
      </c>
      <c r="I78" s="14">
        <f>ROUND(F78*Прил.10!$D$12,2)</f>
        <v/>
      </c>
      <c r="J78" s="14">
        <f>ROUND(I78*E78,2)</f>
        <v/>
      </c>
    </row>
    <row r="79" outlineLevel="1" ht="14.25" customFormat="1" customHeight="1" s="1">
      <c r="A79" s="144" t="n">
        <v>51</v>
      </c>
      <c r="B79" s="58" t="inlineStr">
        <is>
          <t>01.7.15.11-0026</t>
        </is>
      </c>
      <c r="C79" s="149" t="inlineStr">
        <is>
          <t>Шайбы квадратные</t>
        </is>
      </c>
      <c r="D79" s="144" t="inlineStr">
        <is>
          <t>100 шт.</t>
        </is>
      </c>
      <c r="E79" s="107" t="n">
        <v>0.36</v>
      </c>
      <c r="F79" s="161" t="n">
        <v>254</v>
      </c>
      <c r="G79" s="14">
        <f>ROUND(F79*E79,2)</f>
        <v/>
      </c>
      <c r="H79" s="156">
        <f>G79/$G$114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">
      <c r="A80" s="144" t="n">
        <v>52</v>
      </c>
      <c r="B80" s="58" t="inlineStr">
        <is>
          <t>01.7.15.03-0042</t>
        </is>
      </c>
      <c r="C80" s="149" t="inlineStr">
        <is>
          <t>Болты с гайками и шайбами строительные</t>
        </is>
      </c>
      <c r="D80" s="144" t="inlineStr">
        <is>
          <t>кг</t>
        </is>
      </c>
      <c r="E80" s="107" t="n">
        <v>9.952999999999999</v>
      </c>
      <c r="F80" s="161" t="n">
        <v>9.039999999999999</v>
      </c>
      <c r="G80" s="14">
        <f>ROUND(F80*E80,2)</f>
        <v/>
      </c>
      <c r="H80" s="156">
        <f>G80/$G$114</f>
        <v/>
      </c>
      <c r="I80" s="14">
        <f>ROUND(F80*Прил.10!$D$12,2)</f>
        <v/>
      </c>
      <c r="J80" s="14">
        <f>ROUND(I80*E80,2)</f>
        <v/>
      </c>
    </row>
    <row r="81" outlineLevel="1" ht="25.5" customFormat="1" customHeight="1" s="1">
      <c r="A81" s="144" t="n">
        <v>53</v>
      </c>
      <c r="B81" s="58" t="inlineStr">
        <is>
          <t>08.4.03.02-0001</t>
        </is>
      </c>
      <c r="C81" s="149" t="inlineStr">
        <is>
          <t>Сталь арматурная, горячекатаная, гладкая, класс А-I, диаметр 6 мм</t>
        </is>
      </c>
      <c r="D81" s="144" t="inlineStr">
        <is>
          <t>т</t>
        </is>
      </c>
      <c r="E81" s="107" t="n">
        <v>0.012</v>
      </c>
      <c r="F81" s="161" t="n">
        <v>7418.82</v>
      </c>
      <c r="G81" s="14">
        <f>ROUND(F81*E81,2)</f>
        <v/>
      </c>
      <c r="H81" s="156">
        <f>G81/$G$114</f>
        <v/>
      </c>
      <c r="I81" s="14">
        <f>ROUND(F81*Прил.10!$D$12,2)</f>
        <v/>
      </c>
      <c r="J81" s="14">
        <f>ROUND(I81*E81,2)</f>
        <v/>
      </c>
    </row>
    <row r="82" outlineLevel="1" ht="25.5" customFormat="1" customHeight="1" s="1">
      <c r="A82" s="144" t="n">
        <v>54</v>
      </c>
      <c r="B82" s="58" t="inlineStr">
        <is>
          <t>20.2.10.03-0002</t>
        </is>
      </c>
      <c r="C82" s="149" t="inlineStr">
        <is>
          <t>Наконечники кабельные медные для электротехнических установок</t>
        </is>
      </c>
      <c r="D82" s="144" t="inlineStr">
        <is>
          <t>100 шт.</t>
        </is>
      </c>
      <c r="E82" s="107" t="n">
        <v>0.0204</v>
      </c>
      <c r="F82" s="161" t="n">
        <v>3986</v>
      </c>
      <c r="G82" s="14">
        <f>ROUND(F82*E82,2)</f>
        <v/>
      </c>
      <c r="H82" s="156">
        <f>G82/$G$114</f>
        <v/>
      </c>
      <c r="I82" s="14">
        <f>ROUND(F82*Прил.10!$D$12,2)</f>
        <v/>
      </c>
      <c r="J82" s="14">
        <f>ROUND(I82*E82,2)</f>
        <v/>
      </c>
    </row>
    <row r="83" outlineLevel="1" ht="38.25" customFormat="1" customHeight="1" s="1">
      <c r="A83" s="144" t="n">
        <v>55</v>
      </c>
      <c r="B83" s="58" t="inlineStr">
        <is>
          <t>08.3.07.01-0076</t>
        </is>
      </c>
      <c r="C83" s="149" t="inlineStr">
        <is>
          <t>Прокат полосовой, горячекатаный, марка стали Ст3сп, ширина 50-200 мм, толщина 4-5 мм</t>
        </is>
      </c>
      <c r="D83" s="144" t="inlineStr">
        <is>
          <t>т</t>
        </is>
      </c>
      <c r="E83" s="107" t="n">
        <v>0.0159</v>
      </c>
      <c r="F83" s="161" t="n">
        <v>5000</v>
      </c>
      <c r="G83" s="14">
        <f>ROUND(F83*E83,2)</f>
        <v/>
      </c>
      <c r="H83" s="156">
        <f>G83/$G$114</f>
        <v/>
      </c>
      <c r="I83" s="14">
        <f>ROUND(F83*Прил.10!$D$12,2)</f>
        <v/>
      </c>
      <c r="J83" s="14">
        <f>ROUND(I83*E83,2)</f>
        <v/>
      </c>
    </row>
    <row r="84" outlineLevel="1" ht="25.5" customFormat="1" customHeight="1" s="1">
      <c r="A84" s="144" t="n">
        <v>56</v>
      </c>
      <c r="B84" s="58" t="inlineStr">
        <is>
          <t>14.4.04.04-0002</t>
        </is>
      </c>
      <c r="C84" s="149" t="inlineStr">
        <is>
          <t>Эмаль кремнийорганическая КО-168 атмосферостойкая разных цветов</t>
        </is>
      </c>
      <c r="D84" s="144" t="inlineStr">
        <is>
          <t>т</t>
        </is>
      </c>
      <c r="E84" s="107" t="n">
        <v>0.002</v>
      </c>
      <c r="F84" s="161" t="n">
        <v>33915</v>
      </c>
      <c r="G84" s="14">
        <f>ROUND(F84*E84,2)</f>
        <v/>
      </c>
      <c r="H84" s="156">
        <f>G84/$G$114</f>
        <v/>
      </c>
      <c r="I84" s="14">
        <f>ROUND(F84*Прил.10!$D$12,2)</f>
        <v/>
      </c>
      <c r="J84" s="14">
        <f>ROUND(I84*E84,2)</f>
        <v/>
      </c>
    </row>
    <row r="85" outlineLevel="1" ht="25.5" customFormat="1" customHeight="1" s="1">
      <c r="A85" s="144" t="n">
        <v>57</v>
      </c>
      <c r="B85" s="58" t="inlineStr">
        <is>
          <t>01.7.11.07-0034</t>
        </is>
      </c>
      <c r="C85" s="149" t="inlineStr">
        <is>
          <t>Электроды сварочные Э42А, диаметр 4 мм</t>
        </is>
      </c>
      <c r="D85" s="144" t="inlineStr">
        <is>
          <t>кг</t>
        </is>
      </c>
      <c r="E85" s="107" t="n">
        <v>5.94</v>
      </c>
      <c r="F85" s="161" t="n">
        <v>10.57</v>
      </c>
      <c r="G85" s="14">
        <f>ROUND(F85*E85,2)</f>
        <v/>
      </c>
      <c r="H85" s="156">
        <f>G85/$G$114</f>
        <v/>
      </c>
      <c r="I85" s="14">
        <f>ROUND(F85*Прил.10!$D$12,2)</f>
        <v/>
      </c>
      <c r="J85" s="14">
        <f>ROUND(I85*E85,2)</f>
        <v/>
      </c>
    </row>
    <row r="86" outlineLevel="1" ht="14.25" customFormat="1" customHeight="1" s="1">
      <c r="A86" s="144" t="n">
        <v>58</v>
      </c>
      <c r="B86" s="58" t="inlineStr">
        <is>
          <t>14.4.02.09-0001</t>
        </is>
      </c>
      <c r="C86" s="149" t="inlineStr">
        <is>
          <t>Краска</t>
        </is>
      </c>
      <c r="D86" s="144" t="inlineStr">
        <is>
          <t>кг</t>
        </is>
      </c>
      <c r="E86" s="107" t="n">
        <v>2.061</v>
      </c>
      <c r="F86" s="161" t="n">
        <v>28.6</v>
      </c>
      <c r="G86" s="14">
        <f>ROUND(F86*E86,2)</f>
        <v/>
      </c>
      <c r="H86" s="156">
        <f>G86/$G$114</f>
        <v/>
      </c>
      <c r="I86" s="14">
        <f>ROUND(F86*Прил.10!$D$12,2)</f>
        <v/>
      </c>
      <c r="J86" s="14">
        <f>ROUND(I86*E86,2)</f>
        <v/>
      </c>
    </row>
    <row r="87" outlineLevel="1" ht="25.5" customFormat="1" customHeight="1" s="1">
      <c r="A87" s="144" t="n">
        <v>59</v>
      </c>
      <c r="B87" s="58" t="inlineStr">
        <is>
          <t>01.3.01.06-0050</t>
        </is>
      </c>
      <c r="C87" s="149" t="inlineStr">
        <is>
          <t>Смазка универсальная тугоплавкая УТ (консталин жировой)</t>
        </is>
      </c>
      <c r="D87" s="144" t="inlineStr">
        <is>
          <t>т</t>
        </is>
      </c>
      <c r="E87" s="107" t="n">
        <v>0.00246</v>
      </c>
      <c r="F87" s="161" t="n">
        <v>17500</v>
      </c>
      <c r="G87" s="14">
        <f>ROUND(F87*E87,2)</f>
        <v/>
      </c>
      <c r="H87" s="156">
        <f>G87/$G$114</f>
        <v/>
      </c>
      <c r="I87" s="14">
        <f>ROUND(F87*Прил.10!$D$12,2)</f>
        <v/>
      </c>
      <c r="J87" s="14">
        <f>ROUND(I87*E87,2)</f>
        <v/>
      </c>
    </row>
    <row r="88" outlineLevel="1" ht="25.5" customFormat="1" customHeight="1" s="1">
      <c r="A88" s="144" t="n">
        <v>60</v>
      </c>
      <c r="B88" s="58" t="inlineStr">
        <is>
          <t>999-9950</t>
        </is>
      </c>
      <c r="C88" s="149" t="inlineStr">
        <is>
          <t>Вспомогательные ненормируемые материалы</t>
        </is>
      </c>
      <c r="D88" s="144" t="inlineStr">
        <is>
          <t>руб</t>
        </is>
      </c>
      <c r="E88" s="107" t="n">
        <v>32.9505</v>
      </c>
      <c r="F88" s="161" t="n">
        <v>1</v>
      </c>
      <c r="G88" s="14">
        <f>ROUND(F88*E88,2)</f>
        <v/>
      </c>
      <c r="H88" s="156">
        <f>G88/$G$114</f>
        <v/>
      </c>
      <c r="I88" s="14">
        <f>ROUND(F88*Прил.10!$D$12,2)</f>
        <v/>
      </c>
      <c r="J88" s="14">
        <f>ROUND(I88*E88,2)</f>
        <v/>
      </c>
    </row>
    <row r="89" outlineLevel="1" ht="38.25" customFormat="1" customHeight="1" s="1">
      <c r="A89" s="144" t="n">
        <v>61</v>
      </c>
      <c r="B89" s="58" t="inlineStr">
        <is>
          <t>11.1.03.06-0095</t>
        </is>
      </c>
      <c r="C89" s="149" t="inlineStr">
        <is>
          <t>Доска обрезная, хвойных пород, ширина 75-150 мм, толщина 44 мм и более, длина 4-6,5 м, сорт III</t>
        </is>
      </c>
      <c r="D89" s="144" t="inlineStr">
        <is>
          <t>м3</t>
        </is>
      </c>
      <c r="E89" s="107" t="n">
        <v>0.02346</v>
      </c>
      <c r="F89" s="161" t="n">
        <v>1056</v>
      </c>
      <c r="G89" s="14">
        <f>ROUND(F89*E89,2)</f>
        <v/>
      </c>
      <c r="H89" s="156">
        <f>G89/$G$114</f>
        <v/>
      </c>
      <c r="I89" s="14">
        <f>ROUND(F89*Прил.10!$D$12,2)</f>
        <v/>
      </c>
      <c r="J89" s="14">
        <f>ROUND(I89*E89,2)</f>
        <v/>
      </c>
    </row>
    <row r="90" outlineLevel="1" ht="14.25" customFormat="1" customHeight="1" s="1">
      <c r="A90" s="144" t="n">
        <v>62</v>
      </c>
      <c r="B90" s="58" t="inlineStr">
        <is>
          <t>01.7.15.07-0014</t>
        </is>
      </c>
      <c r="C90" s="149" t="inlineStr">
        <is>
          <t>Дюбели распорные полипропиленовые</t>
        </is>
      </c>
      <c r="D90" s="144" t="inlineStr">
        <is>
          <t>100 шт.</t>
        </is>
      </c>
      <c r="E90" s="107" t="n">
        <v>0.2448</v>
      </c>
      <c r="F90" s="161" t="n">
        <v>86</v>
      </c>
      <c r="G90" s="14">
        <f>ROUND(F90*E90,2)</f>
        <v/>
      </c>
      <c r="H90" s="156">
        <f>G90/$G$114</f>
        <v/>
      </c>
      <c r="I90" s="14">
        <f>ROUND(F90*Прил.10!$D$12,2)</f>
        <v/>
      </c>
      <c r="J90" s="14">
        <f>ROUND(I90*E90,2)</f>
        <v/>
      </c>
    </row>
    <row r="91" outlineLevel="1" ht="89.25" customFormat="1" customHeight="1" s="1">
      <c r="A91" s="144" t="n">
        <v>63</v>
      </c>
      <c r="B91" s="58" t="inlineStr">
        <is>
          <t>08.4.01.02-0014</t>
        </is>
      </c>
      <c r="C91" s="14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      </is>
      </c>
      <c r="D91" s="144" t="inlineStr">
        <is>
          <t>т</t>
        </is>
      </c>
      <c r="E91" s="107" t="n">
        <v>0.002</v>
      </c>
      <c r="F91" s="161" t="n">
        <v>8073</v>
      </c>
      <c r="G91" s="14">
        <f>ROUND(F91*E91,2)</f>
        <v/>
      </c>
      <c r="H91" s="156">
        <f>G91/$G$114</f>
        <v/>
      </c>
      <c r="I91" s="14">
        <f>ROUND(F91*Прил.10!$D$12,2)</f>
        <v/>
      </c>
      <c r="J91" s="14">
        <f>ROUND(I91*E91,2)</f>
        <v/>
      </c>
    </row>
    <row r="92" outlineLevel="1" ht="14.25" customFormat="1" customHeight="1" s="1">
      <c r="A92" s="144" t="n">
        <v>64</v>
      </c>
      <c r="B92" s="58" t="inlineStr">
        <is>
          <t>01.7.15.06-0111</t>
        </is>
      </c>
      <c r="C92" s="149" t="inlineStr">
        <is>
          <t>Гвозди строительные</t>
        </is>
      </c>
      <c r="D92" s="144" t="inlineStr">
        <is>
          <t>т</t>
        </is>
      </c>
      <c r="E92" s="107" t="n">
        <v>0.001258</v>
      </c>
      <c r="F92" s="161" t="n">
        <v>11978</v>
      </c>
      <c r="G92" s="14">
        <f>ROUND(F92*E92,2)</f>
        <v/>
      </c>
      <c r="H92" s="156">
        <f>G92/$G$114</f>
        <v/>
      </c>
      <c r="I92" s="14">
        <f>ROUND(F92*Прил.10!$D$12,2)</f>
        <v/>
      </c>
      <c r="J92" s="14">
        <f>ROUND(I92*E92,2)</f>
        <v/>
      </c>
    </row>
    <row r="93" outlineLevel="1" ht="38.25" customFormat="1" customHeight="1" s="1">
      <c r="A93" s="144" t="n">
        <v>65</v>
      </c>
      <c r="B93" s="58" t="inlineStr">
        <is>
          <t>11.1.02.04-0031</t>
        </is>
      </c>
      <c r="C93" s="149" t="inlineStr">
        <is>
          <t>Лесоматериалы круглые хвойных пород для строительства диаметром 14-24 см, длиной 3-6,5 м</t>
        </is>
      </c>
      <c r="D93" s="144" t="inlineStr">
        <is>
          <t>м3</t>
        </is>
      </c>
      <c r="E93" s="107" t="n">
        <v>0.02346</v>
      </c>
      <c r="F93" s="161" t="n">
        <v>558.33</v>
      </c>
      <c r="G93" s="14">
        <f>ROUND(F93*E93,2)</f>
        <v/>
      </c>
      <c r="H93" s="156">
        <f>G93/$G$114</f>
        <v/>
      </c>
      <c r="I93" s="14">
        <f>ROUND(F93*Прил.10!$D$12,2)</f>
        <v/>
      </c>
      <c r="J93" s="14">
        <f>ROUND(I93*E93,2)</f>
        <v/>
      </c>
    </row>
    <row r="94" outlineLevel="1" ht="14.25" customFormat="1" customHeight="1" s="1">
      <c r="A94" s="144" t="n">
        <v>66</v>
      </c>
      <c r="B94" s="58" t="inlineStr">
        <is>
          <t>01.7.20.08-0031</t>
        </is>
      </c>
      <c r="C94" s="149" t="inlineStr">
        <is>
          <t xml:space="preserve">Бязь суровая </t>
        </is>
      </c>
      <c r="D94" s="144" t="inlineStr">
        <is>
          <t>10 м2</t>
        </is>
      </c>
      <c r="E94" s="107" t="n">
        <v>0.1485</v>
      </c>
      <c r="F94" s="161" t="n">
        <v>79.09999999999999</v>
      </c>
      <c r="G94" s="14">
        <f>ROUND(F94*E94,2)</f>
        <v/>
      </c>
      <c r="H94" s="156">
        <f>G94/$G$114</f>
        <v/>
      </c>
      <c r="I94" s="14">
        <f>ROUND(F94*Прил.10!$D$12,2)</f>
        <v/>
      </c>
      <c r="J94" s="14">
        <f>ROUND(I94*E94,2)</f>
        <v/>
      </c>
    </row>
    <row r="95" outlineLevel="1" ht="14.25" customFormat="1" customHeight="1" s="1">
      <c r="A95" s="144" t="n">
        <v>67</v>
      </c>
      <c r="B95" s="58" t="inlineStr">
        <is>
          <t>07.2.07.02-0001</t>
        </is>
      </c>
      <c r="C95" s="149" t="inlineStr">
        <is>
          <t>Кондуктор инвентарный металлический</t>
        </is>
      </c>
      <c r="D95" s="144" t="inlineStr">
        <is>
          <t>шт.</t>
        </is>
      </c>
      <c r="E95" s="107" t="n">
        <v>0.03055</v>
      </c>
      <c r="F95" s="161" t="n">
        <v>346</v>
      </c>
      <c r="G95" s="14">
        <f>ROUND(F95*E95,2)</f>
        <v/>
      </c>
      <c r="H95" s="156">
        <f>G95/$G$114</f>
        <v/>
      </c>
      <c r="I95" s="14">
        <f>ROUND(F95*Прил.10!$D$12,2)</f>
        <v/>
      </c>
      <c r="J95" s="14">
        <f>ROUND(I95*E95,2)</f>
        <v/>
      </c>
    </row>
    <row r="96" outlineLevel="1" ht="14.25" customFormat="1" customHeight="1" s="1">
      <c r="A96" s="144" t="n">
        <v>68</v>
      </c>
      <c r="B96" s="58" t="inlineStr">
        <is>
          <t>14.5.09.07-0029</t>
        </is>
      </c>
      <c r="C96" s="149" t="inlineStr">
        <is>
          <t>Растворитель марки Р-4</t>
        </is>
      </c>
      <c r="D96" s="144" t="inlineStr">
        <is>
          <t>т</t>
        </is>
      </c>
      <c r="E96" s="107" t="n">
        <v>0.001104</v>
      </c>
      <c r="F96" s="161" t="n">
        <v>9420</v>
      </c>
      <c r="G96" s="14">
        <f>ROUND(F96*E96,2)</f>
        <v/>
      </c>
      <c r="H96" s="156">
        <f>G96/$G$114</f>
        <v/>
      </c>
      <c r="I96" s="14">
        <f>ROUND(F96*Прил.10!$D$12,2)</f>
        <v/>
      </c>
      <c r="J96" s="14">
        <f>ROUND(I96*E96,2)</f>
        <v/>
      </c>
    </row>
    <row r="97" outlineLevel="1" ht="14.25" customFormat="1" customHeight="1" s="1">
      <c r="A97" s="144" t="n">
        <v>69</v>
      </c>
      <c r="B97" s="58" t="inlineStr">
        <is>
          <t>01.3.01.03-0002</t>
        </is>
      </c>
      <c r="C97" s="149" t="inlineStr">
        <is>
          <t>Керосин для технических целей</t>
        </is>
      </c>
      <c r="D97" s="144" t="inlineStr">
        <is>
          <t>т</t>
        </is>
      </c>
      <c r="E97" s="107" t="n">
        <v>0.003624</v>
      </c>
      <c r="F97" s="161" t="n">
        <v>2606.9</v>
      </c>
      <c r="G97" s="14">
        <f>ROUND(F97*E97,2)</f>
        <v/>
      </c>
      <c r="H97" s="156">
        <f>G97/$G$114</f>
        <v/>
      </c>
      <c r="I97" s="14">
        <f>ROUND(F97*Прил.10!$D$12,2)</f>
        <v/>
      </c>
      <c r="J97" s="14">
        <f>ROUND(I97*E97,2)</f>
        <v/>
      </c>
    </row>
    <row r="98" outlineLevel="1" ht="38.25" customFormat="1" customHeight="1" s="1">
      <c r="A98" s="144" t="n">
        <v>70</v>
      </c>
      <c r="B98" s="58" t="inlineStr">
        <is>
          <t>11.1.03.06-0087</t>
        </is>
      </c>
      <c r="C98" s="149" t="inlineStr">
        <is>
          <t>Доска обрезная, хвойных пород, ширина 75-150 мм, толщина 25 мм, длина 4-6,5 м, сорт III</t>
        </is>
      </c>
      <c r="D98" s="144" t="inlineStr">
        <is>
          <t>м3</t>
        </is>
      </c>
      <c r="E98" s="107" t="n">
        <v>0.0068</v>
      </c>
      <c r="F98" s="161" t="n">
        <v>1100</v>
      </c>
      <c r="G98" s="14">
        <f>ROUND(F98*E98,2)</f>
        <v/>
      </c>
      <c r="H98" s="156">
        <f>G98/$G$114</f>
        <v/>
      </c>
      <c r="I98" s="14">
        <f>ROUND(F98*Прил.10!$D$12,2)</f>
        <v/>
      </c>
      <c r="J98" s="14">
        <f>ROUND(I98*E98,2)</f>
        <v/>
      </c>
    </row>
    <row r="99" outlineLevel="1" ht="25.5" customFormat="1" customHeight="1" s="1">
      <c r="A99" s="144" t="n">
        <v>71</v>
      </c>
      <c r="B99" s="58" t="inlineStr">
        <is>
          <t>08.3.03.06-0002</t>
        </is>
      </c>
      <c r="C99" s="149" t="inlineStr">
        <is>
          <t>Проволока горячекатаная в мотках, диаметром 6,3-6,5 мм</t>
        </is>
      </c>
      <c r="D99" s="144" t="inlineStr">
        <is>
          <t>т</t>
        </is>
      </c>
      <c r="E99" s="107" t="n">
        <v>0.00136</v>
      </c>
      <c r="F99" s="161" t="n">
        <v>4455.2</v>
      </c>
      <c r="G99" s="14">
        <f>ROUND(F99*E99,2)</f>
        <v/>
      </c>
      <c r="H99" s="156">
        <f>G99/$G$114</f>
        <v/>
      </c>
      <c r="I99" s="14">
        <f>ROUND(F99*Прил.10!$D$12,2)</f>
        <v/>
      </c>
      <c r="J99" s="14">
        <f>ROUND(I99*E99,2)</f>
        <v/>
      </c>
    </row>
    <row r="100" outlineLevel="1" ht="14.25" customFormat="1" customHeight="1" s="1">
      <c r="A100" s="144" t="n">
        <v>72</v>
      </c>
      <c r="B100" s="58" t="inlineStr">
        <is>
          <t>20.1.02.23-0082</t>
        </is>
      </c>
      <c r="C100" s="149" t="inlineStr">
        <is>
          <t>Перемычки гибкие, тип ПГС-50</t>
        </is>
      </c>
      <c r="D100" s="144" t="inlineStr">
        <is>
          <t>10 шт.</t>
        </is>
      </c>
      <c r="E100" s="107" t="n">
        <v>0.1</v>
      </c>
      <c r="F100" s="161" t="n">
        <v>39</v>
      </c>
      <c r="G100" s="14">
        <f>ROUND(F100*E100,2)</f>
        <v/>
      </c>
      <c r="H100" s="156">
        <f>G100/$G$114</f>
        <v/>
      </c>
      <c r="I100" s="14">
        <f>ROUND(F100*Прил.10!$D$12,2)</f>
        <v/>
      </c>
      <c r="J100" s="14">
        <f>ROUND(I100*E100,2)</f>
        <v/>
      </c>
    </row>
    <row r="101" outlineLevel="1" ht="14.25" customFormat="1" customHeight="1" s="1">
      <c r="A101" s="144" t="n">
        <v>73</v>
      </c>
      <c r="B101" s="58" t="inlineStr">
        <is>
          <t>14.4.03.13-0002</t>
        </is>
      </c>
      <c r="C101" s="149" t="inlineStr">
        <is>
          <t>Лак ХВ-784</t>
        </is>
      </c>
      <c r="D101" s="144" t="inlineStr">
        <is>
          <t>т</t>
        </is>
      </c>
      <c r="E101" s="107" t="n">
        <v>0.000208</v>
      </c>
      <c r="F101" s="161" t="n">
        <v>18460</v>
      </c>
      <c r="G101" s="14">
        <f>ROUND(F101*E101,2)</f>
        <v/>
      </c>
      <c r="H101" s="156">
        <f>G101/$G$114</f>
        <v/>
      </c>
      <c r="I101" s="14">
        <f>ROUND(F101*Прил.10!$D$12,2)</f>
        <v/>
      </c>
      <c r="J101" s="14">
        <f>ROUND(I101*E101,2)</f>
        <v/>
      </c>
    </row>
    <row r="102" outlineLevel="1" ht="38.25" customFormat="1" customHeight="1" s="1">
      <c r="A102" s="144" t="n">
        <v>74</v>
      </c>
      <c r="B102" s="58" t="inlineStr">
        <is>
          <t>11.1.03.01-0079</t>
        </is>
      </c>
      <c r="C102" s="149" t="inlineStr">
        <is>
          <t>Бруски обрезные хвойных пород длиной 4-6,5 м, шириной 75-150 мм, толщиной 40-75 мм, III сорта</t>
        </is>
      </c>
      <c r="D102" s="144" t="inlineStr">
        <is>
          <t>м3</t>
        </is>
      </c>
      <c r="E102" s="107" t="n">
        <v>0.00272</v>
      </c>
      <c r="F102" s="161" t="n">
        <v>1287</v>
      </c>
      <c r="G102" s="14">
        <f>ROUND(F102*E102,2)</f>
        <v/>
      </c>
      <c r="H102" s="156">
        <f>G102/$G$114</f>
        <v/>
      </c>
      <c r="I102" s="14">
        <f>ROUND(F102*Прил.10!$D$12,2)</f>
        <v/>
      </c>
      <c r="J102" s="14">
        <f>ROUND(I102*E102,2)</f>
        <v/>
      </c>
    </row>
    <row r="103" outlineLevel="1" ht="14.25" customFormat="1" customHeight="1" s="1">
      <c r="A103" s="144" t="n">
        <v>75</v>
      </c>
      <c r="B103" s="58" t="inlineStr">
        <is>
          <t>01.7.11.07-0054</t>
        </is>
      </c>
      <c r="C103" s="149" t="inlineStr">
        <is>
          <t>Электроды сварочные Э42, диаметр 6 мм</t>
        </is>
      </c>
      <c r="D103" s="144" t="inlineStr">
        <is>
          <t>т</t>
        </is>
      </c>
      <c r="E103" s="107" t="n">
        <v>0.000136</v>
      </c>
      <c r="F103" s="161" t="n">
        <v>9424</v>
      </c>
      <c r="G103" s="14">
        <f>ROUND(F103*E103,2)</f>
        <v/>
      </c>
      <c r="H103" s="156">
        <f>G103/$G$114</f>
        <v/>
      </c>
      <c r="I103" s="14">
        <f>ROUND(F103*Прил.10!$D$12,2)</f>
        <v/>
      </c>
      <c r="J103" s="14">
        <f>ROUND(I103*E103,2)</f>
        <v/>
      </c>
    </row>
    <row r="104" outlineLevel="1" ht="14.25" customFormat="1" customHeight="1" s="1">
      <c r="A104" s="144" t="n">
        <v>76</v>
      </c>
      <c r="B104" s="58" t="inlineStr">
        <is>
          <t>01.7.07.12-0024</t>
        </is>
      </c>
      <c r="C104" s="149" t="inlineStr">
        <is>
          <t>Пленка полиэтиленовая толщиной 0,15 мм</t>
        </is>
      </c>
      <c r="D104" s="144" t="inlineStr">
        <is>
          <t>м2</t>
        </is>
      </c>
      <c r="E104" s="107" t="n">
        <v>0.3434</v>
      </c>
      <c r="F104" s="161" t="n">
        <v>3.62</v>
      </c>
      <c r="G104" s="14">
        <f>ROUND(F104*E104,2)</f>
        <v/>
      </c>
      <c r="H104" s="156">
        <f>G104/$G$114</f>
        <v/>
      </c>
      <c r="I104" s="14">
        <f>ROUND(F104*Прил.10!$D$12,2)</f>
        <v/>
      </c>
      <c r="J104" s="14">
        <f>ROUND(I104*E104,2)</f>
        <v/>
      </c>
    </row>
    <row r="105" outlineLevel="1" ht="25.5" customFormat="1" customHeight="1" s="1">
      <c r="A105" s="144" t="n">
        <v>77</v>
      </c>
      <c r="B105" s="58" t="inlineStr">
        <is>
          <t>03.1.02.03-0011</t>
        </is>
      </c>
      <c r="C105" s="149" t="inlineStr">
        <is>
          <t>Известь строительная негашеная комовая, сорт I</t>
        </is>
      </c>
      <c r="D105" s="144" t="inlineStr">
        <is>
          <t>т</t>
        </is>
      </c>
      <c r="E105" s="107" t="n">
        <v>0.001564</v>
      </c>
      <c r="F105" s="161" t="n">
        <v>734.5</v>
      </c>
      <c r="G105" s="14">
        <f>ROUND(F105*E105,2)</f>
        <v/>
      </c>
      <c r="H105" s="156">
        <f>G105/$G$114</f>
        <v/>
      </c>
      <c r="I105" s="14">
        <f>ROUND(F105*Прил.10!$D$12,2)</f>
        <v/>
      </c>
      <c r="J105" s="14">
        <f>ROUND(I105*E105,2)</f>
        <v/>
      </c>
    </row>
    <row r="106" outlineLevel="1" ht="14.25" customFormat="1" customHeight="1" s="1">
      <c r="A106" s="144" t="n">
        <v>78</v>
      </c>
      <c r="B106" s="58" t="inlineStr">
        <is>
          <t>01.7.11.07-0032</t>
        </is>
      </c>
      <c r="C106" s="149" t="inlineStr">
        <is>
          <t>Электроды сварочные Э42, диаметр 4 мм</t>
        </is>
      </c>
      <c r="D106" s="144" t="inlineStr">
        <is>
          <t>т</t>
        </is>
      </c>
      <c r="E106" s="107" t="n">
        <v>0.00011</v>
      </c>
      <c r="F106" s="161" t="n">
        <v>10315.01</v>
      </c>
      <c r="G106" s="14">
        <f>ROUND(F106*E106,2)</f>
        <v/>
      </c>
      <c r="H106" s="156">
        <f>G106/$G$114</f>
        <v/>
      </c>
      <c r="I106" s="14">
        <f>ROUND(F106*Прил.10!$D$12,2)</f>
        <v/>
      </c>
      <c r="J106" s="14">
        <f>ROUND(I106*E106,2)</f>
        <v/>
      </c>
    </row>
    <row r="107" outlineLevel="1" ht="14.25" customFormat="1" customHeight="1" s="1">
      <c r="A107" s="144" t="n">
        <v>79</v>
      </c>
      <c r="B107" s="58" t="inlineStr">
        <is>
          <t>01.7.03.01-0001</t>
        </is>
      </c>
      <c r="C107" s="149" t="inlineStr">
        <is>
          <t>Вода</t>
        </is>
      </c>
      <c r="D107" s="144" t="inlineStr">
        <is>
          <t>м3</t>
        </is>
      </c>
      <c r="E107" s="107" t="n">
        <v>0.464258</v>
      </c>
      <c r="F107" s="161" t="n">
        <v>2.44</v>
      </c>
      <c r="G107" s="14">
        <f>ROUND(F107*E107,2)</f>
        <v/>
      </c>
      <c r="H107" s="156">
        <f>G107/$G$114</f>
        <v/>
      </c>
      <c r="I107" s="14">
        <f>ROUND(F107*Прил.10!$D$12,2)</f>
        <v/>
      </c>
      <c r="J107" s="14">
        <f>ROUND(I107*E107,2)</f>
        <v/>
      </c>
    </row>
    <row r="108" outlineLevel="1" ht="14.25" customFormat="1" customHeight="1" s="1">
      <c r="A108" s="144" t="n">
        <v>80</v>
      </c>
      <c r="B108" s="58" t="inlineStr">
        <is>
          <t>24.3.01.01-0001</t>
        </is>
      </c>
      <c r="C108" s="149" t="inlineStr">
        <is>
          <t>Трубка ХВТ</t>
        </is>
      </c>
      <c r="D108" s="144" t="inlineStr">
        <is>
          <t>кг</t>
        </is>
      </c>
      <c r="E108" s="107" t="n">
        <v>0.016</v>
      </c>
      <c r="F108" s="161" t="n">
        <v>41.7</v>
      </c>
      <c r="G108" s="14">
        <f>ROUND(F108*E108,2)</f>
        <v/>
      </c>
      <c r="H108" s="156">
        <f>G108/$G$114</f>
        <v/>
      </c>
      <c r="I108" s="14">
        <f>ROUND(F108*Прил.10!$D$12,2)</f>
        <v/>
      </c>
      <c r="J108" s="14">
        <f>ROUND(I108*E108,2)</f>
        <v/>
      </c>
    </row>
    <row r="109" outlineLevel="1" ht="14.25" customFormat="1" customHeight="1" s="1">
      <c r="A109" s="144" t="n">
        <v>81</v>
      </c>
      <c r="B109" s="58" t="inlineStr">
        <is>
          <t>01.7.06.07-0001</t>
        </is>
      </c>
      <c r="C109" s="149" t="inlineStr">
        <is>
          <t>Лента К226</t>
        </is>
      </c>
      <c r="D109" s="144" t="inlineStr">
        <is>
          <t>100 м</t>
        </is>
      </c>
      <c r="E109" s="107" t="n">
        <v>0.0048</v>
      </c>
      <c r="F109" s="161" t="n">
        <v>120</v>
      </c>
      <c r="G109" s="14">
        <f>ROUND(F109*E109,2)</f>
        <v/>
      </c>
      <c r="H109" s="156">
        <f>G109/$G$114</f>
        <v/>
      </c>
      <c r="I109" s="14">
        <f>ROUND(F109*Прил.10!$D$12,2)</f>
        <v/>
      </c>
      <c r="J109" s="14">
        <f>ROUND(I109*E109,2)</f>
        <v/>
      </c>
    </row>
    <row r="110" outlineLevel="1" ht="25.5" customFormat="1" customHeight="1" s="1">
      <c r="A110" s="144" t="n">
        <v>82</v>
      </c>
      <c r="B110" s="58" t="inlineStr">
        <is>
          <t>01.2.01.02-0054</t>
        </is>
      </c>
      <c r="C110" s="149" t="inlineStr">
        <is>
          <t>Битумы нефтяные строительные марки БН-90/10</t>
        </is>
      </c>
      <c r="D110" s="144" t="inlineStr">
        <is>
          <t>т</t>
        </is>
      </c>
      <c r="E110" s="107" t="n">
        <v>0.000416</v>
      </c>
      <c r="F110" s="161" t="n">
        <v>1383.1</v>
      </c>
      <c r="G110" s="14">
        <f>ROUND(F110*E110,2)</f>
        <v/>
      </c>
      <c r="H110" s="156">
        <f>G110/$G$114</f>
        <v/>
      </c>
      <c r="I110" s="14">
        <f>ROUND(F110*Прил.10!$D$12,2)</f>
        <v/>
      </c>
      <c r="J110" s="14">
        <f>ROUND(I110*E110,2)</f>
        <v/>
      </c>
    </row>
    <row r="111" outlineLevel="1" ht="51" customFormat="1" customHeight="1" s="1">
      <c r="A111" s="144" t="n">
        <v>83</v>
      </c>
      <c r="B111" s="58" t="inlineStr">
        <is>
          <t>01.7.15.14-0043</t>
        </is>
      </c>
      <c r="C111" s="149" t="inlineStr">
        <is>
          <t>Шурупы самонарезающий прокалывающий, для крепления металлических профилей или листовых деталей 3,5/11 мм</t>
        </is>
      </c>
      <c r="D111" s="144" t="inlineStr">
        <is>
          <t>100 шт.</t>
        </is>
      </c>
      <c r="E111" s="107" t="n">
        <v>0.2448</v>
      </c>
      <c r="F111" s="161" t="n">
        <v>2</v>
      </c>
      <c r="G111" s="14">
        <f>ROUND(F111*E111,2)</f>
        <v/>
      </c>
      <c r="H111" s="156">
        <f>G111/$G$114</f>
        <v/>
      </c>
      <c r="I111" s="14">
        <f>ROUND(F111*Прил.10!$D$12,2)</f>
        <v/>
      </c>
      <c r="J111" s="14">
        <f>ROUND(I111*E111,2)</f>
        <v/>
      </c>
    </row>
    <row r="112" outlineLevel="1" ht="14.25" customFormat="1" customHeight="1" s="1">
      <c r="A112" s="144" t="n">
        <v>84</v>
      </c>
      <c r="B112" s="58" t="inlineStr">
        <is>
          <t>01.7.20.08-0051</t>
        </is>
      </c>
      <c r="C112" s="149" t="inlineStr">
        <is>
          <t>Ветошь</t>
        </is>
      </c>
      <c r="D112" s="144" t="inlineStr">
        <is>
          <t>кг</t>
        </is>
      </c>
      <c r="E112" s="107" t="n">
        <v>0.0151</v>
      </c>
      <c r="F112" s="161" t="n">
        <v>1.82</v>
      </c>
      <c r="G112" s="14">
        <f>ROUND(F112*E112,2)</f>
        <v/>
      </c>
      <c r="H112" s="156">
        <f>G112/$G$114</f>
        <v/>
      </c>
      <c r="I112" s="14">
        <f>ROUND(F112*Прил.10!$D$12,2)</f>
        <v/>
      </c>
      <c r="J112" s="14">
        <f>ROUND(I112*E112,2)</f>
        <v/>
      </c>
    </row>
    <row r="113" ht="14.25" customFormat="1" customHeight="1" s="1">
      <c r="A113" s="144" t="n"/>
      <c r="B113" s="144" t="n"/>
      <c r="C113" s="149" t="inlineStr">
        <is>
          <t>Итого прочие материалы</t>
        </is>
      </c>
      <c r="D113" s="144" t="n"/>
      <c r="E113" s="150" t="n"/>
      <c r="F113" s="151" t="n"/>
      <c r="G113" s="14">
        <f>SUM(G66:G112)</f>
        <v/>
      </c>
      <c r="H113" s="156">
        <f>G113/G114</f>
        <v/>
      </c>
      <c r="I113" s="14" t="n"/>
      <c r="J113" s="14">
        <f>SUM(J66:J112)</f>
        <v/>
      </c>
    </row>
    <row r="114" ht="14.25" customFormat="1" customHeight="1" s="1">
      <c r="A114" s="144" t="n"/>
      <c r="B114" s="144" t="n"/>
      <c r="C114" s="139" t="inlineStr">
        <is>
          <t>Итого по разделу «Материалы»</t>
        </is>
      </c>
      <c r="D114" s="144" t="n"/>
      <c r="E114" s="150" t="n"/>
      <c r="F114" s="151" t="n"/>
      <c r="G114" s="14">
        <f>G65+G113</f>
        <v/>
      </c>
      <c r="H114" s="156" t="n">
        <v>1</v>
      </c>
      <c r="I114" s="151" t="n"/>
      <c r="J114" s="14">
        <f>J65+J113</f>
        <v/>
      </c>
      <c r="K114" s="57" t="n"/>
    </row>
    <row r="115" ht="14.25" customFormat="1" customHeight="1" s="1">
      <c r="A115" s="144" t="n"/>
      <c r="B115" s="144" t="n"/>
      <c r="C115" s="149" t="inlineStr">
        <is>
          <t>ИТОГО ПО РМ</t>
        </is>
      </c>
      <c r="D115" s="144" t="n"/>
      <c r="E115" s="150" t="n"/>
      <c r="F115" s="151" t="n"/>
      <c r="G115" s="14">
        <f>G14+G45+G114</f>
        <v/>
      </c>
      <c r="H115" s="156" t="n"/>
      <c r="I115" s="151" t="n"/>
      <c r="J115" s="14">
        <f>J14+J45+J114</f>
        <v/>
      </c>
    </row>
    <row r="116" ht="14.25" customFormat="1" customHeight="1" s="1">
      <c r="A116" s="144" t="n"/>
      <c r="B116" s="144" t="n"/>
      <c r="C116" s="149" t="inlineStr">
        <is>
          <t>Накладные расходы</t>
        </is>
      </c>
      <c r="D116" s="144" t="inlineStr">
        <is>
          <t>%</t>
        </is>
      </c>
      <c r="E116" s="113">
        <f>ROUND(G116/(G14+G16),2)</f>
        <v/>
      </c>
      <c r="F116" s="151" t="n"/>
      <c r="G116" s="14" t="n">
        <v>3589</v>
      </c>
      <c r="H116" s="156" t="n"/>
      <c r="I116" s="151" t="n"/>
      <c r="J116" s="14">
        <f>ROUND(E116*(J14+J16),2)</f>
        <v/>
      </c>
      <c r="K116" s="59" t="n"/>
    </row>
    <row r="117" ht="14.25" customFormat="1" customHeight="1" s="1">
      <c r="A117" s="144" t="n"/>
      <c r="B117" s="144" t="n"/>
      <c r="C117" s="149" t="inlineStr">
        <is>
          <t>Сметная прибыль</t>
        </is>
      </c>
      <c r="D117" s="144" t="inlineStr">
        <is>
          <t>%</t>
        </is>
      </c>
      <c r="E117" s="113">
        <f>ROUND(G117/(G14+G16),2)</f>
        <v/>
      </c>
      <c r="F117" s="151" t="n"/>
      <c r="G117" s="14" t="n">
        <v>2402</v>
      </c>
      <c r="H117" s="156" t="n"/>
      <c r="I117" s="151" t="n"/>
      <c r="J117" s="14">
        <f>ROUND(E117*(J14+J16),2)</f>
        <v/>
      </c>
      <c r="K117" s="59" t="n"/>
    </row>
    <row r="118" ht="14.25" customFormat="1" customHeight="1" s="1">
      <c r="A118" s="144" t="n"/>
      <c r="B118" s="144" t="n"/>
      <c r="C118" s="149" t="inlineStr">
        <is>
          <t>Итого СМР (с НР и СП)</t>
        </is>
      </c>
      <c r="D118" s="144" t="n"/>
      <c r="E118" s="150" t="n"/>
      <c r="F118" s="151" t="n"/>
      <c r="G118" s="14">
        <f>G14+G45+G114+G116+G117</f>
        <v/>
      </c>
      <c r="H118" s="156" t="n"/>
      <c r="I118" s="151" t="n"/>
      <c r="J118" s="14">
        <f>J14+J45+J114+J116+J117</f>
        <v/>
      </c>
      <c r="L118" s="60" t="n"/>
    </row>
    <row r="119" ht="14.25" customFormat="1" customHeight="1" s="1">
      <c r="A119" s="144" t="n"/>
      <c r="B119" s="144" t="n"/>
      <c r="C119" s="149" t="inlineStr">
        <is>
          <t>ВСЕГО СМР + ОБОРУДОВАНИЕ</t>
        </is>
      </c>
      <c r="D119" s="144" t="n"/>
      <c r="E119" s="150" t="n"/>
      <c r="F119" s="151" t="n"/>
      <c r="G119" s="14">
        <f>G118+G52</f>
        <v/>
      </c>
      <c r="H119" s="156" t="n"/>
      <c r="I119" s="151" t="n"/>
      <c r="J119" s="14">
        <f>J118+J52</f>
        <v/>
      </c>
      <c r="L119" s="59" t="n"/>
    </row>
    <row r="120" ht="14.25" customFormat="1" customHeight="1" s="1">
      <c r="A120" s="144" t="n"/>
      <c r="B120" s="144" t="n"/>
      <c r="C120" s="149" t="inlineStr">
        <is>
          <t>ИТОГО ПОКАЗАТЕЛЬ НА ЕД. ИЗМ.</t>
        </is>
      </c>
      <c r="D120" s="144" t="inlineStr">
        <is>
          <t>ед.</t>
        </is>
      </c>
      <c r="E120" s="114">
        <f>'Прил.1 Сравнит табл'!D15</f>
        <v/>
      </c>
      <c r="F120" s="151" t="n"/>
      <c r="G120" s="14">
        <f>G119/E120</f>
        <v/>
      </c>
      <c r="H120" s="156" t="n"/>
      <c r="I120" s="151" t="n"/>
      <c r="J120" s="14">
        <f>J119/E120</f>
        <v/>
      </c>
      <c r="L120" s="59" t="n"/>
    </row>
    <row r="122" ht="14.25" customFormat="1" customHeight="1" s="1">
      <c r="A122" s="10" t="n"/>
    </row>
    <row r="123" ht="14.25" customFormat="1" customHeight="1" s="1">
      <c r="A123" s="6" t="inlineStr">
        <is>
          <t>Составил ______________________        Е. М. Добровольская</t>
        </is>
      </c>
    </row>
    <row r="124" ht="14.25" customFormat="1" customHeight="1" s="1">
      <c r="A124" s="91" t="inlineStr">
        <is>
          <t xml:space="preserve">                         (подпись, инициалы, фамилия)</t>
        </is>
      </c>
    </row>
    <row r="125" ht="14.25" customFormat="1" customHeight="1" s="1">
      <c r="A125" s="6" t="n"/>
    </row>
    <row r="126" ht="14.25" customFormat="1" customHeight="1" s="1">
      <c r="A126" s="6" t="inlineStr">
        <is>
          <t>Проверил ______________________        А.В. Костянецкая</t>
        </is>
      </c>
    </row>
    <row r="127" ht="14.25" customFormat="1" customHeight="1" s="1">
      <c r="A127" s="91" t="inlineStr">
        <is>
          <t xml:space="preserve">                        (подпись, инициалы, фамилия)</t>
        </is>
      </c>
    </row>
  </sheetData>
  <mergeCells count="20">
    <mergeCell ref="H9:H10"/>
    <mergeCell ref="B55:H55"/>
    <mergeCell ref="B15:H15"/>
    <mergeCell ref="C9:C10"/>
    <mergeCell ref="E9:E10"/>
    <mergeCell ref="A7:H7"/>
    <mergeCell ref="B9:B10"/>
    <mergeCell ref="D9:D10"/>
    <mergeCell ref="B18:H18"/>
    <mergeCell ref="B12:H12"/>
    <mergeCell ref="D6:J6"/>
    <mergeCell ref="B47:J47"/>
    <mergeCell ref="F9:G9"/>
    <mergeCell ref="B54:J54"/>
    <mergeCell ref="A4:H4"/>
    <mergeCell ref="B17:H17"/>
    <mergeCell ref="A9:A10"/>
    <mergeCell ref="B46:J46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zoomScaleNormal="100" zoomScaleSheetLayoutView="100" workbookViewId="0">
      <selection activeCell="B21" sqref="B21"/>
    </sheetView>
  </sheetViews>
  <sheetFormatPr baseColWidth="8" defaultRowHeight="15"/>
  <cols>
    <col width="5.7109375" customWidth="1" min="1" max="1"/>
    <col width="17.4257812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3" t="inlineStr">
        <is>
          <t>Приложение №6</t>
        </is>
      </c>
    </row>
    <row r="2" ht="21.75" customHeight="1">
      <c r="A2" s="163" t="n"/>
      <c r="B2" s="163" t="n"/>
      <c r="C2" s="163" t="n"/>
      <c r="D2" s="163" t="n"/>
      <c r="E2" s="163" t="n"/>
      <c r="F2" s="163" t="n"/>
      <c r="G2" s="163" t="n"/>
    </row>
    <row r="3">
      <c r="A3" s="140" t="inlineStr">
        <is>
          <t>Расчет стоимости оборудования</t>
        </is>
      </c>
    </row>
    <row r="4" ht="25.5" customHeight="1">
      <c r="A4" s="162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4" t="inlineStr">
        <is>
          <t>№ пп.</t>
        </is>
      </c>
      <c r="B6" s="164" t="inlineStr">
        <is>
          <t>Код ресурса</t>
        </is>
      </c>
      <c r="C6" s="164" t="inlineStr">
        <is>
          <t>Наименование</t>
        </is>
      </c>
      <c r="D6" s="164" t="inlineStr">
        <is>
          <t>Ед. изм.</t>
        </is>
      </c>
      <c r="E6" s="144" t="inlineStr">
        <is>
          <t>Кол-во единиц по проектным данным</t>
        </is>
      </c>
      <c r="F6" s="164" t="inlineStr">
        <is>
          <t>Сметная стоимость в ценах на 01.01.2000 (руб.)</t>
        </is>
      </c>
      <c r="G6" s="171" t="n"/>
    </row>
    <row r="7">
      <c r="A7" s="173" t="n"/>
      <c r="B7" s="173" t="n"/>
      <c r="C7" s="173" t="n"/>
      <c r="D7" s="173" t="n"/>
      <c r="E7" s="173" t="n"/>
      <c r="F7" s="144" t="inlineStr">
        <is>
          <t>на ед. изм.</t>
        </is>
      </c>
      <c r="G7" s="144" t="inlineStr">
        <is>
          <t>общая</t>
        </is>
      </c>
    </row>
    <row r="8">
      <c r="A8" s="144" t="n">
        <v>1</v>
      </c>
      <c r="B8" s="144" t="n">
        <v>2</v>
      </c>
      <c r="C8" s="144" t="n">
        <v>3</v>
      </c>
      <c r="D8" s="144" t="n">
        <v>4</v>
      </c>
      <c r="E8" s="144" t="n">
        <v>5</v>
      </c>
      <c r="F8" s="144" t="n">
        <v>6</v>
      </c>
      <c r="G8" s="144" t="n">
        <v>7</v>
      </c>
    </row>
    <row r="9" ht="15" customHeight="1">
      <c r="A9" s="7" t="n"/>
      <c r="B9" s="149" t="inlineStr">
        <is>
          <t>ИНЖЕНЕРНОЕ ОБОРУДОВАНИЕ</t>
        </is>
      </c>
      <c r="C9" s="170" t="n"/>
      <c r="D9" s="170" t="n"/>
      <c r="E9" s="170" t="n"/>
      <c r="F9" s="170" t="n"/>
      <c r="G9" s="171" t="n"/>
    </row>
    <row r="10" ht="27" customHeight="1">
      <c r="A10" s="144" t="n"/>
      <c r="B10" s="139" t="n"/>
      <c r="C10" s="149" t="inlineStr">
        <is>
          <t>ИТОГО ИНЖЕНЕРНОЕ ОБОРУДОВАНИЕ</t>
        </is>
      </c>
      <c r="D10" s="139" t="n"/>
      <c r="E10" s="8" t="n"/>
      <c r="F10" s="151" t="n"/>
      <c r="G10" s="151" t="n">
        <v>0</v>
      </c>
    </row>
    <row r="11">
      <c r="A11" s="144" t="n"/>
      <c r="B11" s="149" t="inlineStr">
        <is>
          <t>ТЕХНОЛОГИЧЕСКОЕ ОБОРУДОВАНИЕ</t>
        </is>
      </c>
      <c r="C11" s="170" t="n"/>
      <c r="D11" s="170" t="n"/>
      <c r="E11" s="170" t="n"/>
      <c r="F11" s="170" t="n"/>
      <c r="G11" s="171" t="n"/>
    </row>
    <row r="12" ht="38.25" customHeight="1">
      <c r="A12" s="144" t="n">
        <v>1</v>
      </c>
      <c r="B12" s="58" t="inlineStr">
        <is>
          <t>БЦ.64.1124</t>
        </is>
      </c>
      <c r="C12" s="149" t="inlineStr">
        <is>
          <t xml:space="preserve">Разъединители трёхполюсные с одним заземляющим ножом напряжением 220 кВ, 2500 А, 50 кА </t>
        </is>
      </c>
      <c r="D12" s="12" t="inlineStr">
        <is>
          <t>компл</t>
        </is>
      </c>
      <c r="E12" s="93" t="inlineStr">
        <is>
          <t>3</t>
        </is>
      </c>
      <c r="F12" s="14">
        <f>'Прил.5 Расчет СМР и ОБ'!F48</f>
        <v/>
      </c>
      <c r="G12" s="14">
        <f>ROUND(E12*F12,2)</f>
        <v/>
      </c>
    </row>
    <row r="13">
      <c r="A13" s="144">
        <f>A12+1</f>
        <v/>
      </c>
      <c r="B13" s="58" t="inlineStr">
        <is>
          <t>БЦ.30_1.159</t>
        </is>
      </c>
      <c r="C13" s="149" t="inlineStr">
        <is>
          <t>Шкаф управления разъединителями</t>
        </is>
      </c>
      <c r="D13" s="12" t="inlineStr">
        <is>
          <t>шт.</t>
        </is>
      </c>
      <c r="E13" s="93" t="n">
        <v>3</v>
      </c>
      <c r="F13" s="14">
        <f>'Прил.5 Расчет СМР и ОБ'!F50</f>
        <v/>
      </c>
      <c r="G13" s="14">
        <f>ROUND(E13*F13,2)</f>
        <v/>
      </c>
    </row>
    <row r="14" ht="25.5" customHeight="1">
      <c r="A14" s="144">
        <f>A13+1</f>
        <v/>
      </c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51" t="n"/>
      <c r="G14" s="14">
        <f>SUM(G12:G13)</f>
        <v/>
      </c>
    </row>
    <row r="15" ht="19.5" customHeight="1">
      <c r="A15" s="144">
        <f>A14+1</f>
        <v/>
      </c>
      <c r="B15" s="149" t="n"/>
      <c r="C15" s="149" t="inlineStr">
        <is>
          <t>Всего по разделу «Оборудование»</t>
        </is>
      </c>
      <c r="D15" s="149" t="n"/>
      <c r="E15" s="161" t="n"/>
      <c r="F15" s="151" t="n"/>
      <c r="G15" s="14">
        <f>G10+G14</f>
        <v/>
      </c>
    </row>
    <row r="16">
      <c r="A16" s="10" t="n"/>
      <c r="B16" s="11" t="n"/>
      <c r="C16" s="10" t="n"/>
      <c r="D16" s="10" t="n"/>
      <c r="E16" s="10" t="n"/>
      <c r="F16" s="10" t="n"/>
      <c r="G16" s="10" t="n"/>
    </row>
    <row r="17">
      <c r="A17" s="6" t="inlineStr">
        <is>
          <t>Составил ______________________        Е. М. Добровольская</t>
        </is>
      </c>
      <c r="B17" s="1" t="n"/>
      <c r="C17" s="1" t="n"/>
      <c r="D17" s="10" t="n"/>
      <c r="E17" s="10" t="n"/>
      <c r="F17" s="10" t="n"/>
      <c r="G17" s="10" t="n"/>
    </row>
    <row r="18">
      <c r="A18" s="91" t="inlineStr">
        <is>
          <t xml:space="preserve">                         (подпись, инициалы, фамилия)</t>
        </is>
      </c>
      <c r="B18" s="1" t="n"/>
      <c r="C18" s="1" t="n"/>
      <c r="D18" s="10" t="n"/>
      <c r="E18" s="10" t="n"/>
      <c r="F18" s="10" t="n"/>
      <c r="G18" s="10" t="n"/>
    </row>
    <row r="19">
      <c r="A19" s="6" t="n"/>
      <c r="B19" s="1" t="n"/>
      <c r="C19" s="1" t="n"/>
      <c r="D19" s="10" t="n"/>
      <c r="E19" s="10" t="n"/>
      <c r="F19" s="10" t="n"/>
      <c r="G19" s="10" t="n"/>
    </row>
    <row r="20">
      <c r="A20" s="6" t="inlineStr">
        <is>
          <t>Проверил ______________________        А.В. Костянецкая</t>
        </is>
      </c>
      <c r="B20" s="1" t="n"/>
      <c r="C20" s="1" t="n"/>
      <c r="D20" s="10" t="n"/>
      <c r="E20" s="10" t="n"/>
      <c r="F20" s="10" t="n"/>
      <c r="G20" s="10" t="n"/>
    </row>
    <row r="21">
      <c r="A21" s="91" t="inlineStr">
        <is>
          <t xml:space="preserve">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Normal="100" zoomScaleSheetLayoutView="100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6" t="n"/>
      <c r="C1" s="6" t="n"/>
      <c r="D1" s="163" t="inlineStr">
        <is>
          <t>Приложение №7</t>
        </is>
      </c>
    </row>
    <row r="2">
      <c r="A2" s="163" t="n"/>
      <c r="B2" s="163" t="n"/>
      <c r="C2" s="163" t="n"/>
      <c r="D2" s="163" t="n"/>
    </row>
    <row r="3" ht="24.75" customHeight="1">
      <c r="A3" s="140" t="inlineStr">
        <is>
          <t>Расчет показателя УНЦ</t>
        </is>
      </c>
    </row>
    <row r="4" ht="24.75" customHeight="1">
      <c r="A4" s="140" t="n"/>
      <c r="B4" s="140" t="n"/>
      <c r="C4" s="140" t="n"/>
      <c r="D4" s="140" t="n"/>
    </row>
    <row r="5" ht="61.5" customHeight="1">
      <c r="A5" s="143" t="inlineStr">
        <is>
          <t xml:space="preserve">Наименование разрабатываемого показателя УНЦ - </t>
        </is>
      </c>
      <c r="D5" s="143">
        <f>'Прил.5 Расчет СМР и ОБ'!D6:J6</f>
        <v/>
      </c>
    </row>
    <row r="6" ht="19.9" customHeight="1">
      <c r="A6" s="143" t="inlineStr">
        <is>
          <t>Единица измерения  — 1 ед</t>
        </is>
      </c>
      <c r="D6" s="143" t="n"/>
    </row>
    <row r="7">
      <c r="A7" s="6" t="n"/>
      <c r="B7" s="6" t="n"/>
      <c r="C7" s="6" t="n"/>
      <c r="D7" s="6" t="n"/>
    </row>
    <row r="8" ht="14.45" customHeight="1">
      <c r="A8" s="133" t="inlineStr">
        <is>
          <t>Код показателя</t>
        </is>
      </c>
      <c r="B8" s="133" t="inlineStr">
        <is>
          <t>Наименование показателя</t>
        </is>
      </c>
      <c r="C8" s="133" t="inlineStr">
        <is>
          <t>Наименование РМ, входящих в состав показателя</t>
        </is>
      </c>
      <c r="D8" s="133" t="inlineStr">
        <is>
          <t>Норматив цены на 01.01.2023, тыс.руб.</t>
        </is>
      </c>
    </row>
    <row r="9" ht="15" customHeight="1">
      <c r="A9" s="173" t="n"/>
      <c r="B9" s="173" t="n"/>
      <c r="C9" s="173" t="n"/>
      <c r="D9" s="173" t="n"/>
    </row>
    <row r="10">
      <c r="A10" s="144" t="n">
        <v>1</v>
      </c>
      <c r="B10" s="144" t="n">
        <v>2</v>
      </c>
      <c r="C10" s="144" t="n">
        <v>3</v>
      </c>
      <c r="D10" s="144" t="n">
        <v>4</v>
      </c>
    </row>
    <row r="11" ht="41.45" customHeight="1">
      <c r="A11" s="144" t="inlineStr">
        <is>
          <t>И5-05-4</t>
        </is>
      </c>
      <c r="B11" s="144" t="inlineStr">
        <is>
          <t xml:space="preserve">УНЦ элементов ПС с устройством фундаментов </t>
        </is>
      </c>
      <c r="C11" s="117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Е. М. Добровольская</t>
        </is>
      </c>
      <c r="B13" s="1" t="n"/>
      <c r="C13" s="1" t="n"/>
      <c r="D13" s="10" t="n"/>
    </row>
    <row r="14">
      <c r="A14" s="91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1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C22" sqref="C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8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33" t="inlineStr">
        <is>
          <t>Наименование индекса / норм сопутствующих затрат</t>
        </is>
      </c>
      <c r="C8" s="133" t="inlineStr">
        <is>
          <t>Дата применения и обоснование индекса / норм сопутствующих затрат</t>
        </is>
      </c>
      <c r="D8" s="133" t="inlineStr">
        <is>
          <t>Размер индекса / норма сопутствующих затрат</t>
        </is>
      </c>
    </row>
    <row r="9" ht="15.75" customHeight="1">
      <c r="B9" s="133" t="n">
        <v>1</v>
      </c>
      <c r="C9" s="133" t="n">
        <v>2</v>
      </c>
      <c r="D9" s="133" t="n">
        <v>3</v>
      </c>
    </row>
    <row r="10" ht="45" customHeight="1">
      <c r="B10" s="133" t="inlineStr">
        <is>
          <t xml:space="preserve">Индекс изменения сметной стоимости на 1 квартал 2023 года. ОЗП </t>
        </is>
      </c>
      <c r="C10" s="133" t="inlineStr">
        <is>
          <t>Письмо Минстроя России от 30.03.2023г. №17106-ИФ/09  прил.1</t>
        </is>
      </c>
      <c r="D10" s="133" t="n">
        <v>44.29</v>
      </c>
    </row>
    <row r="11" ht="29.25" customHeight="1">
      <c r="B11" s="133" t="inlineStr">
        <is>
          <t>Индекс изменения сметной стоимости на 1 квартал 2023 года. ЭМ</t>
        </is>
      </c>
      <c r="C11" s="133" t="inlineStr">
        <is>
          <t>Письмо Минстроя России от 30.03.2023г. №17106-ИФ/09  прил.1</t>
        </is>
      </c>
      <c r="D11" s="133" t="n">
        <v>13.47</v>
      </c>
    </row>
    <row r="12" ht="29.25" customHeight="1">
      <c r="B12" s="133" t="inlineStr">
        <is>
          <t>Индекс изменения сметной стоимости на 1 квартал 2023 года. МАТ</t>
        </is>
      </c>
      <c r="C12" s="133" t="inlineStr">
        <is>
          <t>Письмо Минстроя России от 30.03.2023г. №17106-ИФ/09  прил.1</t>
        </is>
      </c>
      <c r="D12" s="133" t="n">
        <v>8.039999999999999</v>
      </c>
    </row>
    <row r="13" ht="30.75" customHeight="1">
      <c r="B13" s="133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3" t="n">
        <v>6.26</v>
      </c>
    </row>
    <row r="14" ht="89.25" customHeight="1">
      <c r="B14" s="133" t="inlineStr">
        <is>
          <t>Временные здания и сооружения</t>
        </is>
      </c>
      <c r="C14" s="1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>
      <c r="B15" s="133" t="inlineStr">
        <is>
          <t>Дополнительные затраты при производстве строительно-монтажных работ в зимнее время</t>
        </is>
      </c>
      <c r="C15" s="1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>
      <c r="B16" s="133" t="inlineStr">
        <is>
          <t>Пусконаладочные работы</t>
        </is>
      </c>
      <c r="C16" s="133" t="n"/>
      <c r="D16" s="133" t="inlineStr">
        <is>
          <t>Расчёт</t>
        </is>
      </c>
    </row>
    <row r="17" ht="31.5" customHeight="1">
      <c r="B17" s="133" t="inlineStr">
        <is>
          <t>Строительный контроль</t>
        </is>
      </c>
      <c r="C17" s="133" t="inlineStr">
        <is>
          <t>Постановление Правительства РФ от 21.06.10 г. № 468</t>
        </is>
      </c>
      <c r="D17" s="42" t="n">
        <v>0.0214</v>
      </c>
    </row>
    <row r="18" ht="31.5" customHeight="1">
      <c r="B18" s="133" t="inlineStr">
        <is>
          <t>Авторский надзор - 0,2%</t>
        </is>
      </c>
      <c r="C18" s="133" t="inlineStr">
        <is>
          <t>Приказ от 4.08.2020 № 421/пр п.173</t>
        </is>
      </c>
      <c r="D18" s="42" t="n">
        <v>0.002</v>
      </c>
    </row>
    <row r="19" ht="24" customHeight="1">
      <c r="B19" s="133" t="inlineStr">
        <is>
          <t>Непредвиденные расходы</t>
        </is>
      </c>
      <c r="C19" s="133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 М. Добровольская</t>
        </is>
      </c>
      <c r="C26" s="1" t="n"/>
    </row>
    <row r="27">
      <c r="B27" s="91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1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Normal="100" zoomScaleSheetLayoutView="100" workbookViewId="0">
      <selection activeCell="A24" sqref="D2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6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3.9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2025-01-24T12:02:17Z</dcterms:modified>
  <cp:lastModifiedBy>Danil</cp:lastModifiedBy>
  <cp:lastPrinted>2023-11-28T06:56:59Z</cp:lastPrinted>
</cp:coreProperties>
</file>