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'Прил.3'!$A$1:$H$103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0.000"/>
    <numFmt numFmtId="172" formatCode="#,##0.0000"/>
    <numFmt numFmtId="173" formatCode="#,##0.0000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8" fontId="12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4" fontId="13" fillId="0" borderId="1" applyAlignment="1" pivotButton="0" quotePrefix="0" xfId="0">
      <alignment horizontal="center" vertical="center" wrapText="1"/>
    </xf>
    <xf numFmtId="2" fontId="13" fillId="0" borderId="1" applyAlignment="1" pivotButton="0" quotePrefix="0" xfId="0">
      <alignment horizontal="center" vertical="center" wrapText="1"/>
    </xf>
    <xf numFmtId="169" fontId="14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4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17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171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10" fontId="2" fillId="0" borderId="0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73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0" applyAlignment="1" pivotButton="0" quotePrefix="0" xfId="0">
      <alignment vertical="center"/>
    </xf>
    <xf numFmtId="0" fontId="9" fillId="0" borderId="1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2" fontId="9" fillId="0" borderId="1" applyAlignment="1" pivotButton="0" quotePrefix="0" xfId="0">
      <alignment horizontal="center" vertical="center"/>
    </xf>
    <xf numFmtId="2" fontId="9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2" fontId="18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3" zoomScale="60" zoomScaleNormal="85" workbookViewId="0">
      <selection activeCell="C28" sqref="C28"/>
    </sheetView>
  </sheetViews>
  <sheetFormatPr baseColWidth="8" defaultRowHeight="15"/>
  <cols>
    <col width="36.85546875" customWidth="1" style="114" min="3" max="3"/>
    <col width="39.42578125" customWidth="1" style="114" min="4" max="4"/>
    <col width="14.28515625" customWidth="1" style="114" min="7" max="7"/>
    <col width="15" customWidth="1" style="114" min="10" max="10"/>
  </cols>
  <sheetData>
    <row r="3" ht="15.75" customHeight="1" s="114">
      <c r="B3" s="137" t="inlineStr">
        <is>
          <t>Приложение № 1</t>
        </is>
      </c>
    </row>
    <row r="4" ht="18.75" customHeight="1" s="114">
      <c r="B4" s="138" t="inlineStr">
        <is>
          <t>Сравнительная таблица отбора объекта-представителя</t>
        </is>
      </c>
    </row>
    <row r="5" ht="84" customHeight="1" s="114">
      <c r="B5" s="1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4">
      <c r="B6" s="86" t="n"/>
      <c r="C6" s="86" t="n"/>
      <c r="D6" s="86" t="n"/>
    </row>
    <row r="7" ht="64.5" customHeight="1" s="114">
      <c r="B7" s="136" t="inlineStr">
        <is>
          <t>Наименование разрабатываемого показателя УНЦ - Однополюсный разъединитель с устройством фундамента напряжение 500 кВ</t>
        </is>
      </c>
    </row>
    <row r="8" ht="31.5" customHeight="1" s="114">
      <c r="B8" s="136" t="inlineStr">
        <is>
          <t>Сопоставимый уровень цен:  4 квартал 2016</t>
        </is>
      </c>
    </row>
    <row r="9" ht="15.75" customHeight="1" s="114">
      <c r="B9" s="136" t="inlineStr">
        <is>
          <t>Единица измерения  — 1 ед.</t>
        </is>
      </c>
    </row>
    <row r="10" ht="18.75" customHeight="1" s="114">
      <c r="B10" s="36" t="n"/>
    </row>
    <row r="11" ht="15.75" customHeight="1" s="114">
      <c r="B11" s="142" t="inlineStr">
        <is>
          <t>№ п/п</t>
        </is>
      </c>
      <c r="C11" s="142" t="inlineStr">
        <is>
          <t>Параметр</t>
        </is>
      </c>
      <c r="D11" s="142" t="inlineStr">
        <is>
          <t xml:space="preserve">Объект-представитель </t>
        </is>
      </c>
    </row>
    <row r="12" ht="31.5" customHeight="1" s="114">
      <c r="B12" s="142" t="n">
        <v>1</v>
      </c>
      <c r="C12" s="64" t="inlineStr">
        <is>
          <t>Наименование объекта-представителя</t>
        </is>
      </c>
      <c r="D12" s="87" t="inlineStr">
        <is>
          <t>ПС 500 кВ Преображенская (МЭС Урала)</t>
        </is>
      </c>
    </row>
    <row r="13" ht="31.5" customHeight="1" s="114">
      <c r="B13" s="142" t="n">
        <v>2</v>
      </c>
      <c r="C13" s="64" t="inlineStr">
        <is>
          <t>Наименование субъекта Российской Федерации</t>
        </is>
      </c>
      <c r="D13" s="87" t="inlineStr">
        <is>
          <t>Оренбургская область</t>
        </is>
      </c>
    </row>
    <row r="14" ht="15.75" customHeight="1" s="114">
      <c r="B14" s="142" t="n">
        <v>3</v>
      </c>
      <c r="C14" s="64" t="inlineStr">
        <is>
          <t>Климатический район и подрайон</t>
        </is>
      </c>
      <c r="D14" s="23" t="inlineStr">
        <is>
          <t>IIIА</t>
        </is>
      </c>
    </row>
    <row r="15" ht="15.75" customHeight="1" s="114">
      <c r="B15" s="142" t="n">
        <v>4</v>
      </c>
      <c r="C15" s="64" t="inlineStr">
        <is>
          <t>Мощность объекта</t>
        </is>
      </c>
      <c r="D15" s="87" t="n">
        <v>1</v>
      </c>
    </row>
    <row r="16" ht="165" customHeight="1" s="114">
      <c r="B16" s="142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7" t="inlineStr">
        <is>
          <t>Разьединитель однополюсный Uном=500 кВ, Iном=4000 А, Imepм.см=50 кА
Монолитные фундаменты, мет.стойки в комплекте</t>
        </is>
      </c>
    </row>
    <row r="17" ht="78.75" customHeight="1" s="114">
      <c r="B17" s="142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6">
        <f>'Прил.2 Расч стоим'!J12</f>
        <v/>
      </c>
    </row>
    <row r="18" ht="15.75" customHeight="1" s="114">
      <c r="B18" s="129" t="inlineStr">
        <is>
          <t>6.1</t>
        </is>
      </c>
      <c r="C18" s="64" t="inlineStr">
        <is>
          <t>строительно-монтажные работы</t>
        </is>
      </c>
      <c r="D18" s="66">
        <f>'Прил.2 Расч стоим'!F12</f>
        <v/>
      </c>
    </row>
    <row r="19" ht="15.75" customHeight="1" s="114">
      <c r="B19" s="129" t="inlineStr">
        <is>
          <t>6.2</t>
        </is>
      </c>
      <c r="C19" s="64" t="inlineStr">
        <is>
          <t>оборудование и инвентарь</t>
        </is>
      </c>
      <c r="D19" s="66">
        <f>'Прил.2 Расч стоим'!H12</f>
        <v/>
      </c>
    </row>
    <row r="20" ht="15.75" customHeight="1" s="114">
      <c r="B20" s="129" t="inlineStr">
        <is>
          <t>6.3</t>
        </is>
      </c>
      <c r="C20" s="64" t="inlineStr">
        <is>
          <t>пусконаладочные работы</t>
        </is>
      </c>
      <c r="D20" s="66">
        <f>D19*0.07*0.8</f>
        <v/>
      </c>
    </row>
    <row r="21" ht="31.5" customHeight="1" s="114">
      <c r="B21" s="129" t="inlineStr">
        <is>
          <t>6.4</t>
        </is>
      </c>
      <c r="C21" s="64" t="inlineStr">
        <is>
          <t>прочие и лимитированные затраты</t>
        </is>
      </c>
      <c r="D21" s="66">
        <f>D17-D18-D19-D20</f>
        <v/>
      </c>
    </row>
    <row r="22" ht="15.75" customHeight="1" s="114">
      <c r="B22" s="142" t="n">
        <v>7</v>
      </c>
      <c r="C22" s="64" t="inlineStr">
        <is>
          <t>Сопоставимый уровень цен</t>
        </is>
      </c>
      <c r="D22" s="65" t="inlineStr">
        <is>
          <t>4 квартал 2016</t>
        </is>
      </c>
      <c r="G22" s="94" t="n"/>
    </row>
    <row r="23" ht="110.25" customHeight="1" s="114">
      <c r="B23" s="142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6">
        <f>D17</f>
        <v/>
      </c>
    </row>
    <row r="24" ht="47.25" customHeight="1" s="114">
      <c r="B24" s="142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66">
        <f>D23/D15</f>
        <v/>
      </c>
      <c r="G24" s="94" t="n"/>
    </row>
    <row r="25" hidden="1" ht="110.25" customHeight="1" s="114">
      <c r="B25" s="142" t="n">
        <v>10</v>
      </c>
      <c r="C25" s="64" t="inlineStr">
        <is>
          <t>Примечание</t>
        </is>
      </c>
      <c r="D25" s="6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14">
      <c r="B26" s="89" t="n"/>
      <c r="C26" s="90" t="n"/>
      <c r="D26" s="90" t="n"/>
    </row>
    <row r="27" hidden="1" s="114">
      <c r="B27" s="115" t="inlineStr">
        <is>
          <t>Составил ______________________        Е.А. Князева</t>
        </is>
      </c>
      <c r="C27" s="125" t="n"/>
    </row>
    <row r="28" hidden="1" s="114">
      <c r="B28" s="126" t="inlineStr">
        <is>
          <t xml:space="preserve">                         (подпись, инициалы, фамилия)</t>
        </is>
      </c>
      <c r="C28" s="125" t="n"/>
    </row>
    <row r="29" hidden="1" s="114">
      <c r="B29" s="126" t="n"/>
      <c r="C29" s="125" t="n"/>
    </row>
    <row r="30">
      <c r="B30" s="115" t="inlineStr">
        <is>
          <t>Составил ______________________        Е. М. Добровольская</t>
        </is>
      </c>
      <c r="C30" s="125" t="n"/>
    </row>
    <row r="31">
      <c r="B31" s="126" t="inlineStr">
        <is>
          <t xml:space="preserve">                         (подпись, инициалы, фамилия)</t>
        </is>
      </c>
      <c r="C31" s="125" t="n"/>
    </row>
    <row r="32">
      <c r="B32" s="115" t="n"/>
      <c r="C32" s="125" t="n"/>
    </row>
    <row r="33">
      <c r="B33" s="115" t="inlineStr">
        <is>
          <t>Проверил ______________________        А.В. Костянецкая</t>
        </is>
      </c>
      <c r="C33" s="125" t="n"/>
    </row>
    <row r="34">
      <c r="B34" s="126" t="inlineStr">
        <is>
          <t xml:space="preserve">                        (подпись, инициалы, фамилия)</t>
        </is>
      </c>
      <c r="C34" s="125" t="n"/>
    </row>
    <row r="35" ht="15.75" customHeight="1" s="114">
      <c r="B35" s="90" t="n"/>
      <c r="C35" s="90" t="n"/>
      <c r="D35" s="9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55" workbookViewId="0">
      <selection activeCell="G20" sqref="G20"/>
    </sheetView>
  </sheetViews>
  <sheetFormatPr baseColWidth="8" defaultRowHeight="15"/>
  <cols>
    <col width="5.5703125" customWidth="1" style="114" min="1" max="1"/>
    <col width="35.28515625" customWidth="1" style="114" min="3" max="3"/>
    <col width="20" customWidth="1" style="114" min="4" max="4"/>
    <col width="31.42578125" customWidth="1" style="114" min="5" max="5"/>
    <col width="12.7109375" customWidth="1" style="114" min="6" max="6"/>
    <col width="14.85546875" customWidth="1" style="114" min="7" max="7"/>
    <col width="16.7109375" customWidth="1" style="114" min="8" max="8"/>
    <col width="13" customWidth="1" style="114" min="9" max="10"/>
    <col width="18" customWidth="1" style="114" min="11" max="11"/>
  </cols>
  <sheetData>
    <row r="3" ht="15.75" customHeight="1" s="114">
      <c r="B3" s="137" t="inlineStr">
        <is>
          <t>Приложение № 2</t>
        </is>
      </c>
    </row>
    <row r="4" ht="15.75" customHeight="1" s="114"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4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 s="114">
      <c r="B6" s="136">
        <f>'Прил.1 Сравнит табл'!B7</f>
        <v/>
      </c>
    </row>
    <row r="7" ht="15.75" customHeight="1" s="114">
      <c r="B7" s="136">
        <f>'Прил.1 Сравнит табл'!B9</f>
        <v/>
      </c>
    </row>
    <row r="8" ht="18.75" customHeight="1" s="114">
      <c r="B8" s="36" t="n"/>
    </row>
    <row r="9" ht="15.75" customHeight="1" s="114">
      <c r="B9" s="142" t="inlineStr">
        <is>
          <t>№ п/п</t>
        </is>
      </c>
      <c r="C9" s="1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2" t="inlineStr">
        <is>
          <t>Объект-представитель 1</t>
        </is>
      </c>
      <c r="E9" s="179" t="n"/>
      <c r="F9" s="179" t="n"/>
      <c r="G9" s="179" t="n"/>
      <c r="H9" s="179" t="n"/>
      <c r="I9" s="179" t="n"/>
      <c r="J9" s="180" t="n"/>
    </row>
    <row r="10" ht="15.75" customHeight="1" s="114">
      <c r="B10" s="181" t="n"/>
      <c r="C10" s="181" t="n"/>
      <c r="D10" s="142" t="inlineStr">
        <is>
          <t>Номер сметы</t>
        </is>
      </c>
      <c r="E10" s="142" t="inlineStr">
        <is>
          <t>Наименование сметы</t>
        </is>
      </c>
      <c r="F10" s="142" t="inlineStr">
        <is>
          <t>Сметная стоимость в уровне цен 4 кв. 2016 г., тыс. руб.</t>
        </is>
      </c>
      <c r="G10" s="179" t="n"/>
      <c r="H10" s="179" t="n"/>
      <c r="I10" s="179" t="n"/>
      <c r="J10" s="180" t="n"/>
    </row>
    <row r="11" ht="86.25" customHeight="1" s="114">
      <c r="B11" s="182" t="n"/>
      <c r="C11" s="182" t="n"/>
      <c r="D11" s="182" t="n"/>
      <c r="E11" s="182" t="n"/>
      <c r="F11" s="142" t="inlineStr">
        <is>
          <t>Строительные работы</t>
        </is>
      </c>
      <c r="G11" s="142" t="inlineStr">
        <is>
          <t>Монтажные работы</t>
        </is>
      </c>
      <c r="H11" s="142" t="inlineStr">
        <is>
          <t>Оборудование</t>
        </is>
      </c>
      <c r="I11" s="142" t="inlineStr">
        <is>
          <t>Прочее</t>
        </is>
      </c>
      <c r="J11" s="142" t="inlineStr">
        <is>
          <t>Всего</t>
        </is>
      </c>
    </row>
    <row r="12" ht="146.25" customFormat="1" customHeight="1" s="133">
      <c r="B12" s="127" t="n">
        <v>1</v>
      </c>
      <c r="C12" s="142" t="inlineStr">
        <is>
          <t>Разьединитель однополюсный Uном=500 кВ, Iном=4000 А, Imepм.см=50 кА
Монолитные фундаменты, мет.стойки в комплекте</t>
        </is>
      </c>
      <c r="D12" s="129" t="inlineStr">
        <is>
          <t>02-07-01-1-4, 
02-07-01-2-4, 
02-07-02-4</t>
        </is>
      </c>
      <c r="E12" s="130" t="inlineStr">
        <is>
          <t>ОРУ 500кВ.Фундаменты Архитектурно-строительные решения; ОРУ 500кВ.Порталы и опоры под оборудование.4этап; ОРУ 500 кВ Электротехнические решения</t>
        </is>
      </c>
      <c r="F12" s="131">
        <f>21806.58*5.17/1000</f>
        <v/>
      </c>
      <c r="G12" s="131" t="n"/>
      <c r="H12" s="131">
        <f>445677.56*4.28/1000</f>
        <v/>
      </c>
      <c r="I12" s="131">
        <f>28403.31*5.17/1000</f>
        <v/>
      </c>
      <c r="J12" s="132">
        <f>SUM(F12:I12)</f>
        <v/>
      </c>
    </row>
    <row r="13" ht="15.75" customHeight="1" s="114">
      <c r="B13" s="140" t="inlineStr">
        <is>
          <t>Всего по объекту:</t>
        </is>
      </c>
      <c r="C13" s="179" t="n"/>
      <c r="D13" s="179" t="n"/>
      <c r="E13" s="180" t="n"/>
      <c r="F13" s="134">
        <f>F12</f>
        <v/>
      </c>
      <c r="G13" s="134" t="n"/>
      <c r="H13" s="134">
        <f>H12</f>
        <v/>
      </c>
      <c r="I13" s="134">
        <f>I12</f>
        <v/>
      </c>
      <c r="J13" s="134">
        <f>J12</f>
        <v/>
      </c>
    </row>
    <row r="14" ht="28.5" customHeight="1" s="114">
      <c r="B14" s="140" t="inlineStr">
        <is>
          <t>Всего по объекту в сопоставимом уровне цен 4 кв. 2016г:</t>
        </is>
      </c>
      <c r="C14" s="179" t="n"/>
      <c r="D14" s="179" t="n"/>
      <c r="E14" s="180" t="n"/>
      <c r="F14" s="134">
        <f>F13</f>
        <v/>
      </c>
      <c r="G14" s="134" t="n"/>
      <c r="H14" s="134">
        <f>H13</f>
        <v/>
      </c>
      <c r="I14" s="134">
        <f>I13</f>
        <v/>
      </c>
      <c r="J14" s="134">
        <f>J13</f>
        <v/>
      </c>
    </row>
    <row r="18">
      <c r="C18" s="115" t="inlineStr">
        <is>
          <t>Составил ______________________        Е. М. Добровольская</t>
        </is>
      </c>
      <c r="D18" s="125" t="n"/>
    </row>
    <row r="19">
      <c r="C19" s="126" t="inlineStr">
        <is>
          <t xml:space="preserve">                         (подпись, инициалы, фамилия)</t>
        </is>
      </c>
      <c r="D19" s="125" t="n"/>
    </row>
    <row r="20">
      <c r="C20" s="115" t="n"/>
      <c r="D20" s="125" t="n"/>
    </row>
    <row r="21">
      <c r="C21" s="115" t="inlineStr">
        <is>
          <t>Проверил ______________________        А.В. Костянецкая</t>
        </is>
      </c>
      <c r="D21" s="125" t="n"/>
    </row>
    <row r="22">
      <c r="C22" s="126" t="inlineStr">
        <is>
          <t xml:space="preserve">                        (подпись, инициалы, фамилия)</t>
        </is>
      </c>
      <c r="D22" s="125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7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8"/>
  <sheetViews>
    <sheetView view="pageBreakPreview" topLeftCell="A74" zoomScale="70" workbookViewId="0">
      <selection activeCell="D130" sqref="D130"/>
    </sheetView>
  </sheetViews>
  <sheetFormatPr baseColWidth="8" defaultRowHeight="15"/>
  <cols>
    <col width="12.5703125" customWidth="1" style="114" min="2" max="2"/>
    <col width="17" customWidth="1" style="114" min="3" max="3"/>
    <col width="49.7109375" customWidth="1" style="114" min="4" max="4"/>
    <col width="16.28515625" customWidth="1" style="114" min="5" max="5"/>
    <col width="20.7109375" customWidth="1" style="114" min="6" max="6"/>
    <col width="16.140625" customWidth="1" style="114" min="7" max="7"/>
    <col width="16.7109375" customWidth="1" style="114" min="8" max="8"/>
    <col width="4.5703125" customWidth="1" style="114" min="9" max="9"/>
    <col width="5.140625" customWidth="1" style="114" min="10" max="10"/>
    <col width="13" customWidth="1" style="114" min="11" max="11"/>
    <col width="9.140625" customWidth="1" style="114" min="12" max="12"/>
  </cols>
  <sheetData>
    <row r="2" ht="15.75" customHeight="1" s="114">
      <c r="A2" s="137" t="inlineStr">
        <is>
          <t xml:space="preserve">Приложение № 3 </t>
        </is>
      </c>
    </row>
    <row r="3" ht="18.75" customHeight="1" s="114">
      <c r="A3" s="138" t="inlineStr">
        <is>
          <t>Объектная ресурсная ведомость</t>
        </is>
      </c>
    </row>
    <row r="4">
      <c r="B4" s="54" t="n"/>
    </row>
    <row r="5" ht="18.75" customHeight="1" s="114">
      <c r="A5" s="138" t="n"/>
      <c r="B5" s="138" t="n"/>
      <c r="C5" s="1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8.75" customHeight="1" s="114">
      <c r="A6" s="36" t="n"/>
    </row>
    <row r="7" ht="32.25" customHeight="1" s="114">
      <c r="A7" s="143">
        <f>'Прил.1 Сравнит табл'!B7</f>
        <v/>
      </c>
    </row>
    <row r="8" ht="15.75" customHeight="1" s="114">
      <c r="A8" s="40" t="n"/>
      <c r="B8" s="40" t="n"/>
      <c r="C8" s="40" t="n"/>
      <c r="D8" s="40" t="n"/>
      <c r="E8" s="40" t="n"/>
      <c r="F8" s="40" t="n"/>
      <c r="G8" s="40" t="n"/>
      <c r="H8" s="61" t="n"/>
    </row>
    <row r="9" ht="38.25" customHeight="1" s="114">
      <c r="A9" s="142" t="inlineStr">
        <is>
          <t>п/п</t>
        </is>
      </c>
      <c r="B9" s="142" t="inlineStr">
        <is>
          <t>№ЛСР</t>
        </is>
      </c>
      <c r="C9" s="142" t="inlineStr">
        <is>
          <t>Код ресурса</t>
        </is>
      </c>
      <c r="D9" s="142" t="inlineStr">
        <is>
          <t>Наименование ресурса</t>
        </is>
      </c>
      <c r="E9" s="142" t="inlineStr">
        <is>
          <t>Ед. изм.</t>
        </is>
      </c>
      <c r="F9" s="142" t="inlineStr">
        <is>
          <t>Кол-во единиц по данным объекта-представителя</t>
        </is>
      </c>
      <c r="G9" s="142" t="inlineStr">
        <is>
          <t>Сметная стоимость в ценах на 01.01.2000 (руб.)</t>
        </is>
      </c>
      <c r="H9" s="180" t="n"/>
    </row>
    <row r="10" ht="40.5" customHeight="1" s="114">
      <c r="A10" s="182" t="n"/>
      <c r="B10" s="182" t="n"/>
      <c r="C10" s="182" t="n"/>
      <c r="D10" s="182" t="n"/>
      <c r="E10" s="182" t="n"/>
      <c r="F10" s="182" t="n"/>
      <c r="G10" s="142" t="inlineStr">
        <is>
          <t>на ед.изм.</t>
        </is>
      </c>
      <c r="H10" s="142" t="inlineStr">
        <is>
          <t>общая</t>
        </is>
      </c>
    </row>
    <row r="11" ht="15.75" customHeight="1" s="114">
      <c r="A11" s="142" t="n">
        <v>1</v>
      </c>
      <c r="B11" s="51" t="n"/>
      <c r="C11" s="142" t="n">
        <v>2</v>
      </c>
      <c r="D11" s="142" t="inlineStr">
        <is>
          <t>З</t>
        </is>
      </c>
      <c r="E11" s="142" t="n">
        <v>4</v>
      </c>
      <c r="F11" s="142" t="n">
        <v>5</v>
      </c>
      <c r="G11" s="51" t="n">
        <v>6</v>
      </c>
      <c r="H11" s="51" t="n">
        <v>7</v>
      </c>
    </row>
    <row r="12" ht="15" customHeight="1" s="114">
      <c r="A12" s="144" t="inlineStr">
        <is>
          <t>Затраты труда рабочих</t>
        </is>
      </c>
      <c r="B12" s="179" t="n"/>
      <c r="C12" s="179" t="n"/>
      <c r="D12" s="179" t="n"/>
      <c r="E12" s="179" t="n"/>
      <c r="F12" s="52">
        <f>SUM(F13:F18)</f>
        <v/>
      </c>
      <c r="G12" s="53" t="n"/>
      <c r="H12" s="52">
        <f>SUM(H13:H18)</f>
        <v/>
      </c>
      <c r="J12" s="67" t="n"/>
      <c r="K12" s="18" t="n"/>
    </row>
    <row r="13">
      <c r="A13" s="44" t="n">
        <v>1</v>
      </c>
      <c r="B13" s="62" t="n"/>
      <c r="C13" s="44" t="inlineStr">
        <is>
          <t>1-4-0</t>
        </is>
      </c>
      <c r="D13" s="45" t="inlineStr">
        <is>
          <t>Затраты труда рабочих (средний разряд работы 4,0)</t>
        </is>
      </c>
      <c r="E13" s="173" t="inlineStr">
        <is>
          <t>чел.-ч</t>
        </is>
      </c>
      <c r="F13" s="96" t="n">
        <v>86.28330563790099</v>
      </c>
      <c r="G13" s="47" t="n">
        <v>9.619999999999999</v>
      </c>
      <c r="H13" s="47">
        <f>ROUND(F13*G13,2)</f>
        <v/>
      </c>
    </row>
    <row r="14">
      <c r="A14" s="48">
        <f>A13+1</f>
        <v/>
      </c>
      <c r="B14" s="62" t="n"/>
      <c r="C14" s="44" t="inlineStr">
        <is>
          <t>1-2-9</t>
        </is>
      </c>
      <c r="D14" s="45" t="inlineStr">
        <is>
          <t>Затраты труда рабочих (средний разряд работы 2,9)</t>
        </is>
      </c>
      <c r="E14" s="173" t="inlineStr">
        <is>
          <t>чел.-ч</t>
        </is>
      </c>
      <c r="F14" s="96" t="n">
        <v>21.282938949932</v>
      </c>
      <c r="G14" s="47" t="n">
        <v>8.460000000000001</v>
      </c>
      <c r="H14" s="47">
        <f>ROUND(F14*G14,2)</f>
        <v/>
      </c>
    </row>
    <row r="15">
      <c r="A15" s="48">
        <f>A14+1</f>
        <v/>
      </c>
      <c r="B15" s="62" t="n"/>
      <c r="C15" s="44" t="inlineStr">
        <is>
          <t>1-2-8</t>
        </is>
      </c>
      <c r="D15" s="45" t="inlineStr">
        <is>
          <t>Затраты труда рабочих (средний разряд работы 2,8)</t>
        </is>
      </c>
      <c r="E15" s="173" t="inlineStr">
        <is>
          <t>чел.-ч</t>
        </is>
      </c>
      <c r="F15" s="96" t="n">
        <v>6.0384076462502</v>
      </c>
      <c r="G15" s="47" t="n">
        <v>8.380000000000001</v>
      </c>
      <c r="H15" s="47">
        <f>ROUND(F15*G15,2)</f>
        <v/>
      </c>
    </row>
    <row r="16">
      <c r="A16" s="48">
        <f>A15+1</f>
        <v/>
      </c>
      <c r="B16" s="62" t="n"/>
      <c r="C16" s="44" t="inlineStr">
        <is>
          <t>1-1-5</t>
        </is>
      </c>
      <c r="D16" s="45" t="inlineStr">
        <is>
          <t>Затраты труда рабочих (средний разряд работы 1,5)</t>
        </is>
      </c>
      <c r="E16" s="173" t="inlineStr">
        <is>
          <t>чел.-ч</t>
        </is>
      </c>
      <c r="F16" s="96" t="n">
        <v>2.8051887841244</v>
      </c>
      <c r="G16" s="47" t="n">
        <v>7.5</v>
      </c>
      <c r="H16" s="47">
        <f>ROUND(F16*G16,2)</f>
        <v/>
      </c>
    </row>
    <row r="17">
      <c r="A17" s="48">
        <f>A16+1</f>
        <v/>
      </c>
      <c r="B17" s="62" t="n"/>
      <c r="C17" s="44" t="inlineStr">
        <is>
          <t>1-3-0</t>
        </is>
      </c>
      <c r="D17" s="45" t="inlineStr">
        <is>
          <t>Затраты труда рабочих (средний разряд работы 3,0)</t>
        </is>
      </c>
      <c r="E17" s="173" t="inlineStr">
        <is>
          <t>чел.-ч</t>
        </is>
      </c>
      <c r="F17" s="96" t="n">
        <v>1.7918679501874</v>
      </c>
      <c r="G17" s="47" t="n">
        <v>8.529999999999999</v>
      </c>
      <c r="H17" s="47">
        <f>ROUND(F17*G17,2)</f>
        <v/>
      </c>
    </row>
    <row r="18">
      <c r="A18" s="48">
        <f>A17+1</f>
        <v/>
      </c>
      <c r="B18" s="62" t="n"/>
      <c r="C18" s="44" t="inlineStr">
        <is>
          <t>1-2-0</t>
        </is>
      </c>
      <c r="D18" s="45" t="inlineStr">
        <is>
          <t>Затраты труда рабочих (средний разряд работы 2,0)</t>
        </is>
      </c>
      <c r="E18" s="173" t="inlineStr">
        <is>
          <t>чел.-ч</t>
        </is>
      </c>
      <c r="F18" s="96" t="n">
        <v>1.101601394924</v>
      </c>
      <c r="G18" s="47" t="n">
        <v>7.8</v>
      </c>
      <c r="H18" s="47">
        <f>ROUND(F18*G18,2)</f>
        <v/>
      </c>
    </row>
    <row r="19" ht="15" customHeight="1" s="114">
      <c r="A19" s="148" t="inlineStr">
        <is>
          <t>Затраты труда машинистов</t>
        </is>
      </c>
      <c r="B19" s="179" t="n"/>
      <c r="C19" s="179" t="n"/>
      <c r="D19" s="179" t="n"/>
      <c r="E19" s="180" t="n"/>
      <c r="F19" s="53" t="n"/>
      <c r="G19" s="53" t="n"/>
      <c r="H19" s="52">
        <f>H20</f>
        <v/>
      </c>
    </row>
    <row r="20">
      <c r="A20" s="48">
        <f>A18+1</f>
        <v/>
      </c>
      <c r="B20" s="62" t="n"/>
      <c r="C20" s="44" t="n">
        <v>2</v>
      </c>
      <c r="D20" s="45" t="inlineStr">
        <is>
          <t>Затраты труда машинистов</t>
        </is>
      </c>
      <c r="E20" s="173" t="inlineStr">
        <is>
          <t>чел.-ч</t>
        </is>
      </c>
      <c r="F20" s="173">
        <f>'Прил.5 Расчет СМР и ОБ'!E16</f>
        <v/>
      </c>
      <c r="G20" s="47" t="n"/>
      <c r="H20" s="41">
        <f>'Прил.5 Расчет СМР и ОБ'!G16</f>
        <v/>
      </c>
      <c r="L20" s="43" t="n"/>
    </row>
    <row r="21" ht="15" customHeight="1" s="114">
      <c r="A21" s="148" t="inlineStr">
        <is>
          <t>Машины и механизмы</t>
        </is>
      </c>
      <c r="B21" s="179" t="n"/>
      <c r="C21" s="179" t="n"/>
      <c r="D21" s="179" t="n"/>
      <c r="E21" s="180" t="n"/>
      <c r="F21" s="53" t="n"/>
      <c r="G21" s="53" t="n"/>
      <c r="H21" s="52">
        <f>SUM(H22:H39)</f>
        <v/>
      </c>
      <c r="K21" s="18" t="n"/>
    </row>
    <row r="22" ht="25.5" customHeight="1" s="114">
      <c r="A22" s="44">
        <f>A20+1</f>
        <v/>
      </c>
      <c r="B22" s="62" t="n"/>
      <c r="C22" s="58" t="inlineStr">
        <is>
          <t>91.05.05-014</t>
        </is>
      </c>
      <c r="D22" s="45" t="inlineStr">
        <is>
          <t>Краны на автомобильном ходу, грузоподъемность 10 т</t>
        </is>
      </c>
      <c r="E22" s="173" t="inlineStr">
        <is>
          <t>маш.-ч</t>
        </is>
      </c>
      <c r="F22" s="173" t="n">
        <v>14.1335659</v>
      </c>
      <c r="G22" s="49" t="n">
        <v>111.99</v>
      </c>
      <c r="H22" s="47">
        <f>ROUND(F22*G22,2)</f>
        <v/>
      </c>
    </row>
    <row r="23">
      <c r="A23" s="44">
        <f>A22+1</f>
        <v/>
      </c>
      <c r="B23" s="62" t="n"/>
      <c r="C23" s="58" t="inlineStr">
        <is>
          <t>91.06.06-042</t>
        </is>
      </c>
      <c r="D23" s="45" t="inlineStr">
        <is>
          <t>Подъемники гидравлические высотой подъема: 10 м</t>
        </is>
      </c>
      <c r="E23" s="173" t="inlineStr">
        <is>
          <t>маш.-ч</t>
        </is>
      </c>
      <c r="F23" s="50" t="n">
        <v>5.3666613</v>
      </c>
      <c r="G23" s="49" t="n">
        <v>29.6</v>
      </c>
      <c r="H23" s="47">
        <f>ROUND(F23*G23,2)</f>
        <v/>
      </c>
    </row>
    <row r="24">
      <c r="A24" s="44">
        <f>A23+1</f>
        <v/>
      </c>
      <c r="B24" s="62" t="n"/>
      <c r="C24" s="58" t="inlineStr">
        <is>
          <t>91.14.03-002</t>
        </is>
      </c>
      <c r="D24" s="45" t="inlineStr">
        <is>
          <t>Автомобиль-самосвал, грузоподъемность до 10 т</t>
        </is>
      </c>
      <c r="E24" s="173" t="inlineStr">
        <is>
          <t>маш.-ч</t>
        </is>
      </c>
      <c r="F24" s="173" t="n">
        <v>1.7885</v>
      </c>
      <c r="G24" s="49" t="n">
        <v>87.48999999999999</v>
      </c>
      <c r="H24" s="47">
        <f>ROUND(F24*G24,2)</f>
        <v/>
      </c>
    </row>
    <row r="25">
      <c r="A25" s="44">
        <f>A24+1</f>
        <v/>
      </c>
      <c r="B25" s="62" t="n"/>
      <c r="C25" s="58" t="inlineStr">
        <is>
          <t>91.14.02-001</t>
        </is>
      </c>
      <c r="D25" s="45" t="inlineStr">
        <is>
          <t>Автомобили бортовые, грузоподъемность до 5 т</t>
        </is>
      </c>
      <c r="E25" s="173" t="inlineStr">
        <is>
          <t>маш.-ч</t>
        </is>
      </c>
      <c r="F25" s="173" t="n">
        <v>2.28926124</v>
      </c>
      <c r="G25" s="49" t="n">
        <v>65.70999999999999</v>
      </c>
      <c r="H25" s="47">
        <f>ROUND(F25*G25,2)</f>
        <v/>
      </c>
    </row>
    <row r="26" ht="25.5" customHeight="1" s="114">
      <c r="A26" s="44">
        <f>A25+1</f>
        <v/>
      </c>
      <c r="B26" s="62" t="n"/>
      <c r="C26" s="58" t="inlineStr">
        <is>
          <t>91.05.06-012</t>
        </is>
      </c>
      <c r="D26" s="45" t="inlineStr">
        <is>
          <t>Краны на гусеничном ходу, грузоподъемность до 16 т</t>
        </is>
      </c>
      <c r="E26" s="173" t="inlineStr">
        <is>
          <t>маш.-ч</t>
        </is>
      </c>
      <c r="F26" s="173" t="n">
        <v>1.05616</v>
      </c>
      <c r="G26" s="49" t="n">
        <v>96.89</v>
      </c>
      <c r="H26" s="47">
        <f>ROUND(F26*G26,2)</f>
        <v/>
      </c>
    </row>
    <row r="27">
      <c r="A27" s="44">
        <f>A26+1</f>
        <v/>
      </c>
      <c r="B27" s="62" t="n"/>
      <c r="C27" s="58" t="inlineStr">
        <is>
          <t>91.14.01-004</t>
        </is>
      </c>
      <c r="D27" s="45" t="inlineStr">
        <is>
          <t>Автобетоносмесители, объем барабана 7 м3</t>
        </is>
      </c>
      <c r="E27" s="173" t="inlineStr">
        <is>
          <t>маш.-ч</t>
        </is>
      </c>
      <c r="F27" s="173" t="n">
        <v>0.540067</v>
      </c>
      <c r="G27" s="49" t="n">
        <v>184.39</v>
      </c>
      <c r="H27" s="47">
        <f>ROUND(F27*G27,2)</f>
        <v/>
      </c>
    </row>
    <row r="28" ht="38.25" customHeight="1" s="114">
      <c r="A28" s="44">
        <f>A27+1</f>
        <v/>
      </c>
      <c r="B28" s="62" t="n"/>
      <c r="C28" s="58" t="inlineStr">
        <is>
          <t>91.18.01-007</t>
        </is>
      </c>
      <c r="D28" s="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8" s="173" t="inlineStr">
        <is>
          <t>маш.-ч</t>
        </is>
      </c>
      <c r="F28" s="173" t="n">
        <v>0.87306408</v>
      </c>
      <c r="G28" s="49" t="n">
        <v>90</v>
      </c>
      <c r="H28" s="47">
        <f>ROUND(F28*G28,2)</f>
        <v/>
      </c>
    </row>
    <row r="29" ht="25.5" customHeight="1" s="114">
      <c r="A29" s="44">
        <f>A28+1</f>
        <v/>
      </c>
      <c r="B29" s="62" t="n"/>
      <c r="C29" s="58" t="inlineStr">
        <is>
          <t>91.01.05-086</t>
        </is>
      </c>
      <c r="D29" s="45" t="inlineStr">
        <is>
          <t>Экскаваторы одноковшовые дизельные на гусеничном ходу, емкость ковша 0,65 м3</t>
        </is>
      </c>
      <c r="E29" s="173" t="inlineStr">
        <is>
          <t>маш.-ч</t>
        </is>
      </c>
      <c r="F29" s="173" t="n">
        <v>0.61596</v>
      </c>
      <c r="G29" s="49" t="n">
        <v>115.27</v>
      </c>
      <c r="H29" s="47">
        <f>ROUND(F29*G29,2)</f>
        <v/>
      </c>
    </row>
    <row r="30" ht="25.5" customHeight="1" s="114">
      <c r="A30" s="44">
        <f>A29+1</f>
        <v/>
      </c>
      <c r="B30" s="62" t="n"/>
      <c r="C30" s="58" t="inlineStr">
        <is>
          <t>91.17.04-233</t>
        </is>
      </c>
      <c r="D30" s="45" t="inlineStr">
        <is>
          <t>Установки для сварки ручной дуговой (постоянного тока)</t>
        </is>
      </c>
      <c r="E30" s="173" t="inlineStr">
        <is>
          <t>маш.-ч</t>
        </is>
      </c>
      <c r="F30" s="173" t="n">
        <v>2.9262505</v>
      </c>
      <c r="G30" s="49" t="n">
        <v>8.1</v>
      </c>
      <c r="H30" s="47">
        <f>ROUND(F30*G30,2)</f>
        <v/>
      </c>
    </row>
    <row r="31">
      <c r="A31" s="44">
        <f>A30+1</f>
        <v/>
      </c>
      <c r="B31" s="62" t="n"/>
      <c r="C31" s="58" t="inlineStr">
        <is>
          <t>91.05.01-017</t>
        </is>
      </c>
      <c r="D31" s="45" t="inlineStr">
        <is>
          <t>Краны башенные, грузоподъемность 8 т</t>
        </is>
      </c>
      <c r="E31" s="173" t="inlineStr">
        <is>
          <t>маш.-ч</t>
        </is>
      </c>
      <c r="F31" s="173" t="n">
        <v>0.108</v>
      </c>
      <c r="G31" s="49" t="n">
        <v>86.40000000000001</v>
      </c>
      <c r="H31" s="47">
        <f>ROUND(F31*G31,2)</f>
        <v/>
      </c>
    </row>
    <row r="32">
      <c r="A32" s="44">
        <f>A31+1</f>
        <v/>
      </c>
      <c r="B32" s="62" t="n"/>
      <c r="C32" s="58" t="inlineStr">
        <is>
          <t>91.01.01-036</t>
        </is>
      </c>
      <c r="D32" s="45" t="inlineStr">
        <is>
          <t>Бульдозеры, мощность 96 кВт (130 л.с.)</t>
        </is>
      </c>
      <c r="E32" s="173" t="inlineStr">
        <is>
          <t>маш.-ч</t>
        </is>
      </c>
      <c r="F32" s="173" t="n">
        <v>0.08285820000000001</v>
      </c>
      <c r="G32" s="49" t="n">
        <v>94.05</v>
      </c>
      <c r="H32" s="47">
        <f>ROUND(F32*G32,2)</f>
        <v/>
      </c>
    </row>
    <row r="33" ht="25.5" customHeight="1" s="114">
      <c r="A33" s="44">
        <f>A32+1</f>
        <v/>
      </c>
      <c r="B33" s="62" t="n"/>
      <c r="C33" s="58" t="inlineStr">
        <is>
          <t>91.07.07-012</t>
        </is>
      </c>
      <c r="D33" s="45" t="inlineStr">
        <is>
          <t>Насосы для строительных растворов, производительность 5 м3/час</t>
        </is>
      </c>
      <c r="E33" s="173" t="inlineStr">
        <is>
          <t>маш.-ч</t>
        </is>
      </c>
      <c r="F33" s="173" t="n">
        <v>0.44685</v>
      </c>
      <c r="G33" s="49" t="n">
        <v>7.54</v>
      </c>
      <c r="H33" s="47">
        <f>ROUND(F33*G33,2)</f>
        <v/>
      </c>
    </row>
    <row r="34" ht="25.5" customHeight="1" s="114">
      <c r="A34" s="44">
        <f>A33+1</f>
        <v/>
      </c>
      <c r="B34" s="62" t="n"/>
      <c r="C34" s="58" t="inlineStr">
        <is>
          <t>91.07.08-025</t>
        </is>
      </c>
      <c r="D34" s="45" t="inlineStr">
        <is>
          <t>Растворосмесители передвижные, объем барабана 250 л</t>
        </is>
      </c>
      <c r="E34" s="173" t="inlineStr">
        <is>
          <t>маш.-ч</t>
        </is>
      </c>
      <c r="F34" s="173" t="n">
        <v>0.13455</v>
      </c>
      <c r="G34" s="49" t="n">
        <v>16.31</v>
      </c>
      <c r="H34" s="47">
        <f>ROUND(F34*G34,2)</f>
        <v/>
      </c>
    </row>
    <row r="35">
      <c r="A35" s="44">
        <f>A34+1</f>
        <v/>
      </c>
      <c r="B35" s="62" t="n"/>
      <c r="C35" s="58" t="inlineStr">
        <is>
          <t>91.07.04-001</t>
        </is>
      </c>
      <c r="D35" s="45" t="inlineStr">
        <is>
          <t>Вибратор глубинный</t>
        </is>
      </c>
      <c r="E35" s="173" t="inlineStr">
        <is>
          <t>маш.-ч</t>
        </is>
      </c>
      <c r="F35" s="173" t="n">
        <v>0.87584</v>
      </c>
      <c r="G35" s="49" t="n">
        <v>1.9</v>
      </c>
      <c r="H35" s="47">
        <f>ROUND(F35*G35,2)</f>
        <v/>
      </c>
    </row>
    <row r="36" ht="25.5" customHeight="1" s="114">
      <c r="A36" s="44">
        <f>A35+1</f>
        <v/>
      </c>
      <c r="B36" s="62" t="n"/>
      <c r="C36" s="58" t="inlineStr">
        <is>
          <t>91.06.06-048</t>
        </is>
      </c>
      <c r="D36" s="45" t="inlineStr">
        <is>
          <t>Подъемники одномачтовые, грузоподъемность до 500 кг, высота подъема 45 м</t>
        </is>
      </c>
      <c r="E36" s="173" t="inlineStr">
        <is>
          <t>маш.-ч</t>
        </is>
      </c>
      <c r="F36" s="173" t="n">
        <v>0.0414</v>
      </c>
      <c r="G36" s="49" t="n">
        <v>31.26</v>
      </c>
      <c r="H36" s="47">
        <f>ROUND(F36*G36,2)</f>
        <v/>
      </c>
    </row>
    <row r="37">
      <c r="A37" s="44">
        <f>A36+1</f>
        <v/>
      </c>
      <c r="B37" s="62" t="n"/>
      <c r="C37" s="58" t="inlineStr">
        <is>
          <t>91.06.05-011</t>
        </is>
      </c>
      <c r="D37" s="45" t="inlineStr">
        <is>
          <t>Погрузчик, грузоподъемность 5 т</t>
        </is>
      </c>
      <c r="E37" s="173" t="inlineStr">
        <is>
          <t>маш.-ч</t>
        </is>
      </c>
      <c r="F37" s="173" t="n">
        <v>0.01242</v>
      </c>
      <c r="G37" s="49" t="n">
        <v>89.98999999999999</v>
      </c>
      <c r="H37" s="47">
        <f>ROUND(F37*G37,2)</f>
        <v/>
      </c>
    </row>
    <row r="38" ht="25.5" customHeight="1" s="114">
      <c r="A38" s="44">
        <f>A37+1</f>
        <v/>
      </c>
      <c r="B38" s="62" t="n"/>
      <c r="C38" s="58" t="inlineStr">
        <is>
          <t>91.08.09-023</t>
        </is>
      </c>
      <c r="D38" s="45" t="inlineStr">
        <is>
          <t>Трамбовки пневматические при работе от передвижных компрессорных станций</t>
        </is>
      </c>
      <c r="E38" s="173" t="inlineStr">
        <is>
          <t>маш.-ч</t>
        </is>
      </c>
      <c r="F38" s="173" t="n">
        <v>1.70766036</v>
      </c>
      <c r="G38" s="49" t="n">
        <v>0.55</v>
      </c>
      <c r="H38" s="47">
        <f>ROUND(F38*G38,2)</f>
        <v/>
      </c>
    </row>
    <row r="39">
      <c r="A39" s="44">
        <f>A38+1</f>
        <v/>
      </c>
      <c r="B39" s="62" t="n"/>
      <c r="C39" s="58" t="inlineStr">
        <is>
          <t>91.07.04-002</t>
        </is>
      </c>
      <c r="D39" s="45" t="inlineStr">
        <is>
          <t>Вибратор поверхностный</t>
        </is>
      </c>
      <c r="E39" s="173" t="inlineStr">
        <is>
          <t>маш.-ч</t>
        </is>
      </c>
      <c r="F39" s="173" t="n">
        <v>0.288</v>
      </c>
      <c r="G39" s="49" t="n">
        <v>0.5</v>
      </c>
      <c r="H39" s="47">
        <f>ROUND(F39*G39,2)</f>
        <v/>
      </c>
    </row>
    <row r="40" ht="15" customHeight="1" s="114">
      <c r="A40" s="148" t="inlineStr">
        <is>
          <t>Оборудование</t>
        </is>
      </c>
      <c r="B40" s="179" t="n"/>
      <c r="C40" s="179" t="n"/>
      <c r="D40" s="179" t="n"/>
      <c r="E40" s="180" t="n"/>
      <c r="F40" s="53" t="n"/>
      <c r="G40" s="53" t="n"/>
      <c r="H40" s="52">
        <f>SUM(H41:H42)</f>
        <v/>
      </c>
    </row>
    <row r="41" ht="89.25" customHeight="1" s="114">
      <c r="A41" s="48">
        <f>A39+1</f>
        <v/>
      </c>
      <c r="B41" s="148" t="n"/>
      <c r="C41" s="44" t="inlineStr">
        <is>
          <t>Прайс из СД ОП</t>
        </is>
      </c>
      <c r="D41" s="45" t="inlineStr">
        <is>
          <t>Разьединительоднополюсный Uном=500 кВ,Iном=2000 А, Imepм.см=40 кА с одним комплектом заземляющих ножей со стороны неподвижной колонки, комплектно с выносными блоками управления БУ-Г-11 и БУ-3-11 с цепями обогрева и освещения, с приводами ПД-14-05УХЛ1 и ПД-14-01УХЛ1 поставляется со стойкой РГ.1б-500/2000 УХЛ1</t>
        </is>
      </c>
      <c r="E41" s="173" t="inlineStr">
        <is>
          <t>полюс</t>
        </is>
      </c>
      <c r="F41" s="173" t="n">
        <v>1</v>
      </c>
      <c r="G41" s="47" t="n">
        <v>445678</v>
      </c>
      <c r="H41" s="47" t="n">
        <v>445678</v>
      </c>
    </row>
    <row r="42" ht="89.25" customHeight="1" s="114">
      <c r="A42" s="48" t="n">
        <v>27</v>
      </c>
      <c r="B42" s="148" t="n"/>
      <c r="C42" s="44" t="inlineStr">
        <is>
          <t>Прайс из СД ОП</t>
        </is>
      </c>
      <c r="D42" s="45" t="inlineStr">
        <is>
          <t>Шкаф управления разъединителями</t>
        </is>
      </c>
      <c r="E42" s="173" t="inlineStr">
        <is>
          <t>шт</t>
        </is>
      </c>
      <c r="F42" s="173" t="n">
        <v>1</v>
      </c>
      <c r="G42" s="47" t="n">
        <v>95846.64999999999</v>
      </c>
      <c r="H42" s="47" t="n">
        <v>95846.64999999999</v>
      </c>
    </row>
    <row r="43" ht="15" customHeight="1" s="114">
      <c r="A43" s="148" t="inlineStr">
        <is>
          <t>Материалы</t>
        </is>
      </c>
      <c r="B43" s="179" t="n"/>
      <c r="C43" s="179" t="n"/>
      <c r="D43" s="179" t="n"/>
      <c r="E43" s="180" t="n"/>
      <c r="F43" s="53" t="n"/>
      <c r="G43" s="53" t="n"/>
      <c r="H43" s="52">
        <f>SUM(H44:H78)</f>
        <v/>
      </c>
      <c r="K43" s="18" t="n"/>
    </row>
    <row r="44" ht="25.5" customHeight="1" s="114">
      <c r="A44" s="48" t="n">
        <v>28</v>
      </c>
      <c r="B44" s="62" t="n"/>
      <c r="C44" s="58" t="inlineStr">
        <is>
          <t>04.1.02.05-0046</t>
        </is>
      </c>
      <c r="D44" s="45" t="inlineStr">
        <is>
          <t>Смеси бетонные тяжелого бетона (БСТ), крупность заполнителя 20 мм, класс В25 (М350)</t>
        </is>
      </c>
      <c r="E44" s="173" t="inlineStr">
        <is>
          <t>м3</t>
        </is>
      </c>
      <c r="F44" s="173" t="n">
        <v>9.337999999999999</v>
      </c>
      <c r="G44" s="47" t="n">
        <v>720</v>
      </c>
      <c r="H44" s="47">
        <f>ROUND(F44*G44,2)</f>
        <v/>
      </c>
    </row>
    <row r="45" ht="25.5" customHeight="1" s="114">
      <c r="A45" s="48" t="n">
        <v>29</v>
      </c>
      <c r="B45" s="62" t="n"/>
      <c r="C45" s="44" t="inlineStr">
        <is>
          <t>14.2.03.06-0005</t>
        </is>
      </c>
      <c r="D45" s="45" t="inlineStr">
        <is>
          <t>Покрытие эластичное полимерцементное двухкомпонентное MASTERSEAL 588, компонент 1, цвет белый, серый, светло-серый</t>
        </is>
      </c>
      <c r="E45" s="173" t="inlineStr">
        <is>
          <t>кг</t>
        </is>
      </c>
      <c r="F45" s="173" t="n">
        <v>495</v>
      </c>
      <c r="G45" s="47" t="n">
        <v>7.97</v>
      </c>
      <c r="H45" s="47">
        <f>ROUND(F45*G45,2)</f>
        <v/>
      </c>
    </row>
    <row r="46" ht="25.5" customHeight="1" s="114">
      <c r="A46" s="48" t="n">
        <v>30</v>
      </c>
      <c r="B46" s="62" t="n"/>
      <c r="C46" s="58" t="inlineStr">
        <is>
          <t>08.4.03.03-0033</t>
        </is>
      </c>
      <c r="D46" s="45" t="inlineStr">
        <is>
          <t>Сталь арматурная, горячекатаная, периодического профиля, класс А-III, диаметр 14 мм</t>
        </is>
      </c>
      <c r="E46" s="173" t="inlineStr">
        <is>
          <t>т</t>
        </is>
      </c>
      <c r="F46" s="173" t="n">
        <v>0.3322</v>
      </c>
      <c r="G46" s="47" t="n">
        <v>7997.23</v>
      </c>
      <c r="H46" s="47">
        <f>ROUND(F46*G46,2)</f>
        <v/>
      </c>
    </row>
    <row r="47" ht="25.5" customHeight="1" s="114">
      <c r="A47" s="48" t="n">
        <v>31</v>
      </c>
      <c r="B47" s="62" t="n"/>
      <c r="C47" s="58" t="inlineStr">
        <is>
          <t>21.1.06.10-0411</t>
        </is>
      </c>
      <c r="D47" s="45" t="inlineStr">
        <is>
          <t>Кабель силовой с медными жилами ВВГнг(A)-LS 5х16мк(N, РЕ)-1000</t>
        </is>
      </c>
      <c r="E47" s="173" t="inlineStr">
        <is>
          <t>1000 м</t>
        </is>
      </c>
      <c r="F47" s="173" t="n">
        <v>0.015</v>
      </c>
      <c r="G47" s="47" t="n">
        <v>98440.41</v>
      </c>
      <c r="H47" s="47">
        <f>ROUND(F47*G47,2)</f>
        <v/>
      </c>
    </row>
    <row r="48">
      <c r="A48" s="48" t="n">
        <v>32</v>
      </c>
      <c r="B48" s="62" t="n"/>
      <c r="C48" s="58" t="inlineStr">
        <is>
          <t>02.2.04.03-0003</t>
        </is>
      </c>
      <c r="D48" s="45" t="inlineStr">
        <is>
          <t>Смесь песчано-гравийная природная</t>
        </is>
      </c>
      <c r="E48" s="173" t="inlineStr">
        <is>
          <t>м3</t>
        </is>
      </c>
      <c r="F48" s="173" t="n">
        <v>15.733578</v>
      </c>
      <c r="G48" s="47" t="n">
        <v>60</v>
      </c>
      <c r="H48" s="47">
        <f>ROUND(F48*G48,2)</f>
        <v/>
      </c>
    </row>
    <row r="49">
      <c r="A49" s="48" t="n">
        <v>33</v>
      </c>
      <c r="B49" s="62" t="n"/>
      <c r="C49" s="58" t="inlineStr">
        <is>
          <t>21.1.08.03-0574</t>
        </is>
      </c>
      <c r="D49" s="45" t="inlineStr">
        <is>
          <t>Кабель контрольный КВВГЭнг(А)-LS 4x2,5</t>
        </is>
      </c>
      <c r="E49" s="173" t="inlineStr">
        <is>
          <t>1000 м</t>
        </is>
      </c>
      <c r="F49" s="173" t="n">
        <v>0.022</v>
      </c>
      <c r="G49" s="47" t="n">
        <v>38348.22</v>
      </c>
      <c r="H49" s="47">
        <f>ROUND(F49*G49,2)</f>
        <v/>
      </c>
    </row>
    <row r="50" ht="25.5" customHeight="1" s="114">
      <c r="A50" s="48" t="n">
        <v>34</v>
      </c>
      <c r="B50" s="62" t="n"/>
      <c r="C50" s="58" t="inlineStr">
        <is>
          <t>08.4.01.01-0022</t>
        </is>
      </c>
      <c r="D50" s="45" t="inlineStr">
        <is>
          <t>Детали анкерные с резьбой из прямых или гнутых круглых стержней</t>
        </is>
      </c>
      <c r="E50" s="173" t="inlineStr">
        <is>
          <t>т</t>
        </is>
      </c>
      <c r="F50" s="173" t="n">
        <v>0.05598</v>
      </c>
      <c r="G50" s="47" t="n">
        <v>10100</v>
      </c>
      <c r="H50" s="47">
        <f>ROUND(F50*G50,2)</f>
        <v/>
      </c>
    </row>
    <row r="51" ht="25.5" customHeight="1" s="114">
      <c r="A51" s="48" t="n">
        <v>35</v>
      </c>
      <c r="B51" s="62" t="n"/>
      <c r="C51" s="58" t="inlineStr">
        <is>
          <t>05.1.01.10-0131</t>
        </is>
      </c>
      <c r="D51" s="45" t="inlineStr">
        <is>
          <t>Лотки каналов и тоннелей железобетонные для прокладки коммуникаций</t>
        </is>
      </c>
      <c r="E51" s="173" t="inlineStr">
        <is>
          <t>м3</t>
        </is>
      </c>
      <c r="F51" s="173" t="n">
        <v>0.28</v>
      </c>
      <c r="G51" s="47" t="n">
        <v>1837.28</v>
      </c>
      <c r="H51" s="47">
        <f>ROUND(F51*G51,2)</f>
        <v/>
      </c>
    </row>
    <row r="52">
      <c r="A52" s="48" t="n">
        <v>36</v>
      </c>
      <c r="B52" s="62" t="n"/>
      <c r="C52" s="44" t="inlineStr">
        <is>
          <t>Прайс из СД ОП</t>
        </is>
      </c>
      <c r="D52" s="45" t="inlineStr">
        <is>
          <t>Оцинковка</t>
        </is>
      </c>
      <c r="E52" s="173" t="inlineStr">
        <is>
          <t>т</t>
        </is>
      </c>
      <c r="F52" s="173" t="n">
        <v>0.06582</v>
      </c>
      <c r="G52" s="47" t="n">
        <v>7034.34</v>
      </c>
      <c r="H52" s="47">
        <f>ROUND(F52*G52,2)</f>
        <v/>
      </c>
    </row>
    <row r="53" ht="25.5" customHeight="1" s="114">
      <c r="A53" s="48" t="n">
        <v>37</v>
      </c>
      <c r="B53" s="62" t="n"/>
      <c r="C53" s="58" t="inlineStr">
        <is>
          <t>21.2.01.02-0094</t>
        </is>
      </c>
      <c r="D53" s="45" t="inlineStr">
        <is>
          <t>Провод неизолированный для воздушных линий электропередачи АС 300/39</t>
        </is>
      </c>
      <c r="E53" s="173" t="inlineStr">
        <is>
          <t>т</t>
        </is>
      </c>
      <c r="F53" s="173" t="n">
        <v>0.01132</v>
      </c>
      <c r="G53" s="47" t="n">
        <v>32758.86</v>
      </c>
      <c r="H53" s="47">
        <f>ROUND(F53*G53,2)</f>
        <v/>
      </c>
    </row>
    <row r="54" ht="25.5" customHeight="1" s="114">
      <c r="A54" s="48" t="n">
        <v>38</v>
      </c>
      <c r="B54" s="62" t="n"/>
      <c r="C54" s="58" t="inlineStr">
        <is>
          <t>04.1.02.05-0040</t>
        </is>
      </c>
      <c r="D54" s="45" t="inlineStr">
        <is>
          <t>Смеси бетонные тяжелого бетона (БСТ), крупность заполнителя 20 мм, класс В7,5 (М100)</t>
        </is>
      </c>
      <c r="E54" s="173" t="inlineStr">
        <is>
          <t>м3</t>
        </is>
      </c>
      <c r="F54" s="173" t="n">
        <v>0.612</v>
      </c>
      <c r="G54" s="47" t="n">
        <v>535.46</v>
      </c>
      <c r="H54" s="47">
        <f>ROUND(F54*G54,2)</f>
        <v/>
      </c>
    </row>
    <row r="55">
      <c r="A55" s="48" t="n">
        <v>39</v>
      </c>
      <c r="B55" s="62" t="n"/>
      <c r="C55" s="58" t="inlineStr">
        <is>
          <t>02.2.05.04-1777</t>
        </is>
      </c>
      <c r="D55" s="45" t="inlineStr">
        <is>
          <t>Щебень М 800, фракция 20-40 мм, группа 2</t>
        </is>
      </c>
      <c r="E55" s="173" t="inlineStr">
        <is>
          <t>м3</t>
        </is>
      </c>
      <c r="F55" s="173" t="n">
        <v>1.6</v>
      </c>
      <c r="G55" s="47" t="n">
        <v>108.4</v>
      </c>
      <c r="H55" s="47">
        <f>ROUND(F55*G55,2)</f>
        <v/>
      </c>
    </row>
    <row r="56" ht="25.5" customHeight="1" s="114">
      <c r="A56" s="48" t="n">
        <v>40</v>
      </c>
      <c r="B56" s="62" t="n"/>
      <c r="C56" s="58" t="inlineStr">
        <is>
          <t>08.4.03.02-0001</t>
        </is>
      </c>
      <c r="D56" s="45" t="inlineStr">
        <is>
          <t>Горячекатаная арматурная сталь гладкая класса А-I, диаметром 6 мм</t>
        </is>
      </c>
      <c r="E56" s="173" t="inlineStr">
        <is>
          <t>т</t>
        </is>
      </c>
      <c r="F56" s="173" t="n">
        <v>0.0182</v>
      </c>
      <c r="G56" s="47" t="n">
        <v>7418.82</v>
      </c>
      <c r="H56" s="47">
        <f>ROUND(F56*G56,2)</f>
        <v/>
      </c>
    </row>
    <row r="57">
      <c r="A57" s="48" t="n">
        <v>41</v>
      </c>
      <c r="B57" s="62" t="n"/>
      <c r="C57" s="58" t="inlineStr">
        <is>
          <t>20.1.01.02-0067</t>
        </is>
      </c>
      <c r="D57" s="45" t="inlineStr">
        <is>
          <t>Зажим аппаратный прессуемый: А4А-400-2</t>
        </is>
      </c>
      <c r="E57" s="173" t="inlineStr">
        <is>
          <t>100 шт.</t>
        </is>
      </c>
      <c r="F57" s="173" t="n">
        <v>0.02</v>
      </c>
      <c r="G57" s="47" t="n">
        <v>6505</v>
      </c>
      <c r="H57" s="47">
        <f>ROUND(F57*G57,2)</f>
        <v/>
      </c>
    </row>
    <row r="58" ht="25.5" customHeight="1" s="114">
      <c r="A58" s="48" t="n">
        <v>42</v>
      </c>
      <c r="B58" s="62" t="n"/>
      <c r="C58" s="58" t="inlineStr">
        <is>
          <t>08.4.03.02-0002</t>
        </is>
      </c>
      <c r="D58" s="45" t="inlineStr">
        <is>
          <t>Горячекатаная арматурная сталь гладкая класса А-I, диаметром 8 мм</t>
        </is>
      </c>
      <c r="E58" s="173" t="inlineStr">
        <is>
          <t>т</t>
        </is>
      </c>
      <c r="F58" s="173" t="n">
        <v>0.0176</v>
      </c>
      <c r="G58" s="47" t="n">
        <v>6780</v>
      </c>
      <c r="H58" s="47">
        <f>ROUND(F58*G58,2)</f>
        <v/>
      </c>
    </row>
    <row r="59">
      <c r="A59" s="48" t="n">
        <v>43</v>
      </c>
      <c r="B59" s="62" t="n"/>
      <c r="C59" s="58" t="inlineStr">
        <is>
          <t>11.2.13.04-0011</t>
        </is>
      </c>
      <c r="D59" s="45" t="inlineStr">
        <is>
          <t>Щиты из досок толщиной 25 мм</t>
        </is>
      </c>
      <c r="E59" s="173" t="inlineStr">
        <is>
          <t>м2</t>
        </is>
      </c>
      <c r="F59" s="173" t="n">
        <v>2.277</v>
      </c>
      <c r="G59" s="47" t="n">
        <v>35.53</v>
      </c>
      <c r="H59" s="47">
        <f>ROUND(F59*G59,2)</f>
        <v/>
      </c>
    </row>
    <row r="60" ht="38.25" customHeight="1" s="114">
      <c r="A60" s="48" t="n">
        <v>44</v>
      </c>
      <c r="B60" s="62" t="n"/>
      <c r="C60" s="58" t="inlineStr">
        <is>
          <t>08.4.01.02-0011</t>
        </is>
      </c>
      <c r="D60" s="45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60" s="173" t="inlineStr">
        <is>
          <t>т</t>
        </is>
      </c>
      <c r="F60" s="173" t="n">
        <v>0.00984</v>
      </c>
      <c r="G60" s="47" t="n">
        <v>5804</v>
      </c>
      <c r="H60" s="47">
        <f>ROUND(F60*G60,2)</f>
        <v/>
      </c>
    </row>
    <row r="61">
      <c r="A61" s="48" t="n">
        <v>45</v>
      </c>
      <c r="B61" s="62" t="n"/>
      <c r="C61" s="58" t="inlineStr">
        <is>
          <t>01.7.11.07-0034</t>
        </is>
      </c>
      <c r="D61" s="45" t="inlineStr">
        <is>
          <t>Электроды сварочные Э42А, диаметр 4 мм</t>
        </is>
      </c>
      <c r="E61" s="173" t="inlineStr">
        <is>
          <t>кг</t>
        </is>
      </c>
      <c r="F61" s="173" t="n">
        <v>3.8999961</v>
      </c>
      <c r="G61" s="47" t="n">
        <v>10.57</v>
      </c>
      <c r="H61" s="47">
        <f>ROUND(F61*G61,2)</f>
        <v/>
      </c>
    </row>
    <row r="62" ht="25.5" customHeight="1" s="114">
      <c r="A62" s="48" t="n">
        <v>46</v>
      </c>
      <c r="B62" s="62" t="n"/>
      <c r="C62" s="58" t="inlineStr">
        <is>
          <t>01.3.01.06-0050</t>
        </is>
      </c>
      <c r="D62" s="45" t="inlineStr">
        <is>
          <t>Смазка универсальная тугоплавкая УТ (консталин жировой)</t>
        </is>
      </c>
      <c r="E62" s="173" t="inlineStr">
        <is>
          <t>т</t>
        </is>
      </c>
      <c r="F62" s="173" t="n">
        <v>0.001999998</v>
      </c>
      <c r="G62" s="47" t="n">
        <v>17500</v>
      </c>
      <c r="H62" s="47">
        <f>ROUND(F62*G62,2)</f>
        <v/>
      </c>
    </row>
    <row r="63">
      <c r="A63" s="48" t="n">
        <v>47</v>
      </c>
      <c r="B63" s="62" t="n"/>
      <c r="C63" s="58" t="inlineStr">
        <is>
          <t>14.4.02.09-0001</t>
        </is>
      </c>
      <c r="D63" s="45" t="inlineStr">
        <is>
          <t>Краска</t>
        </is>
      </c>
      <c r="E63" s="173" t="inlineStr">
        <is>
          <t>кг</t>
        </is>
      </c>
      <c r="F63" s="173" t="n">
        <v>1.1999988</v>
      </c>
      <c r="G63" s="47" t="n">
        <v>28.6</v>
      </c>
      <c r="H63" s="47">
        <f>ROUND(F63*G63,2)</f>
        <v/>
      </c>
    </row>
    <row r="64" ht="25.5" customHeight="1" s="114">
      <c r="A64" s="48" t="n">
        <v>48</v>
      </c>
      <c r="B64" s="62" t="n"/>
      <c r="C64" s="58" t="inlineStr">
        <is>
          <t>11.1.03.06-0095</t>
        </is>
      </c>
      <c r="D64" s="45" t="inlineStr">
        <is>
          <t>Доска обрезная, хвойных пород, ширина 75-150 мм, толщина 44 мм и более, длина 4-6,5 м, сорт III</t>
        </is>
      </c>
      <c r="E64" s="173" t="inlineStr">
        <is>
          <t>м3</t>
        </is>
      </c>
      <c r="F64" s="173" t="n">
        <v>0.03174</v>
      </c>
      <c r="G64" s="47" t="n">
        <v>1056</v>
      </c>
      <c r="H64" s="47">
        <f>ROUND(F64*G64,2)</f>
        <v/>
      </c>
    </row>
    <row r="65">
      <c r="A65" s="48" t="n">
        <v>49</v>
      </c>
      <c r="B65" s="62" t="n"/>
      <c r="C65" s="58" t="inlineStr">
        <is>
          <t>01.7.15.03-0042</t>
        </is>
      </c>
      <c r="D65" s="45" t="inlineStr">
        <is>
          <t>Болты с гайками и шайбами строительные</t>
        </is>
      </c>
      <c r="E65" s="173" t="inlineStr">
        <is>
          <t>кг</t>
        </is>
      </c>
      <c r="F65" s="173" t="n">
        <v>3.3666633</v>
      </c>
      <c r="G65" s="47" t="n">
        <v>9.039999999999999</v>
      </c>
      <c r="H65" s="47">
        <f>ROUND(F65*G65,2)</f>
        <v/>
      </c>
    </row>
    <row r="66">
      <c r="A66" s="48" t="n">
        <v>50</v>
      </c>
      <c r="B66" s="62" t="n"/>
      <c r="C66" s="58" t="inlineStr">
        <is>
          <t>01.7.15.06-0111</t>
        </is>
      </c>
      <c r="D66" s="45" t="inlineStr">
        <is>
          <t>Гвозди строительные</t>
        </is>
      </c>
      <c r="E66" s="173" t="inlineStr">
        <is>
          <t>т</t>
        </is>
      </c>
      <c r="F66" s="173" t="n">
        <v>0.001702</v>
      </c>
      <c r="G66" s="47" t="n">
        <v>11978</v>
      </c>
      <c r="H66" s="47">
        <f>ROUND(F66*G66,2)</f>
        <v/>
      </c>
    </row>
    <row r="67" ht="25.5" customHeight="1" s="114">
      <c r="A67" s="48" t="n">
        <v>51</v>
      </c>
      <c r="B67" s="62" t="n"/>
      <c r="C67" s="58" t="inlineStr">
        <is>
          <t>11.1.02.04-0031</t>
        </is>
      </c>
      <c r="D67" s="45" t="inlineStr">
        <is>
          <t>Лесоматериалы круглые хвойных пород для строительства диаметром 14-24 см, длиной 3-6,5 м</t>
        </is>
      </c>
      <c r="E67" s="173" t="inlineStr">
        <is>
          <t>м3</t>
        </is>
      </c>
      <c r="F67" s="173" t="n">
        <v>0.03174</v>
      </c>
      <c r="G67" s="47" t="n">
        <v>558.33</v>
      </c>
      <c r="H67" s="47">
        <f>ROUND(F67*G67,2)</f>
        <v/>
      </c>
    </row>
    <row r="68">
      <c r="A68" s="48" t="n">
        <v>52</v>
      </c>
      <c r="B68" s="62" t="n"/>
      <c r="C68" s="58" t="inlineStr">
        <is>
          <t>01.7.20.08-0031</t>
        </is>
      </c>
      <c r="D68" s="45" t="inlineStr">
        <is>
          <t xml:space="preserve">Бязь суровая </t>
        </is>
      </c>
      <c r="E68" s="173" t="inlineStr">
        <is>
          <t>10 м2</t>
        </is>
      </c>
      <c r="F68" s="173" t="n">
        <v>0.200999799</v>
      </c>
      <c r="G68" s="47" t="n">
        <v>79.09999999999999</v>
      </c>
      <c r="H68" s="47">
        <f>ROUND(F68*G68,2)</f>
        <v/>
      </c>
    </row>
    <row r="69">
      <c r="A69" s="48" t="n">
        <v>53</v>
      </c>
      <c r="B69" s="62" t="n"/>
      <c r="C69" s="58" t="inlineStr">
        <is>
          <t>999-9950</t>
        </is>
      </c>
      <c r="D69" s="45" t="inlineStr">
        <is>
          <t>Вспомогательные ненормируемые материалы</t>
        </is>
      </c>
      <c r="E69" s="173" t="inlineStr">
        <is>
          <t>руб</t>
        </is>
      </c>
      <c r="F69" s="173" t="n">
        <v>15.58331775</v>
      </c>
      <c r="G69" s="47" t="n">
        <v>1</v>
      </c>
      <c r="H69" s="47">
        <f>ROUND(F69*G69,2)</f>
        <v/>
      </c>
    </row>
    <row r="70" ht="25.5" customHeight="1" s="114">
      <c r="A70" s="48" t="n">
        <v>54</v>
      </c>
      <c r="B70" s="62" t="n"/>
      <c r="C70" s="58" t="inlineStr">
        <is>
          <t>08.3.07.01-0076</t>
        </is>
      </c>
      <c r="D70" s="45" t="inlineStr">
        <is>
          <t>Прокат полосовой, горячекатаный, марка стали Ст3сп, ширина 50-200 мм, толщина 4-5 мм</t>
        </is>
      </c>
      <c r="E70" s="173" t="inlineStr">
        <is>
          <t>т</t>
        </is>
      </c>
      <c r="F70" s="173" t="n">
        <v>0.002866664</v>
      </c>
      <c r="G70" s="47" t="n">
        <v>5000</v>
      </c>
      <c r="H70" s="47">
        <f>ROUND(F70*G70,2)</f>
        <v/>
      </c>
    </row>
    <row r="71" ht="25.5" customHeight="1" s="114">
      <c r="A71" s="48" t="n">
        <v>55</v>
      </c>
      <c r="B71" s="62" t="n"/>
      <c r="C71" s="58" t="inlineStr">
        <is>
          <t>11.1.03.06-0087</t>
        </is>
      </c>
      <c r="D71" s="45" t="inlineStr">
        <is>
          <t>Доска обрезная, хвойных пород, ширина 75-150 мм, толщина 25 мм, длина 4-6,5 м, сорт III</t>
        </is>
      </c>
      <c r="E71" s="173" t="inlineStr">
        <is>
          <t>м3</t>
        </is>
      </c>
      <c r="F71" s="173" t="n">
        <v>0.0092</v>
      </c>
      <c r="G71" s="47" t="n">
        <v>1100</v>
      </c>
      <c r="H71" s="47">
        <f>ROUND(F71*G71,2)</f>
        <v/>
      </c>
    </row>
    <row r="72" ht="25.5" customHeight="1" s="114">
      <c r="A72" s="48" t="n">
        <v>56</v>
      </c>
      <c r="B72" s="62" t="n"/>
      <c r="C72" s="58" t="inlineStr">
        <is>
          <t>08.3.03.06-0002</t>
        </is>
      </c>
      <c r="D72" s="45" t="inlineStr">
        <is>
          <t>Проволока горячекатаная в мотках, диаметром 6,3-6,5 мм</t>
        </is>
      </c>
      <c r="E72" s="173" t="inlineStr">
        <is>
          <t>т</t>
        </is>
      </c>
      <c r="F72" s="173" t="n">
        <v>0.00184</v>
      </c>
      <c r="G72" s="47" t="n">
        <v>4455.2</v>
      </c>
      <c r="H72" s="47">
        <f>ROUND(F72*G72,2)</f>
        <v/>
      </c>
    </row>
    <row r="73">
      <c r="A73" s="48" t="n">
        <v>57</v>
      </c>
      <c r="B73" s="62" t="n"/>
      <c r="C73" s="58" t="inlineStr">
        <is>
          <t>01.7.07.12-0024</t>
        </is>
      </c>
      <c r="D73" s="45" t="inlineStr">
        <is>
          <t>Пленка полиэтиленовая толщиной 0,15 мм</t>
        </is>
      </c>
      <c r="E73" s="173" t="inlineStr">
        <is>
          <t>м2</t>
        </is>
      </c>
      <c r="F73" s="173" t="n">
        <v>1.9646</v>
      </c>
      <c r="G73" s="47" t="n">
        <v>3.62</v>
      </c>
      <c r="H73" s="47">
        <f>ROUND(F73*G73,2)</f>
        <v/>
      </c>
    </row>
    <row r="74" ht="25.5" customHeight="1" s="114">
      <c r="A74" s="48" t="n">
        <v>58</v>
      </c>
      <c r="B74" s="62" t="n"/>
      <c r="C74" s="58" t="inlineStr">
        <is>
          <t>11.1.03.01-0079</t>
        </is>
      </c>
      <c r="D74" s="45" t="inlineStr">
        <is>
          <t>Бруски обрезные, хвойных пород, длина 4-6,5 м, ширина 75-150 мм, толщина 40-75 мм, сорт III</t>
        </is>
      </c>
      <c r="E74" s="173" t="inlineStr">
        <is>
          <t>м3</t>
        </is>
      </c>
      <c r="F74" s="173" t="n">
        <v>0.00368</v>
      </c>
      <c r="G74" s="47" t="n">
        <v>1287</v>
      </c>
      <c r="H74" s="47">
        <f>ROUND(F74*G74,2)</f>
        <v/>
      </c>
    </row>
    <row r="75">
      <c r="A75" s="48" t="n">
        <v>59</v>
      </c>
      <c r="B75" s="62" t="n"/>
      <c r="C75" s="58" t="inlineStr">
        <is>
          <t>14.2.06.06-0011</t>
        </is>
      </c>
      <c r="D75" s="45" t="inlineStr">
        <is>
          <t>Латекс СКС-65 ГП</t>
        </is>
      </c>
      <c r="E75" s="173" t="inlineStr">
        <is>
          <t>т</t>
        </is>
      </c>
      <c r="F75" s="173" t="n">
        <v>0.000315</v>
      </c>
      <c r="G75" s="47" t="n">
        <v>13673</v>
      </c>
      <c r="H75" s="47">
        <f>ROUND(F75*G75,2)</f>
        <v/>
      </c>
    </row>
    <row r="76">
      <c r="A76" s="48" t="n">
        <v>60</v>
      </c>
      <c r="B76" s="62" t="n"/>
      <c r="C76" s="58" t="inlineStr">
        <is>
          <t>01.7.11.07-0054</t>
        </is>
      </c>
      <c r="D76" s="45" t="inlineStr">
        <is>
          <t>Электроды сварочные Э42, диаметр 6 мм</t>
        </is>
      </c>
      <c r="E76" s="173" t="inlineStr">
        <is>
          <t>т</t>
        </is>
      </c>
      <c r="F76" s="173" t="n">
        <v>0.000184</v>
      </c>
      <c r="G76" s="47" t="n">
        <v>9424</v>
      </c>
      <c r="H76" s="47">
        <f>ROUND(F76*G76,2)</f>
        <v/>
      </c>
    </row>
    <row r="77">
      <c r="A77" s="48" t="n">
        <v>61</v>
      </c>
      <c r="B77" s="62" t="n"/>
      <c r="C77" s="58" t="inlineStr">
        <is>
          <t>03.1.02.03-0011</t>
        </is>
      </c>
      <c r="D77" s="45" t="inlineStr">
        <is>
          <t>Известь строительная негашеная комовая, сорт I</t>
        </is>
      </c>
      <c r="E77" s="173" t="inlineStr">
        <is>
          <t>т</t>
        </is>
      </c>
      <c r="F77" s="173" t="n">
        <v>0.002116</v>
      </c>
      <c r="G77" s="47" t="n">
        <v>734.5</v>
      </c>
      <c r="H77" s="47">
        <f>ROUND(F77*G77,2)</f>
        <v/>
      </c>
    </row>
    <row r="78">
      <c r="A78" s="48" t="n">
        <v>62</v>
      </c>
      <c r="B78" s="62" t="n"/>
      <c r="C78" s="58" t="inlineStr">
        <is>
          <t>01.7.03.01-0001</t>
        </is>
      </c>
      <c r="D78" s="45" t="inlineStr">
        <is>
          <t>Вода</t>
        </is>
      </c>
      <c r="E78" s="173" t="inlineStr">
        <is>
          <t>м3</t>
        </is>
      </c>
      <c r="F78" s="173" t="n">
        <v>0.169962</v>
      </c>
      <c r="G78" s="47" t="n">
        <v>2.44</v>
      </c>
      <c r="H78" s="47">
        <f>ROUND(F78*G78,2)</f>
        <v/>
      </c>
    </row>
    <row r="79">
      <c r="K79" s="92" t="n"/>
    </row>
    <row r="80" ht="25.5" customHeight="1" s="114">
      <c r="B80" s="54" t="inlineStr">
        <is>
          <t xml:space="preserve">Примечание: </t>
        </is>
      </c>
      <c r="C80" s="1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4">
      <c r="B84" s="115" t="inlineStr">
        <is>
          <t>Составил ______________________        Е. М. Добровольская</t>
        </is>
      </c>
      <c r="C84" s="125" t="n"/>
    </row>
    <row r="85">
      <c r="B85" s="126" t="inlineStr">
        <is>
          <t xml:space="preserve">                         (подпись, инициалы, фамилия)</t>
        </is>
      </c>
      <c r="C85" s="125" t="n"/>
    </row>
    <row r="86">
      <c r="B86" s="115" t="n"/>
      <c r="C86" s="125" t="n"/>
    </row>
    <row r="87">
      <c r="B87" s="115" t="inlineStr">
        <is>
          <t>Проверил ______________________        А.В. Костянецкая</t>
        </is>
      </c>
      <c r="C87" s="125" t="n"/>
    </row>
    <row r="88">
      <c r="B88" s="126" t="inlineStr">
        <is>
          <t xml:space="preserve">                        (подпись, инициалы, фамилия)</t>
        </is>
      </c>
      <c r="C88" s="125" t="n"/>
    </row>
  </sheetData>
  <mergeCells count="17">
    <mergeCell ref="A21:E21"/>
    <mergeCell ref="C9:C10"/>
    <mergeCell ref="B9:B10"/>
    <mergeCell ref="A12:E12"/>
    <mergeCell ref="A3:H3"/>
    <mergeCell ref="E9:E10"/>
    <mergeCell ref="A43:E43"/>
    <mergeCell ref="F9:F10"/>
    <mergeCell ref="A7:H7"/>
    <mergeCell ref="A9:A10"/>
    <mergeCell ref="D9:D10"/>
    <mergeCell ref="C5:H5"/>
    <mergeCell ref="A2:H2"/>
    <mergeCell ref="A19:E19"/>
    <mergeCell ref="C80:H80"/>
    <mergeCell ref="G9:H9"/>
    <mergeCell ref="A40:E4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114" min="1" max="1"/>
    <col width="36.28515625" customWidth="1" style="114" min="2" max="2"/>
    <col width="18.85546875" customWidth="1" style="114" min="3" max="3"/>
    <col width="18.28515625" customWidth="1" style="114" min="4" max="4"/>
    <col width="18.85546875" customWidth="1" style="114" min="5" max="5"/>
    <col width="9.140625" customWidth="1" style="114" min="6" max="6"/>
    <col width="12.85546875" customWidth="1" style="114" min="7" max="7"/>
    <col width="9.140625" customWidth="1" style="114" min="8" max="11"/>
    <col width="13.5703125" customWidth="1" style="114" min="12" max="12"/>
    <col width="9.140625" customWidth="1" style="114" min="13" max="13"/>
  </cols>
  <sheetData>
    <row r="1">
      <c r="B1" s="115" t="n"/>
      <c r="C1" s="115" t="n"/>
      <c r="D1" s="115" t="n"/>
      <c r="E1" s="115" t="n"/>
    </row>
    <row r="2">
      <c r="B2" s="115" t="n"/>
      <c r="C2" s="115" t="n"/>
      <c r="D2" s="115" t="n"/>
      <c r="E2" s="172" t="inlineStr">
        <is>
          <t>Приложение № 4</t>
        </is>
      </c>
    </row>
    <row r="3">
      <c r="B3" s="115" t="n"/>
      <c r="C3" s="115" t="n"/>
      <c r="D3" s="115" t="n"/>
      <c r="E3" s="115" t="n"/>
    </row>
    <row r="4">
      <c r="B4" s="115" t="n"/>
      <c r="C4" s="115" t="n"/>
      <c r="D4" s="115" t="n"/>
      <c r="E4" s="115" t="n"/>
    </row>
    <row r="5">
      <c r="B5" s="149" t="inlineStr">
        <is>
          <t>Ресурсная модель</t>
        </is>
      </c>
    </row>
    <row r="6">
      <c r="B6" s="16" t="n"/>
      <c r="C6" s="115" t="n"/>
      <c r="D6" s="115" t="n"/>
      <c r="E6" s="115" t="n"/>
    </row>
    <row r="7" ht="34.5" customHeight="1" s="114">
      <c r="B7" s="150">
        <f>'Прил.1 Сравнит табл'!B7</f>
        <v/>
      </c>
    </row>
    <row r="8">
      <c r="B8" s="151">
        <f>'Прил.1 Сравнит табл'!B9</f>
        <v/>
      </c>
    </row>
    <row r="9">
      <c r="B9" s="16" t="n"/>
      <c r="C9" s="115" t="n"/>
      <c r="D9" s="115" t="n"/>
      <c r="E9" s="115" t="n"/>
    </row>
    <row r="10" ht="51" customHeight="1" s="114">
      <c r="B10" s="153" t="inlineStr">
        <is>
          <t>Наименование</t>
        </is>
      </c>
      <c r="C10" s="153" t="inlineStr">
        <is>
          <t>Сметная стоимость в ценах на 01.01.2023
 (руб.)</t>
        </is>
      </c>
      <c r="D10" s="153" t="inlineStr">
        <is>
          <t>Удельный вес, 
(в СМР)</t>
        </is>
      </c>
      <c r="E10" s="15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20">
        <f>'Прил.5 Расчет СМР и ОБ'!J14</f>
        <v/>
      </c>
      <c r="D11" s="98">
        <f>C11/$C$24</f>
        <v/>
      </c>
      <c r="E11" s="98">
        <f>C11/$C$40</f>
        <v/>
      </c>
    </row>
    <row r="12">
      <c r="B12" s="7" t="inlineStr">
        <is>
          <t>Эксплуатация машин основных</t>
        </is>
      </c>
      <c r="C12" s="120">
        <f>'Прил.5 Расчет СМР и ОБ'!J24</f>
        <v/>
      </c>
      <c r="D12" s="98">
        <f>C12/$C$24</f>
        <v/>
      </c>
      <c r="E12" s="98">
        <f>C12/$C$40</f>
        <v/>
      </c>
    </row>
    <row r="13">
      <c r="B13" s="7" t="inlineStr">
        <is>
          <t>Эксплуатация машин прочих</t>
        </is>
      </c>
      <c r="C13" s="120">
        <f>'Прил.5 Расчет СМР и ОБ'!J38</f>
        <v/>
      </c>
      <c r="D13" s="98">
        <f>C13/$C$24</f>
        <v/>
      </c>
      <c r="E13" s="98">
        <f>C13/$C$40</f>
        <v/>
      </c>
    </row>
    <row r="14">
      <c r="B14" s="7" t="inlineStr">
        <is>
          <t>ЭКСПЛУАТАЦИЯ МАШИН, ВСЕГО:</t>
        </is>
      </c>
      <c r="C14" s="120">
        <f>C13+C12</f>
        <v/>
      </c>
      <c r="D14" s="98">
        <f>C14/$C$24</f>
        <v/>
      </c>
      <c r="E14" s="98">
        <f>C14/$C$40</f>
        <v/>
      </c>
    </row>
    <row r="15">
      <c r="B15" s="7" t="inlineStr">
        <is>
          <t>в том числе зарплата машинистов</t>
        </is>
      </c>
      <c r="C15" s="120">
        <f>'Прил.5 Расчет СМР и ОБ'!J16</f>
        <v/>
      </c>
      <c r="D15" s="98">
        <f>C15/$C$24</f>
        <v/>
      </c>
      <c r="E15" s="98">
        <f>C15/$C$40</f>
        <v/>
      </c>
    </row>
    <row r="16">
      <c r="B16" s="7" t="inlineStr">
        <is>
          <t>Материалы основные</t>
        </is>
      </c>
      <c r="C16" s="120">
        <f>'Прил.5 Расчет СМР и ОБ'!J57</f>
        <v/>
      </c>
      <c r="D16" s="98">
        <f>C16/$C$24</f>
        <v/>
      </c>
      <c r="E16" s="98">
        <f>C16/$C$40</f>
        <v/>
      </c>
    </row>
    <row r="17">
      <c r="B17" s="7" t="inlineStr">
        <is>
          <t>Материалы прочие</t>
        </is>
      </c>
      <c r="C17" s="120">
        <f>'Прил.5 Расчет СМР и ОБ'!J86</f>
        <v/>
      </c>
      <c r="D17" s="98">
        <f>C17/$C$24</f>
        <v/>
      </c>
      <c r="E17" s="98">
        <f>C17/$C$40</f>
        <v/>
      </c>
      <c r="G17" s="17" t="n"/>
    </row>
    <row r="18">
      <c r="B18" s="7" t="inlineStr">
        <is>
          <t>МАТЕРИАЛЫ, ВСЕГО:</t>
        </is>
      </c>
      <c r="C18" s="120">
        <f>C17+C16</f>
        <v/>
      </c>
      <c r="D18" s="98">
        <f>C18/$C$24</f>
        <v/>
      </c>
      <c r="E18" s="98">
        <f>C18/$C$40</f>
        <v/>
      </c>
    </row>
    <row r="19">
      <c r="B19" s="7" t="inlineStr">
        <is>
          <t>ИТОГО</t>
        </is>
      </c>
      <c r="C19" s="120">
        <f>C18+C14+C11</f>
        <v/>
      </c>
      <c r="D19" s="98" t="n"/>
      <c r="E19" s="7" t="n"/>
    </row>
    <row r="20">
      <c r="B20" s="7" t="inlineStr">
        <is>
          <t>Сметная прибыль, руб.</t>
        </is>
      </c>
      <c r="C20" s="120">
        <f>ROUND(C21*(C11+C15),2)</f>
        <v/>
      </c>
      <c r="D20" s="98">
        <f>C20/$C$24</f>
        <v/>
      </c>
      <c r="E20" s="98">
        <f>C20/$C$40</f>
        <v/>
      </c>
    </row>
    <row r="21">
      <c r="B21" s="7" t="inlineStr">
        <is>
          <t>Сметная прибыль, %</t>
        </is>
      </c>
      <c r="C21" s="99">
        <f>'Прил.5 Расчет СМР и ОБ'!E90</f>
        <v/>
      </c>
      <c r="D21" s="98" t="n"/>
      <c r="E21" s="7" t="n"/>
    </row>
    <row r="22">
      <c r="B22" s="7" t="inlineStr">
        <is>
          <t>Накладные расходы, руб.</t>
        </is>
      </c>
      <c r="C22" s="120">
        <f>ROUND(C23*(C11+C15),2)</f>
        <v/>
      </c>
      <c r="D22" s="98">
        <f>C22/$C$24</f>
        <v/>
      </c>
      <c r="E22" s="98">
        <f>C22/$C$40</f>
        <v/>
      </c>
    </row>
    <row r="23">
      <c r="B23" s="7" t="inlineStr">
        <is>
          <t>Накладные расходы, %</t>
        </is>
      </c>
      <c r="C23" s="99">
        <f>'Прил.5 Расчет СМР и ОБ'!E89</f>
        <v/>
      </c>
      <c r="D23" s="98" t="n"/>
      <c r="E23" s="7" t="n"/>
    </row>
    <row r="24">
      <c r="B24" s="7" t="inlineStr">
        <is>
          <t>ВСЕГО СМР с НР и СП</t>
        </is>
      </c>
      <c r="C24" s="120">
        <f>C19+C20+C22</f>
        <v/>
      </c>
      <c r="D24" s="98">
        <f>C24/$C$24</f>
        <v/>
      </c>
      <c r="E24" s="98">
        <f>C24/$C$40</f>
        <v/>
      </c>
    </row>
    <row r="25" ht="25.5" customHeight="1" s="114">
      <c r="B25" s="7" t="inlineStr">
        <is>
          <t>ВСЕГО стоимость оборудования, в том числе</t>
        </is>
      </c>
      <c r="C25" s="120">
        <f>'Прил.5 Расчет СМР и ОБ'!J47</f>
        <v/>
      </c>
      <c r="D25" s="98" t="n"/>
      <c r="E25" s="98">
        <f>C25/$C$40</f>
        <v/>
      </c>
    </row>
    <row r="26" ht="25.5" customHeight="1" s="114">
      <c r="B26" s="7" t="inlineStr">
        <is>
          <t>стоимость оборудования технологического</t>
        </is>
      </c>
      <c r="C26" s="120">
        <f>C25</f>
        <v/>
      </c>
      <c r="D26" s="98" t="n"/>
      <c r="E26" s="98">
        <f>C26/$C$40</f>
        <v/>
      </c>
    </row>
    <row r="27">
      <c r="B27" s="7" t="inlineStr">
        <is>
          <t>ИТОГО (СМР + ОБОРУДОВАНИЕ)</t>
        </is>
      </c>
      <c r="C27" s="100">
        <f>C24+C25</f>
        <v/>
      </c>
      <c r="D27" s="98" t="n"/>
      <c r="E27" s="98">
        <f>C27/$C$40</f>
        <v/>
      </c>
    </row>
    <row r="28" ht="33" customHeight="1" s="11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4">
      <c r="B29" s="7" t="inlineStr">
        <is>
          <t>Временные здания и сооружения - 3,9%</t>
        </is>
      </c>
      <c r="C29" s="100">
        <f>ROUND(C24*3.9%,2)</f>
        <v/>
      </c>
      <c r="D29" s="7" t="n"/>
      <c r="E29" s="98">
        <f>C29/$C$40</f>
        <v/>
      </c>
    </row>
    <row r="30" ht="38.25" customHeight="1" s="11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100">
        <f>ROUND((C24+C29)*2.1%,2)</f>
        <v/>
      </c>
      <c r="D30" s="7" t="n"/>
      <c r="E30" s="98">
        <f>C30/$C$40</f>
        <v/>
      </c>
    </row>
    <row r="31">
      <c r="B31" s="7" t="inlineStr">
        <is>
          <t>Пусконаладочные работы</t>
        </is>
      </c>
      <c r="C31" s="100" t="n">
        <v>85095.82000000001</v>
      </c>
      <c r="D31" s="7" t="n"/>
      <c r="E31" s="98">
        <f>C31/$C$40</f>
        <v/>
      </c>
    </row>
    <row r="32" ht="25.5" customHeight="1" s="114">
      <c r="B32" s="7" t="inlineStr">
        <is>
          <t>Затраты по перевозке работников к месту работы и обратно</t>
        </is>
      </c>
      <c r="C32" s="100">
        <f>ROUND($C$27*0%,2)</f>
        <v/>
      </c>
      <c r="D32" s="7" t="n"/>
      <c r="E32" s="98">
        <f>C32/$C$40</f>
        <v/>
      </c>
    </row>
    <row r="33" ht="25.5" customHeight="1" s="114">
      <c r="B33" s="7" t="inlineStr">
        <is>
          <t>Затраты, связанные с осуществлением работ вахтовым методом</t>
        </is>
      </c>
      <c r="C33" s="100">
        <f>ROUND($C$27*0%,2)</f>
        <v/>
      </c>
      <c r="D33" s="7" t="n"/>
      <c r="E33" s="98">
        <f>C33/$C$40</f>
        <v/>
      </c>
    </row>
    <row r="34" ht="51" customHeight="1" s="11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0">
        <f>ROUND($C$27*0%,2)</f>
        <v/>
      </c>
      <c r="D34" s="7" t="n"/>
      <c r="E34" s="98">
        <f>C34/$C$40</f>
        <v/>
      </c>
    </row>
    <row r="35" ht="76.5" customHeight="1" s="11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0">
        <f>ROUND($C$27*0%,2)</f>
        <v/>
      </c>
      <c r="D35" s="7" t="n"/>
      <c r="E35" s="98">
        <f>C35/$C$40</f>
        <v/>
      </c>
    </row>
    <row r="36" ht="25.5" customHeight="1" s="114">
      <c r="B36" s="7" t="inlineStr">
        <is>
          <t>Строительный контроль и содержание службы заказчика - 2,14%</t>
        </is>
      </c>
      <c r="C36" s="100">
        <f>ROUND((C27+C32+C33+C34+C35+C29+C31+C30)*2.14%,2)</f>
        <v/>
      </c>
      <c r="D36" s="7" t="n"/>
      <c r="E36" s="98">
        <f>C36/$C$40</f>
        <v/>
      </c>
      <c r="G36" s="63" t="n"/>
      <c r="L36" s="18" t="n"/>
    </row>
    <row r="37">
      <c r="B37" s="7" t="inlineStr">
        <is>
          <t>Авторский надзор - 0,2%</t>
        </is>
      </c>
      <c r="C37" s="100">
        <f>ROUND((C27+C32+C33+C34+C35+C29+C31+C30)*0.2%,2)</f>
        <v/>
      </c>
      <c r="D37" s="7" t="n"/>
      <c r="E37" s="98">
        <f>C37/$C$40</f>
        <v/>
      </c>
      <c r="G37" s="63" t="n"/>
      <c r="L37" s="18" t="n"/>
    </row>
    <row r="38" ht="38.25" customHeight="1" s="114">
      <c r="B38" s="7" t="inlineStr">
        <is>
          <t>ИТОГО (СМР+ОБОРУДОВАНИЕ+ПРОЧ. ЗАТР., УЧТЕННЫЕ ПОКАЗАТЕЛЕМ)</t>
        </is>
      </c>
      <c r="C38" s="120">
        <f>C27+C32+C33+C34+C35+C29+C31+C30+C36+C37</f>
        <v/>
      </c>
      <c r="D38" s="7" t="n"/>
      <c r="E38" s="98">
        <f>C38/$C$40</f>
        <v/>
      </c>
    </row>
    <row r="39" ht="13.5" customHeight="1" s="114">
      <c r="B39" s="7" t="inlineStr">
        <is>
          <t>Непредвиденные расходы</t>
        </is>
      </c>
      <c r="C39" s="120">
        <f>ROUND(C38*3%,2)</f>
        <v/>
      </c>
      <c r="D39" s="7" t="n"/>
      <c r="E39" s="98">
        <f>C39/$C$38</f>
        <v/>
      </c>
    </row>
    <row r="40">
      <c r="B40" s="7" t="inlineStr">
        <is>
          <t>ВСЕГО:</t>
        </is>
      </c>
      <c r="C40" s="120">
        <f>C39+C38</f>
        <v/>
      </c>
      <c r="D40" s="7" t="n"/>
      <c r="E40" s="98">
        <f>C40/$C$40</f>
        <v/>
      </c>
    </row>
    <row r="41">
      <c r="B41" s="7" t="inlineStr">
        <is>
          <t>ИТОГО ПОКАЗАТЕЛЬ НА ЕД. ИЗМ.</t>
        </is>
      </c>
      <c r="C41" s="120">
        <f>C40/'Прил.5 Расчет СМР и ОБ'!E93</f>
        <v/>
      </c>
      <c r="D41" s="7" t="n"/>
      <c r="E41" s="7" t="n"/>
    </row>
    <row r="42">
      <c r="B42" s="122" t="n"/>
      <c r="C42" s="115" t="n"/>
      <c r="D42" s="115" t="n"/>
      <c r="E42" s="115" t="n"/>
    </row>
    <row r="43">
      <c r="B43" s="115" t="inlineStr">
        <is>
          <t>Составил ______________________        Е. М. Добровольская</t>
        </is>
      </c>
      <c r="C43" s="125" t="n"/>
      <c r="D43" s="115" t="n"/>
      <c r="E43" s="115" t="n"/>
    </row>
    <row r="44">
      <c r="B44" s="126" t="inlineStr">
        <is>
          <t xml:space="preserve">                         (подпись, инициалы, фамилия)</t>
        </is>
      </c>
      <c r="C44" s="125" t="n"/>
      <c r="D44" s="115" t="n"/>
      <c r="E44" s="115" t="n"/>
    </row>
    <row r="45">
      <c r="B45" s="115" t="n"/>
      <c r="C45" s="125" t="n"/>
      <c r="D45" s="115" t="n"/>
      <c r="E45" s="115" t="n"/>
    </row>
    <row r="46">
      <c r="B46" s="115" t="inlineStr">
        <is>
          <t>Проверил ______________________        А.В. Костянецкая</t>
        </is>
      </c>
      <c r="C46" s="125" t="n"/>
      <c r="D46" s="115" t="n"/>
      <c r="E46" s="115" t="n"/>
    </row>
    <row r="47">
      <c r="B47" s="126" t="inlineStr">
        <is>
          <t xml:space="preserve">                        (подпись, инициалы, фамилия)</t>
        </is>
      </c>
      <c r="C47" s="125" t="n"/>
      <c r="D47" s="115" t="n"/>
      <c r="E47" s="115" t="n"/>
    </row>
    <row r="49">
      <c r="B49" s="115" t="n"/>
      <c r="C49" s="115" t="n"/>
      <c r="D49" s="115" t="n"/>
      <c r="E49" s="115" t="n"/>
    </row>
    <row r="50">
      <c r="B50" s="115" t="n"/>
      <c r="C50" s="115" t="n"/>
      <c r="D50" s="115" t="n"/>
      <c r="E50" s="11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0"/>
  <sheetViews>
    <sheetView view="pageBreakPreview" topLeftCell="A99" zoomScale="85" workbookViewId="0">
      <selection activeCell="D121" sqref="D121"/>
    </sheetView>
  </sheetViews>
  <sheetFormatPr baseColWidth="8" defaultColWidth="9.140625" defaultRowHeight="15" outlineLevelRow="1"/>
  <cols>
    <col width="5.7109375" customWidth="1" style="125" min="1" max="1"/>
    <col width="22.5703125" customWidth="1" style="125" min="2" max="2"/>
    <col width="39.140625" customWidth="1" style="125" min="3" max="3"/>
    <col width="10.7109375" customWidth="1" style="125" min="4" max="4"/>
    <col width="12.7109375" customWidth="1" style="125" min="5" max="5"/>
    <col width="14.5703125" customWidth="1" style="125" min="6" max="6"/>
    <col width="13.42578125" customWidth="1" style="125" min="7" max="7"/>
    <col width="12.7109375" customWidth="1" style="125" min="8" max="8"/>
    <col width="14.5703125" customWidth="1" style="125" min="9" max="9"/>
    <col width="15.140625" customWidth="1" style="125" min="10" max="10"/>
    <col width="3.7109375" customWidth="1" style="125" min="11" max="11"/>
    <col width="17.85546875" customWidth="1" style="125" min="12" max="12"/>
    <col width="10.85546875" customWidth="1" style="125" min="13" max="13"/>
    <col width="9.140625" customWidth="1" style="125" min="14" max="14"/>
  </cols>
  <sheetData>
    <row r="2" ht="15.75" customHeight="1" s="114">
      <c r="I2" s="133" t="n"/>
      <c r="J2" s="68" t="inlineStr">
        <is>
          <t>Приложение №5</t>
        </is>
      </c>
    </row>
    <row r="4" ht="12.75" customFormat="1" customHeight="1" s="115">
      <c r="A4" s="149" t="inlineStr">
        <is>
          <t>Расчет стоимости СМР и оборудования</t>
        </is>
      </c>
      <c r="I4" s="149" t="n"/>
      <c r="J4" s="149" t="n"/>
    </row>
    <row r="5" ht="12.75" customFormat="1" customHeight="1" s="115">
      <c r="A5" s="149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</row>
    <row r="6" ht="26.25" customFormat="1" customHeight="1" s="115">
      <c r="A6" s="152" t="inlineStr">
        <is>
          <t>Наименование разрабатываемого показателя УНЦ</t>
        </is>
      </c>
      <c r="D6" s="152" t="inlineStr">
        <is>
          <t xml:space="preserve"> Однополюсный разъединитель с устройством фундамента напряжение 500 кВ</t>
        </is>
      </c>
    </row>
    <row r="7" ht="12.75" customFormat="1" customHeight="1" s="115">
      <c r="A7" s="152">
        <f>'Прил.1 Сравнит табл'!B9</f>
        <v/>
      </c>
      <c r="I7" s="150" t="n"/>
      <c r="J7" s="150" t="n"/>
    </row>
    <row r="8" ht="12.75" customFormat="1" customHeight="1" s="115"/>
    <row r="9" ht="27" customHeight="1" s="114">
      <c r="A9" s="153" t="inlineStr">
        <is>
          <t>№ пп.</t>
        </is>
      </c>
      <c r="B9" s="153" t="inlineStr">
        <is>
          <t>Код ресурса</t>
        </is>
      </c>
      <c r="C9" s="153" t="inlineStr">
        <is>
          <t>Наименование</t>
        </is>
      </c>
      <c r="D9" s="153" t="inlineStr">
        <is>
          <t>Ед. изм.</t>
        </is>
      </c>
      <c r="E9" s="153" t="inlineStr">
        <is>
          <t>Кол-во единиц по проектным данным</t>
        </is>
      </c>
      <c r="F9" s="153" t="inlineStr">
        <is>
          <t>Сметная стоимость в ценах на 01.01.2000 (руб.)</t>
        </is>
      </c>
      <c r="G9" s="180" t="n"/>
      <c r="H9" s="153" t="inlineStr">
        <is>
          <t>Удельный вес, %</t>
        </is>
      </c>
      <c r="I9" s="153" t="inlineStr">
        <is>
          <t>Сметная стоимость в ценах на 01.01.2023 (руб.)</t>
        </is>
      </c>
      <c r="J9" s="180" t="n"/>
    </row>
    <row r="10" ht="28.5" customHeight="1" s="114">
      <c r="A10" s="182" t="n"/>
      <c r="B10" s="182" t="n"/>
      <c r="C10" s="182" t="n"/>
      <c r="D10" s="182" t="n"/>
      <c r="E10" s="182" t="n"/>
      <c r="F10" s="153" t="inlineStr">
        <is>
          <t>на ед. изм.</t>
        </is>
      </c>
      <c r="G10" s="153" t="inlineStr">
        <is>
          <t>общая</t>
        </is>
      </c>
      <c r="H10" s="182" t="n"/>
      <c r="I10" s="153" t="inlineStr">
        <is>
          <t>на ед. изм.</t>
        </is>
      </c>
      <c r="J10" s="153" t="inlineStr">
        <is>
          <t>общая</t>
        </is>
      </c>
    </row>
    <row r="11">
      <c r="A11" s="153" t="n">
        <v>1</v>
      </c>
      <c r="B11" s="153" t="n">
        <v>2</v>
      </c>
      <c r="C11" s="153" t="n">
        <v>3</v>
      </c>
      <c r="D11" s="153" t="n">
        <v>4</v>
      </c>
      <c r="E11" s="153" t="n">
        <v>5</v>
      </c>
      <c r="F11" s="153" t="n">
        <v>6</v>
      </c>
      <c r="G11" s="153" t="n">
        <v>7</v>
      </c>
      <c r="H11" s="153" t="n">
        <v>8</v>
      </c>
      <c r="I11" s="153" t="n">
        <v>9</v>
      </c>
      <c r="J11" s="153" t="n">
        <v>10</v>
      </c>
    </row>
    <row r="12">
      <c r="A12" s="153" t="n"/>
      <c r="B12" s="148" t="inlineStr">
        <is>
          <t>Затраты труда рабочих-строителей</t>
        </is>
      </c>
      <c r="C12" s="179" t="n"/>
      <c r="D12" s="179" t="n"/>
      <c r="E12" s="179" t="n"/>
      <c r="F12" s="179" t="n"/>
      <c r="G12" s="179" t="n"/>
      <c r="H12" s="180" t="n"/>
      <c r="I12" s="101" t="n"/>
      <c r="J12" s="101" t="n"/>
    </row>
    <row r="13" ht="25.5" customHeight="1" s="114">
      <c r="A13" s="153" t="n">
        <v>1</v>
      </c>
      <c r="B13" s="58" t="inlineStr">
        <is>
          <t>1-3-7</t>
        </is>
      </c>
      <c r="C13" s="158" t="inlineStr">
        <is>
          <t>Затраты труда рабочих-строителей среднего разряда (3,7)</t>
        </is>
      </c>
      <c r="D13" s="153" t="inlineStr">
        <is>
          <t>чел.-ч.</t>
        </is>
      </c>
      <c r="E13" s="102" t="n">
        <v>119.01061356297</v>
      </c>
      <c r="F13" s="14" t="n">
        <v>9.289999999999999</v>
      </c>
      <c r="G13" s="14" t="n">
        <v>1105.61</v>
      </c>
      <c r="H13" s="165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25">
      <c r="A14" s="153" t="n"/>
      <c r="B14" s="153" t="n"/>
      <c r="C14" s="148" t="inlineStr">
        <is>
          <t>Итого по разделу "Затраты труда рабочих-строителей"</t>
        </is>
      </c>
      <c r="D14" s="153" t="inlineStr">
        <is>
          <t>чел.-ч.</t>
        </is>
      </c>
      <c r="E14" s="102">
        <f>SUM(E13:E13)</f>
        <v/>
      </c>
      <c r="F14" s="14" t="n"/>
      <c r="G14" s="14">
        <f>SUM(G13:G13)</f>
        <v/>
      </c>
      <c r="H14" s="165" t="n">
        <v>1</v>
      </c>
      <c r="I14" s="14" t="n"/>
      <c r="J14" s="14">
        <f>SUM(J13:J13)</f>
        <v/>
      </c>
      <c r="K14" s="57" t="n"/>
      <c r="L14" s="95" t="n"/>
    </row>
    <row r="15" ht="14.25" customFormat="1" customHeight="1" s="125">
      <c r="A15" s="153" t="n"/>
      <c r="B15" s="158" t="inlineStr">
        <is>
          <t>Затраты труда машинистов</t>
        </is>
      </c>
      <c r="C15" s="179" t="n"/>
      <c r="D15" s="179" t="n"/>
      <c r="E15" s="179" t="n"/>
      <c r="F15" s="179" t="n"/>
      <c r="G15" s="179" t="n"/>
      <c r="H15" s="180" t="n"/>
      <c r="I15" s="101" t="n"/>
      <c r="J15" s="101" t="n"/>
    </row>
    <row r="16" ht="14.25" customFormat="1" customHeight="1" s="125">
      <c r="A16" s="153" t="n">
        <v>2</v>
      </c>
      <c r="B16" s="153" t="n">
        <v>2</v>
      </c>
      <c r="C16" s="158" t="inlineStr">
        <is>
          <t>Затраты труда машинистов</t>
        </is>
      </c>
      <c r="D16" s="153" t="inlineStr">
        <is>
          <t>чел.-ч.</t>
        </is>
      </c>
      <c r="E16" s="102" t="n">
        <v>27.5502</v>
      </c>
      <c r="F16" s="14">
        <f>G16/E16</f>
        <v/>
      </c>
      <c r="G16" s="14" t="n">
        <v>345.2496</v>
      </c>
      <c r="H16" s="165" t="n">
        <v>1</v>
      </c>
      <c r="I16" s="14">
        <f>ROUND(F16*Прил.10!D10,2)</f>
        <v/>
      </c>
      <c r="J16" s="14">
        <f>ROUND(I16*E16,2)</f>
        <v/>
      </c>
      <c r="L16" s="60" t="n"/>
    </row>
    <row r="17" ht="14.25" customFormat="1" customHeight="1" s="125">
      <c r="A17" s="153" t="n"/>
      <c r="B17" s="148" t="inlineStr">
        <is>
          <t>Машины и механизмы</t>
        </is>
      </c>
      <c r="C17" s="179" t="n"/>
      <c r="D17" s="179" t="n"/>
      <c r="E17" s="179" t="n"/>
      <c r="F17" s="179" t="n"/>
      <c r="G17" s="179" t="n"/>
      <c r="H17" s="180" t="n"/>
      <c r="I17" s="165" t="n"/>
      <c r="J17" s="165" t="n"/>
    </row>
    <row r="18" ht="14.25" customFormat="1" customHeight="1" s="125">
      <c r="A18" s="153" t="n"/>
      <c r="B18" s="158" t="inlineStr">
        <is>
          <t>Основные машины и механизмы</t>
        </is>
      </c>
      <c r="C18" s="179" t="n"/>
      <c r="D18" s="179" t="n"/>
      <c r="E18" s="179" t="n"/>
      <c r="F18" s="179" t="n"/>
      <c r="G18" s="179" t="n"/>
      <c r="H18" s="180" t="n"/>
      <c r="I18" s="101" t="n"/>
      <c r="J18" s="101" t="n"/>
    </row>
    <row r="19" ht="25.5" customFormat="1" customHeight="1" s="125">
      <c r="A19" s="153" t="n">
        <v>3</v>
      </c>
      <c r="B19" s="58" t="inlineStr">
        <is>
          <t>91.05.05-014</t>
        </is>
      </c>
      <c r="C19" s="158" t="inlineStr">
        <is>
          <t>Краны на автомобильном ходу, грузоподъемность 10 т</t>
        </is>
      </c>
      <c r="D19" s="153" t="inlineStr">
        <is>
          <t>маш.-ч</t>
        </is>
      </c>
      <c r="E19" s="102" t="n">
        <v>14.1335659</v>
      </c>
      <c r="F19" s="170" t="n">
        <v>111.99</v>
      </c>
      <c r="G19" s="14">
        <f>ROUND(E19*F19,2)</f>
        <v/>
      </c>
      <c r="H19" s="165">
        <f>G19/$G$39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25">
      <c r="A20" s="153" t="n">
        <v>4</v>
      </c>
      <c r="B20" s="58" t="inlineStr">
        <is>
          <t>91.06.06-042</t>
        </is>
      </c>
      <c r="C20" s="158" t="inlineStr">
        <is>
          <t>Подъемники гидравлические высотой подъема: 10 м</t>
        </is>
      </c>
      <c r="D20" s="153" t="inlineStr">
        <is>
          <t>маш.-ч</t>
        </is>
      </c>
      <c r="E20" s="102" t="n">
        <v>5.3666613</v>
      </c>
      <c r="F20" s="170" t="n">
        <v>29.6</v>
      </c>
      <c r="G20" s="14">
        <f>ROUND(E20*F20,2)</f>
        <v/>
      </c>
      <c r="H20" s="165">
        <f>G20/$G$39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25">
      <c r="A21" s="153" t="n">
        <v>5</v>
      </c>
      <c r="B21" s="58" t="inlineStr">
        <is>
          <t>91.14.03-002</t>
        </is>
      </c>
      <c r="C21" s="158" t="inlineStr">
        <is>
          <t>Автомобиль-самосвал, грузоподъемность до 10 т</t>
        </is>
      </c>
      <c r="D21" s="153" t="inlineStr">
        <is>
          <t>маш.-ч</t>
        </is>
      </c>
      <c r="E21" s="102" t="n">
        <v>1.7885</v>
      </c>
      <c r="F21" s="170" t="n">
        <v>87.48999999999999</v>
      </c>
      <c r="G21" s="14">
        <f>ROUND(E21*F21,2)</f>
        <v/>
      </c>
      <c r="H21" s="165">
        <f>G21/$G$39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25">
      <c r="A22" s="153" t="n">
        <v>6</v>
      </c>
      <c r="B22" s="58" t="inlineStr">
        <is>
          <t>91.14.02-001</t>
        </is>
      </c>
      <c r="C22" s="158" t="inlineStr">
        <is>
          <t>Автомобили бортовые, грузоподъемность до 5 т</t>
        </is>
      </c>
      <c r="D22" s="153" t="inlineStr">
        <is>
          <t>маш.-ч</t>
        </is>
      </c>
      <c r="E22" s="102" t="n">
        <v>2.28926124</v>
      </c>
      <c r="F22" s="170" t="n">
        <v>65.70999999999999</v>
      </c>
      <c r="G22" s="14">
        <f>ROUND(E22*F22,2)</f>
        <v/>
      </c>
      <c r="H22" s="165">
        <f>G22/$G$39</f>
        <v/>
      </c>
      <c r="I22" s="14">
        <f>ROUND(F22*Прил.10!$D$11,2)</f>
        <v/>
      </c>
      <c r="J22" s="14">
        <f>ROUND(I22*E22,2)</f>
        <v/>
      </c>
    </row>
    <row r="23" ht="25.5" customFormat="1" customHeight="1" s="125">
      <c r="A23" s="153" t="n">
        <v>7</v>
      </c>
      <c r="B23" s="58" t="inlineStr">
        <is>
          <t>91.05.06-012</t>
        </is>
      </c>
      <c r="C23" s="158" t="inlineStr">
        <is>
          <t>Краны на гусеничном ходу, грузоподъемность до 16 т</t>
        </is>
      </c>
      <c r="D23" s="153" t="inlineStr">
        <is>
          <t>маш.-ч</t>
        </is>
      </c>
      <c r="E23" s="102" t="n">
        <v>1.05616</v>
      </c>
      <c r="F23" s="170" t="n">
        <v>96.89</v>
      </c>
      <c r="G23" s="14">
        <f>ROUND(E23*F23,2)</f>
        <v/>
      </c>
      <c r="H23" s="165">
        <f>G23/$G$39</f>
        <v/>
      </c>
      <c r="I23" s="14">
        <f>ROUND(F23*Прил.10!$D$11,2)</f>
        <v/>
      </c>
      <c r="J23" s="14">
        <f>ROUND(I23*E23,2)</f>
        <v/>
      </c>
    </row>
    <row r="24" ht="14.25" customFormat="1" customHeight="1" s="125">
      <c r="A24" s="153" t="n"/>
      <c r="B24" s="153" t="n"/>
      <c r="C24" s="158" t="inlineStr">
        <is>
          <t>Итого основные машины и механизмы</t>
        </is>
      </c>
      <c r="D24" s="153" t="n"/>
      <c r="E24" s="104" t="n"/>
      <c r="F24" s="14" t="n"/>
      <c r="G24" s="14">
        <f>SUM(G19:G23)</f>
        <v/>
      </c>
      <c r="H24" s="165">
        <f>G24/G39</f>
        <v/>
      </c>
      <c r="I24" s="14" t="n"/>
      <c r="J24" s="14">
        <f>SUM(J19:J23)</f>
        <v/>
      </c>
      <c r="L24" s="57" t="n"/>
    </row>
    <row r="25" outlineLevel="1" ht="25.5" customFormat="1" customHeight="1" s="125">
      <c r="A25" s="153" t="n">
        <v>8</v>
      </c>
      <c r="B25" s="58" t="inlineStr">
        <is>
          <t>91.14.01-004</t>
        </is>
      </c>
      <c r="C25" s="158" t="inlineStr">
        <is>
          <t>Автобетоносмесители, объем барабана 7 м3</t>
        </is>
      </c>
      <c r="D25" s="153" t="inlineStr">
        <is>
          <t>маш.-ч</t>
        </is>
      </c>
      <c r="E25" s="102" t="n">
        <v>0.540067</v>
      </c>
      <c r="F25" s="170" t="n">
        <v>184.39</v>
      </c>
      <c r="G25" s="14">
        <f>ROUND(E25*F25,2)</f>
        <v/>
      </c>
      <c r="H25" s="165">
        <f>G25/$G$39</f>
        <v/>
      </c>
      <c r="I25" s="14">
        <f>ROUND(F25*Прил.10!$D$11,2)</f>
        <v/>
      </c>
      <c r="J25" s="14">
        <f>ROUND(I25*E25,2)</f>
        <v/>
      </c>
      <c r="L25" s="57" t="n"/>
    </row>
    <row r="26" outlineLevel="1" ht="51" customFormat="1" customHeight="1" s="125">
      <c r="A26" s="153" t="n">
        <v>9</v>
      </c>
      <c r="B26" s="58" t="inlineStr">
        <is>
          <t>91.18.01-007</t>
        </is>
      </c>
      <c r="C26" s="1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6" s="153" t="inlineStr">
        <is>
          <t>маш.-ч</t>
        </is>
      </c>
      <c r="E26" s="102" t="n">
        <v>0.87306408</v>
      </c>
      <c r="F26" s="170" t="n">
        <v>90</v>
      </c>
      <c r="G26" s="14">
        <f>ROUND(E26*F26,2)</f>
        <v/>
      </c>
      <c r="H26" s="165">
        <f>G26/$G$39</f>
        <v/>
      </c>
      <c r="I26" s="14">
        <f>ROUND(F26*Прил.10!$D$11,2)</f>
        <v/>
      </c>
      <c r="J26" s="14">
        <f>ROUND(I26*E26,2)</f>
        <v/>
      </c>
      <c r="L26" s="57" t="n"/>
    </row>
    <row r="27" outlineLevel="1" ht="38.25" customFormat="1" customHeight="1" s="125">
      <c r="A27" s="153" t="n">
        <v>10</v>
      </c>
      <c r="B27" s="58" t="inlineStr">
        <is>
          <t>91.01.05-086</t>
        </is>
      </c>
      <c r="C27" s="158" t="inlineStr">
        <is>
          <t>Экскаваторы одноковшовые дизельные на гусеничном ходу, емкость ковша 0,65 м3</t>
        </is>
      </c>
      <c r="D27" s="153" t="inlineStr">
        <is>
          <t>маш.-ч</t>
        </is>
      </c>
      <c r="E27" s="102" t="n">
        <v>0.61596</v>
      </c>
      <c r="F27" s="170" t="n">
        <v>115.27</v>
      </c>
      <c r="G27" s="14">
        <f>ROUND(E27*F27,2)</f>
        <v/>
      </c>
      <c r="H27" s="165">
        <f>G27/$G$39</f>
        <v/>
      </c>
      <c r="I27" s="14">
        <f>ROUND(F27*Прил.10!$D$11,2)</f>
        <v/>
      </c>
      <c r="J27" s="14">
        <f>ROUND(I27*E27,2)</f>
        <v/>
      </c>
      <c r="L27" s="57" t="n"/>
    </row>
    <row r="28" outlineLevel="1" ht="25.5" customFormat="1" customHeight="1" s="125">
      <c r="A28" s="153" t="n">
        <v>11</v>
      </c>
      <c r="B28" s="58" t="inlineStr">
        <is>
          <t>91.17.04-233</t>
        </is>
      </c>
      <c r="C28" s="158" t="inlineStr">
        <is>
          <t>Установки для сварки ручной дуговой (постоянного тока)</t>
        </is>
      </c>
      <c r="D28" s="153" t="inlineStr">
        <is>
          <t>маш.-ч</t>
        </is>
      </c>
      <c r="E28" s="102" t="n">
        <v>2.9262505</v>
      </c>
      <c r="F28" s="170" t="n">
        <v>8.1</v>
      </c>
      <c r="G28" s="14">
        <f>ROUND(E28*F28,2)</f>
        <v/>
      </c>
      <c r="H28" s="165">
        <f>G28/$G$39</f>
        <v/>
      </c>
      <c r="I28" s="14">
        <f>ROUND(F28*Прил.10!$D$11,2)</f>
        <v/>
      </c>
      <c r="J28" s="14">
        <f>ROUND(I28*E28,2)</f>
        <v/>
      </c>
      <c r="L28" s="57" t="n"/>
    </row>
    <row r="29" outlineLevel="1" ht="14.25" customFormat="1" customHeight="1" s="125">
      <c r="A29" s="153" t="n">
        <v>12</v>
      </c>
      <c r="B29" s="58" t="inlineStr">
        <is>
          <t>91.05.01-017</t>
        </is>
      </c>
      <c r="C29" s="158" t="inlineStr">
        <is>
          <t>Краны башенные, грузоподъемность 8 т</t>
        </is>
      </c>
      <c r="D29" s="153" t="inlineStr">
        <is>
          <t>маш.-ч</t>
        </is>
      </c>
      <c r="E29" s="102" t="n">
        <v>0.108</v>
      </c>
      <c r="F29" s="170" t="n">
        <v>86.40000000000001</v>
      </c>
      <c r="G29" s="14">
        <f>ROUND(E29*F29,2)</f>
        <v/>
      </c>
      <c r="H29" s="165">
        <f>G29/$G$39</f>
        <v/>
      </c>
      <c r="I29" s="14">
        <f>ROUND(F29*Прил.10!$D$11,2)</f>
        <v/>
      </c>
      <c r="J29" s="14">
        <f>ROUND(I29*E29,2)</f>
        <v/>
      </c>
      <c r="L29" s="57" t="n"/>
    </row>
    <row r="30" outlineLevel="1" ht="14.25" customFormat="1" customHeight="1" s="125">
      <c r="A30" s="153" t="n">
        <v>13</v>
      </c>
      <c r="B30" s="58" t="inlineStr">
        <is>
          <t>91.01.01-036</t>
        </is>
      </c>
      <c r="C30" s="158" t="inlineStr">
        <is>
          <t>Бульдозеры, мощность 96 кВт (130 л.с.)</t>
        </is>
      </c>
      <c r="D30" s="153" t="inlineStr">
        <is>
          <t>маш.-ч</t>
        </is>
      </c>
      <c r="E30" s="102" t="n">
        <v>0.08285820000000001</v>
      </c>
      <c r="F30" s="170" t="n">
        <v>94.05</v>
      </c>
      <c r="G30" s="14">
        <f>ROUND(E30*F30,2)</f>
        <v/>
      </c>
      <c r="H30" s="165">
        <f>G30/$G$39</f>
        <v/>
      </c>
      <c r="I30" s="14">
        <f>ROUND(F30*Прил.10!$D$11,2)</f>
        <v/>
      </c>
      <c r="J30" s="14">
        <f>ROUND(I30*E30,2)</f>
        <v/>
      </c>
      <c r="L30" s="57" t="n"/>
    </row>
    <row r="31" outlineLevel="1" ht="25.5" customFormat="1" customHeight="1" s="125">
      <c r="A31" s="153" t="n">
        <v>14</v>
      </c>
      <c r="B31" s="58" t="inlineStr">
        <is>
          <t>91.07.07-012</t>
        </is>
      </c>
      <c r="C31" s="158" t="inlineStr">
        <is>
          <t>Насосы для строительных растворов, производительность 5 м3/час</t>
        </is>
      </c>
      <c r="D31" s="153" t="inlineStr">
        <is>
          <t>маш.-ч</t>
        </is>
      </c>
      <c r="E31" s="102" t="n">
        <v>0.44685</v>
      </c>
      <c r="F31" s="170" t="n">
        <v>7.54</v>
      </c>
      <c r="G31" s="14">
        <f>ROUND(E31*F31,2)</f>
        <v/>
      </c>
      <c r="H31" s="165">
        <f>G31/$G$39</f>
        <v/>
      </c>
      <c r="I31" s="14">
        <f>ROUND(F31*Прил.10!$D$11,2)</f>
        <v/>
      </c>
      <c r="J31" s="14">
        <f>ROUND(I31*E31,2)</f>
        <v/>
      </c>
      <c r="L31" s="57" t="n"/>
    </row>
    <row r="32" outlineLevel="1" ht="25.5" customFormat="1" customHeight="1" s="125">
      <c r="A32" s="153" t="n">
        <v>15</v>
      </c>
      <c r="B32" s="58" t="inlineStr">
        <is>
          <t>91.07.08-025</t>
        </is>
      </c>
      <c r="C32" s="158" t="inlineStr">
        <is>
          <t>Растворосмесители передвижные, объем барабана 250 л</t>
        </is>
      </c>
      <c r="D32" s="153" t="inlineStr">
        <is>
          <t>маш.-ч</t>
        </is>
      </c>
      <c r="E32" s="102" t="n">
        <v>0.13455</v>
      </c>
      <c r="F32" s="170" t="n">
        <v>16.31</v>
      </c>
      <c r="G32" s="14">
        <f>ROUND(E32*F32,2)</f>
        <v/>
      </c>
      <c r="H32" s="165">
        <f>G32/$G$39</f>
        <v/>
      </c>
      <c r="I32" s="14">
        <f>ROUND(F32*Прил.10!$D$11,2)</f>
        <v/>
      </c>
      <c r="J32" s="14">
        <f>ROUND(I32*E32,2)</f>
        <v/>
      </c>
      <c r="L32" s="57" t="n"/>
    </row>
    <row r="33" outlineLevel="1" ht="14.25" customFormat="1" customHeight="1" s="125">
      <c r="A33" s="153" t="n">
        <v>16</v>
      </c>
      <c r="B33" s="58" t="inlineStr">
        <is>
          <t>91.07.04-001</t>
        </is>
      </c>
      <c r="C33" s="158" t="inlineStr">
        <is>
          <t>Вибратор глубинный</t>
        </is>
      </c>
      <c r="D33" s="153" t="inlineStr">
        <is>
          <t>маш.-ч</t>
        </is>
      </c>
      <c r="E33" s="102" t="n">
        <v>0.87584</v>
      </c>
      <c r="F33" s="170" t="n">
        <v>1.9</v>
      </c>
      <c r="G33" s="14">
        <f>ROUND(E33*F33,2)</f>
        <v/>
      </c>
      <c r="H33" s="165">
        <f>G33/$G$39</f>
        <v/>
      </c>
      <c r="I33" s="14">
        <f>ROUND(F33*Прил.10!$D$11,2)</f>
        <v/>
      </c>
      <c r="J33" s="14">
        <f>ROUND(I33*E33,2)</f>
        <v/>
      </c>
      <c r="L33" s="57" t="n"/>
    </row>
    <row r="34" outlineLevel="1" ht="38.25" customFormat="1" customHeight="1" s="125">
      <c r="A34" s="153" t="n">
        <v>17</v>
      </c>
      <c r="B34" s="58" t="inlineStr">
        <is>
          <t>91.06.06-048</t>
        </is>
      </c>
      <c r="C34" s="158" t="inlineStr">
        <is>
          <t>Подъемники одномачтовые, грузоподъемность до 500 кг, высота подъема 45 м</t>
        </is>
      </c>
      <c r="D34" s="153" t="inlineStr">
        <is>
          <t>маш.-ч</t>
        </is>
      </c>
      <c r="E34" s="102" t="n">
        <v>0.0414</v>
      </c>
      <c r="F34" s="170" t="n">
        <v>31.26</v>
      </c>
      <c r="G34" s="14">
        <f>ROUND(E34*F34,2)</f>
        <v/>
      </c>
      <c r="H34" s="165">
        <f>G34/$G$39</f>
        <v/>
      </c>
      <c r="I34" s="14">
        <f>ROUND(F34*Прил.10!$D$11,2)</f>
        <v/>
      </c>
      <c r="J34" s="14">
        <f>ROUND(I34*E34,2)</f>
        <v/>
      </c>
      <c r="L34" s="57" t="n"/>
    </row>
    <row r="35" outlineLevel="1" ht="14.25" customFormat="1" customHeight="1" s="125">
      <c r="A35" s="153" t="n">
        <v>18</v>
      </c>
      <c r="B35" s="58" t="inlineStr">
        <is>
          <t>91.06.05-011</t>
        </is>
      </c>
      <c r="C35" s="158" t="inlineStr">
        <is>
          <t>Погрузчик, грузоподъемность 5 т</t>
        </is>
      </c>
      <c r="D35" s="153" t="inlineStr">
        <is>
          <t>маш.-ч</t>
        </is>
      </c>
      <c r="E35" s="102" t="n">
        <v>0.01242</v>
      </c>
      <c r="F35" s="170" t="n">
        <v>89.98999999999999</v>
      </c>
      <c r="G35" s="14">
        <f>ROUND(E35*F35,2)</f>
        <v/>
      </c>
      <c r="H35" s="165">
        <f>G35/$G$39</f>
        <v/>
      </c>
      <c r="I35" s="14">
        <f>ROUND(F35*Прил.10!$D$11,2)</f>
        <v/>
      </c>
      <c r="J35" s="14">
        <f>ROUND(I35*E35,2)</f>
        <v/>
      </c>
      <c r="L35" s="57" t="n"/>
    </row>
    <row r="36" outlineLevel="1" ht="25.5" customFormat="1" customHeight="1" s="125">
      <c r="A36" s="153" t="n">
        <v>19</v>
      </c>
      <c r="B36" s="58" t="inlineStr">
        <is>
          <t>91.08.09-023</t>
        </is>
      </c>
      <c r="C36" s="158" t="inlineStr">
        <is>
          <t>Трамбовки пневматические при работе от передвижных компрессорных станций</t>
        </is>
      </c>
      <c r="D36" s="153" t="inlineStr">
        <is>
          <t>маш.-ч</t>
        </is>
      </c>
      <c r="E36" s="102" t="n">
        <v>1.70766036</v>
      </c>
      <c r="F36" s="170" t="n">
        <v>0.55</v>
      </c>
      <c r="G36" s="14">
        <f>ROUND(E36*F36,2)</f>
        <v/>
      </c>
      <c r="H36" s="165">
        <f>G36/$G$39</f>
        <v/>
      </c>
      <c r="I36" s="14">
        <f>ROUND(F36*Прил.10!$D$11,2)</f>
        <v/>
      </c>
      <c r="J36" s="14">
        <f>ROUND(I36*E36,2)</f>
        <v/>
      </c>
      <c r="L36" s="57" t="n"/>
    </row>
    <row r="37" outlineLevel="1" ht="14.25" customFormat="1" customHeight="1" s="125">
      <c r="A37" s="153" t="n">
        <v>20</v>
      </c>
      <c r="B37" s="58" t="inlineStr">
        <is>
          <t>91.07.04-002</t>
        </is>
      </c>
      <c r="C37" s="158" t="inlineStr">
        <is>
          <t>Вибратор поверхностный</t>
        </is>
      </c>
      <c r="D37" s="153" t="inlineStr">
        <is>
          <t>маш.-ч</t>
        </is>
      </c>
      <c r="E37" s="102" t="n">
        <v>0.288</v>
      </c>
      <c r="F37" s="170" t="n">
        <v>0.5</v>
      </c>
      <c r="G37" s="14">
        <f>ROUND(E37*F37,2)</f>
        <v/>
      </c>
      <c r="H37" s="165">
        <f>G37/$G$39</f>
        <v/>
      </c>
      <c r="I37" s="14">
        <f>ROUND(F37*Прил.10!$D$11,2)</f>
        <v/>
      </c>
      <c r="J37" s="14">
        <f>ROUND(I37*E37,2)</f>
        <v/>
      </c>
      <c r="L37" s="57" t="n"/>
    </row>
    <row r="38" ht="14.25" customFormat="1" customHeight="1" s="125">
      <c r="A38" s="153" t="n"/>
      <c r="B38" s="153" t="n"/>
      <c r="C38" s="158" t="inlineStr">
        <is>
          <t>Итого прочие машины и механизмы</t>
        </is>
      </c>
      <c r="D38" s="153" t="n"/>
      <c r="E38" s="159" t="n"/>
      <c r="F38" s="14" t="n"/>
      <c r="G38" s="14">
        <f>SUM(G25:G37)</f>
        <v/>
      </c>
      <c r="H38" s="165">
        <f>G38/G39</f>
        <v/>
      </c>
      <c r="I38" s="14" t="n"/>
      <c r="J38" s="14">
        <f>SUM(J25:J37)</f>
        <v/>
      </c>
      <c r="K38" s="57" t="n"/>
      <c r="L38" s="57" t="n"/>
    </row>
    <row r="39" ht="25.5" customFormat="1" customHeight="1" s="125">
      <c r="A39" s="153" t="n"/>
      <c r="B39" s="154" t="n"/>
      <c r="C39" s="107" t="inlineStr">
        <is>
          <t>Итого по разделу «Машины и механизмы»</t>
        </is>
      </c>
      <c r="D39" s="154" t="n"/>
      <c r="E39" s="108" t="n"/>
      <c r="F39" s="109" t="n"/>
      <c r="G39" s="109">
        <f>G24+G38</f>
        <v/>
      </c>
      <c r="H39" s="110" t="n">
        <v>1</v>
      </c>
      <c r="I39" s="109" t="n"/>
      <c r="J39" s="109">
        <f>J24+J38</f>
        <v/>
      </c>
    </row>
    <row r="40">
      <c r="A40" s="156" t="n"/>
      <c r="B40" s="148" t="inlineStr">
        <is>
          <t xml:space="preserve">Оборудование </t>
        </is>
      </c>
      <c r="C40" s="179" t="n"/>
      <c r="D40" s="179" t="n"/>
      <c r="E40" s="179" t="n"/>
      <c r="F40" s="179" t="n"/>
      <c r="G40" s="179" t="n"/>
      <c r="H40" s="179" t="n"/>
      <c r="I40" s="179" t="n"/>
      <c r="J40" s="180" t="n"/>
    </row>
    <row r="41" ht="15" customHeight="1" s="114">
      <c r="A41" s="153" t="n"/>
      <c r="B41" s="166" t="inlineStr">
        <is>
          <t>Основное оборудование</t>
        </is>
      </c>
    </row>
    <row r="42" ht="38.25" customHeight="1" s="114">
      <c r="A42" s="153" t="n">
        <v>21</v>
      </c>
      <c r="B42" s="58" t="inlineStr">
        <is>
          <t>БЦ.62.1612</t>
        </is>
      </c>
      <c r="C42" s="158" t="inlineStr">
        <is>
          <t>Разьединитель однополюсный с двумя заземляющими ножами 500 кВ, 4000 А, 50 кА</t>
        </is>
      </c>
      <c r="D42" s="153" t="inlineStr">
        <is>
          <t>полюс</t>
        </is>
      </c>
      <c r="E42" s="102" t="n">
        <v>1</v>
      </c>
      <c r="F42" s="160">
        <f>ROUND(I42/Прил.10!D13,2)</f>
        <v/>
      </c>
      <c r="G42" s="14">
        <f>ROUND(E42*F42,2)</f>
        <v/>
      </c>
      <c r="H42" s="165">
        <f>G42/$G$46</f>
        <v/>
      </c>
      <c r="I42" s="14" t="n">
        <v>4990000</v>
      </c>
      <c r="J42" s="14">
        <f>ROUND(I42*E42,2)</f>
        <v/>
      </c>
    </row>
    <row r="43">
      <c r="A43" s="153" t="n"/>
      <c r="B43" s="153" t="n"/>
      <c r="C43" s="158" t="inlineStr">
        <is>
          <t>Итого основное оборудование</t>
        </is>
      </c>
      <c r="D43" s="153" t="n"/>
      <c r="E43" s="102" t="n"/>
      <c r="F43" s="160" t="n"/>
      <c r="G43" s="14">
        <f>SUM(G42:G42)</f>
        <v/>
      </c>
      <c r="H43" s="165">
        <f>G43/$G$46</f>
        <v/>
      </c>
      <c r="I43" s="14" t="n"/>
      <c r="J43" s="14">
        <f>SUM(J42:J42)</f>
        <v/>
      </c>
      <c r="K43" s="57" t="n"/>
    </row>
    <row r="44">
      <c r="A44" s="153" t="n">
        <v>22</v>
      </c>
      <c r="B44" s="58" t="inlineStr">
        <is>
          <t>БЦ.30_1.159</t>
        </is>
      </c>
      <c r="C44" s="158" t="inlineStr">
        <is>
          <t>Шкаф управления разъединителями</t>
        </is>
      </c>
      <c r="D44" s="153" t="inlineStr">
        <is>
          <t>шт</t>
        </is>
      </c>
      <c r="E44" s="102" t="n">
        <v>1</v>
      </c>
      <c r="F44" s="160">
        <f>ROUND(I44/Прил.10!D13,2)</f>
        <v/>
      </c>
      <c r="G44" s="14">
        <f>ROUND(E44*F44,2)</f>
        <v/>
      </c>
      <c r="H44" s="165">
        <f>G44/$G$46</f>
        <v/>
      </c>
      <c r="I44" s="14" t="n">
        <v>345000</v>
      </c>
      <c r="J44" s="14">
        <f>ROUND(I44*E44,2)</f>
        <v/>
      </c>
      <c r="K44" s="57" t="n"/>
    </row>
    <row r="45">
      <c r="A45" s="153" t="n"/>
      <c r="B45" s="153" t="n"/>
      <c r="C45" s="158" t="inlineStr">
        <is>
          <t>Итого прочее оборудование</t>
        </is>
      </c>
      <c r="D45" s="153" t="n"/>
      <c r="E45" s="159" t="n"/>
      <c r="F45" s="160" t="n"/>
      <c r="G45" s="14">
        <f>G44</f>
        <v/>
      </c>
      <c r="H45" s="165">
        <f>G45/$G$46</f>
        <v/>
      </c>
      <c r="I45" s="14" t="n"/>
      <c r="J45" s="14">
        <f>J44</f>
        <v/>
      </c>
      <c r="K45" s="57" t="n"/>
    </row>
    <row r="46">
      <c r="A46" s="153" t="n"/>
      <c r="B46" s="153" t="n"/>
      <c r="C46" s="148" t="inlineStr">
        <is>
          <t>Итого по разделу «Оборудование»</t>
        </is>
      </c>
      <c r="D46" s="153" t="n"/>
      <c r="E46" s="159" t="n"/>
      <c r="F46" s="160" t="n"/>
      <c r="G46" s="14">
        <f>G45+G43</f>
        <v/>
      </c>
      <c r="H46" s="165">
        <f>(G43+G45)/G46</f>
        <v/>
      </c>
      <c r="I46" s="14" t="n"/>
      <c r="J46" s="14">
        <f>J45+J43</f>
        <v/>
      </c>
      <c r="K46" s="57" t="n"/>
    </row>
    <row r="47" ht="25.5" customHeight="1" s="114">
      <c r="A47" s="153" t="n"/>
      <c r="B47" s="153" t="n"/>
      <c r="C47" s="158" t="inlineStr">
        <is>
          <t>в том числе технологическое оборудование</t>
        </is>
      </c>
      <c r="D47" s="153" t="n"/>
      <c r="E47" s="159" t="n"/>
      <c r="F47" s="160" t="n"/>
      <c r="G47" s="14">
        <f>G46</f>
        <v/>
      </c>
      <c r="H47" s="165">
        <f>G47/$G$46</f>
        <v/>
      </c>
      <c r="I47" s="14" t="n"/>
      <c r="J47" s="14">
        <f>J46</f>
        <v/>
      </c>
      <c r="K47" s="57" t="n"/>
    </row>
    <row r="48" ht="14.25" customFormat="1" customHeight="1" s="125">
      <c r="A48" s="153" t="n"/>
      <c r="B48" s="183" t="inlineStr">
        <is>
          <t>Материалы</t>
        </is>
      </c>
      <c r="J48" s="184" t="n"/>
      <c r="K48" s="57" t="n"/>
    </row>
    <row r="49" ht="14.25" customFormat="1" customHeight="1" s="125">
      <c r="A49" s="153" t="n"/>
      <c r="B49" s="158" t="inlineStr">
        <is>
          <t>Основные материалы</t>
        </is>
      </c>
      <c r="C49" s="179" t="n"/>
      <c r="D49" s="179" t="n"/>
      <c r="E49" s="179" t="n"/>
      <c r="F49" s="179" t="n"/>
      <c r="G49" s="179" t="n"/>
      <c r="H49" s="180" t="n"/>
      <c r="I49" s="165" t="n"/>
      <c r="J49" s="165" t="n"/>
    </row>
    <row r="50" ht="38.25" customFormat="1" customHeight="1" s="125">
      <c r="A50" s="153" t="n">
        <v>23</v>
      </c>
      <c r="B50" s="58" t="inlineStr">
        <is>
          <t>04.1.02.05-0046</t>
        </is>
      </c>
      <c r="C50" s="158" t="inlineStr">
        <is>
          <t>Смеси бетонные тяжелого бетона (БСТ), крупность заполнителя 20 мм, класс В25 (М350)</t>
        </is>
      </c>
      <c r="D50" s="153" t="inlineStr">
        <is>
          <t>м3</t>
        </is>
      </c>
      <c r="E50" s="102" t="n">
        <v>9.337999999999999</v>
      </c>
      <c r="F50" s="170" t="n">
        <v>720</v>
      </c>
      <c r="G50" s="14">
        <f>ROUND(F50*E50,2)</f>
        <v/>
      </c>
      <c r="H50" s="165">
        <f>G50/$G$87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25">
      <c r="A51" s="153" t="n">
        <v>24</v>
      </c>
      <c r="B51" s="58" t="inlineStr">
        <is>
          <t>14.2.03.06-0005</t>
        </is>
      </c>
      <c r="C51" s="158" t="inlineStr">
        <is>
          <t>Покрытие эластичное полимерцементное двухкомпонентное MASTERSEAL 588, компонент 1, цвет белый, серый, светло-серый</t>
        </is>
      </c>
      <c r="D51" s="153" t="inlineStr">
        <is>
          <t>кг</t>
        </is>
      </c>
      <c r="E51" s="102" t="n">
        <v>495</v>
      </c>
      <c r="F51" s="170" t="n">
        <v>7.97</v>
      </c>
      <c r="G51" s="14">
        <f>ROUND(E51*F51,2)</f>
        <v/>
      </c>
      <c r="H51" s="165">
        <f>G51/$G$87</f>
        <v/>
      </c>
      <c r="I51" s="14">
        <f>ROUND(F51*Прил.10!$D$12,2)</f>
        <v/>
      </c>
      <c r="J51" s="14">
        <f>ROUND(I51*E51,2)</f>
        <v/>
      </c>
    </row>
    <row r="52" ht="38.25" customFormat="1" customHeight="1" s="125">
      <c r="A52" s="153" t="n">
        <v>25</v>
      </c>
      <c r="B52" s="58" t="inlineStr">
        <is>
          <t>08.4.03.03-0033</t>
        </is>
      </c>
      <c r="C52" s="158" t="inlineStr">
        <is>
          <t>Сталь арматурная, горячекатаная, периодического профиля, класс А-III, диаметр 14 мм</t>
        </is>
      </c>
      <c r="D52" s="153" t="inlineStr">
        <is>
          <t>т</t>
        </is>
      </c>
      <c r="E52" s="102" t="n">
        <v>0.3322</v>
      </c>
      <c r="F52" s="170" t="n">
        <v>7997.23</v>
      </c>
      <c r="G52" s="14">
        <f>ROUND(F52*E52,2)</f>
        <v/>
      </c>
      <c r="H52" s="165">
        <f>G52/$G$87</f>
        <v/>
      </c>
      <c r="I52" s="14">
        <f>ROUND(F52*Прил.10!$D$12,2)</f>
        <v/>
      </c>
      <c r="J52" s="14">
        <f>ROUND(I52*E52,2)</f>
        <v/>
      </c>
    </row>
    <row r="53" ht="25.5" customFormat="1" customHeight="1" s="125">
      <c r="A53" s="153" t="n">
        <v>26</v>
      </c>
      <c r="B53" s="58" t="inlineStr">
        <is>
          <t>21.1.06.10-0411</t>
        </is>
      </c>
      <c r="C53" s="158" t="inlineStr">
        <is>
          <t>Кабель силовой с медными жилами ВВГнг(A)-LS 5х16мк(N, РЕ)-1000</t>
        </is>
      </c>
      <c r="D53" s="153" t="inlineStr">
        <is>
          <t>1000 м</t>
        </is>
      </c>
      <c r="E53" s="102" t="n">
        <v>0.015</v>
      </c>
      <c r="F53" s="170" t="n">
        <v>98440.41</v>
      </c>
      <c r="G53" s="14">
        <f>ROUND(F53*E53,2)</f>
        <v/>
      </c>
      <c r="H53" s="165">
        <f>G53/$G$87</f>
        <v/>
      </c>
      <c r="I53" s="14">
        <f>ROUND(F53*Прил.10!$D$12,2)</f>
        <v/>
      </c>
      <c r="J53" s="14">
        <f>ROUND(I53*E53,2)</f>
        <v/>
      </c>
    </row>
    <row r="54" ht="14.25" customFormat="1" customHeight="1" s="125">
      <c r="A54" s="153" t="n">
        <v>27</v>
      </c>
      <c r="B54" s="58" t="inlineStr">
        <is>
          <t>02.2.04.03-0003</t>
        </is>
      </c>
      <c r="C54" s="158" t="inlineStr">
        <is>
          <t>Смесь песчано-гравийная природная</t>
        </is>
      </c>
      <c r="D54" s="153" t="inlineStr">
        <is>
          <t>м3</t>
        </is>
      </c>
      <c r="E54" s="102" t="n">
        <v>15.733578</v>
      </c>
      <c r="F54" s="170" t="n">
        <v>60</v>
      </c>
      <c r="G54" s="14">
        <f>ROUND(F54*E54,2)</f>
        <v/>
      </c>
      <c r="H54" s="165">
        <f>G54/$G$87</f>
        <v/>
      </c>
      <c r="I54" s="14">
        <f>ROUND(F54*Прил.10!$D$12,2)</f>
        <v/>
      </c>
      <c r="J54" s="14">
        <f>ROUND(I54*E54,2)</f>
        <v/>
      </c>
    </row>
    <row r="55" ht="14.25" customFormat="1" customHeight="1" s="125">
      <c r="A55" s="153" t="n">
        <v>28</v>
      </c>
      <c r="B55" s="58" t="inlineStr">
        <is>
          <t>21.1.08.03-0574</t>
        </is>
      </c>
      <c r="C55" s="158" t="inlineStr">
        <is>
          <t>Кабель контрольный КВВГЭнг(А)-LS 4x2,5</t>
        </is>
      </c>
      <c r="D55" s="153" t="inlineStr">
        <is>
          <t>1000 м</t>
        </is>
      </c>
      <c r="E55" s="102" t="n">
        <v>0.022</v>
      </c>
      <c r="F55" s="170" t="n">
        <v>38348.22</v>
      </c>
      <c r="G55" s="14">
        <f>ROUND(F55*E55,2)</f>
        <v/>
      </c>
      <c r="H55" s="165">
        <f>G55/$G$87</f>
        <v/>
      </c>
      <c r="I55" s="14">
        <f>ROUND(F55*Прил.10!$D$12,2)</f>
        <v/>
      </c>
      <c r="J55" s="14">
        <f>ROUND(I55*E55,2)</f>
        <v/>
      </c>
    </row>
    <row r="56" ht="25.5" customFormat="1" customHeight="1" s="125">
      <c r="A56" s="153" t="n">
        <v>29</v>
      </c>
      <c r="B56" s="58" t="inlineStr">
        <is>
          <t>08.4.01.01-0022</t>
        </is>
      </c>
      <c r="C56" s="158" t="inlineStr">
        <is>
          <t>Детали анкерные с резьбой из прямых или гнутых круглых стержней</t>
        </is>
      </c>
      <c r="D56" s="153" t="inlineStr">
        <is>
          <t>т</t>
        </is>
      </c>
      <c r="E56" s="102" t="n">
        <v>0.05598</v>
      </c>
      <c r="F56" s="170" t="n">
        <v>10100</v>
      </c>
      <c r="G56" s="14">
        <f>ROUND(F56*E56,2)</f>
        <v/>
      </c>
      <c r="H56" s="165">
        <f>G56/$G$87</f>
        <v/>
      </c>
      <c r="I56" s="14">
        <f>ROUND(F56*Прил.10!$D$12,2)</f>
        <v/>
      </c>
      <c r="J56" s="14">
        <f>ROUND(I56*E56,2)</f>
        <v/>
      </c>
    </row>
    <row r="57" ht="14.25" customFormat="1" customHeight="1" s="125">
      <c r="A57" s="153" t="n"/>
      <c r="B57" s="153" t="n"/>
      <c r="C57" s="158" t="inlineStr">
        <is>
          <t>Итого основные материалы</t>
        </is>
      </c>
      <c r="D57" s="153" t="n"/>
      <c r="E57" s="102" t="n"/>
      <c r="F57" s="160" t="n"/>
      <c r="G57" s="14">
        <f>SUM(G50:G56)</f>
        <v/>
      </c>
      <c r="H57" s="165">
        <f>G57/$G$87</f>
        <v/>
      </c>
      <c r="I57" s="14" t="n"/>
      <c r="J57" s="14">
        <f>SUM(J50:J56)</f>
        <v/>
      </c>
      <c r="K57" s="57" t="n"/>
    </row>
    <row r="58" outlineLevel="1" ht="38.25" customFormat="1" customHeight="1" s="125">
      <c r="A58" s="153" t="n">
        <v>30</v>
      </c>
      <c r="B58" s="58" t="inlineStr">
        <is>
          <t>05.1.01.10-0131</t>
        </is>
      </c>
      <c r="C58" s="158" t="inlineStr">
        <is>
          <t>Лотки каналов и тоннелей железобетонные для прокладки коммуникаций</t>
        </is>
      </c>
      <c r="D58" s="153" t="inlineStr">
        <is>
          <t>м3</t>
        </is>
      </c>
      <c r="E58" s="102" t="n">
        <v>0.28</v>
      </c>
      <c r="F58" s="170" t="n">
        <v>1837.28</v>
      </c>
      <c r="G58" s="14">
        <f>ROUND(F58*E58,2)</f>
        <v/>
      </c>
      <c r="H58" s="165">
        <f>G58/$G$87</f>
        <v/>
      </c>
      <c r="I58" s="14">
        <f>ROUND(F58*Прил.10!$D$12,2)</f>
        <v/>
      </c>
      <c r="J58" s="14">
        <f>ROUND(I58*E58,2)</f>
        <v/>
      </c>
    </row>
    <row r="59" outlineLevel="1" ht="14.25" customFormat="1" customHeight="1" s="125">
      <c r="A59" s="153" t="n">
        <v>31</v>
      </c>
      <c r="B59" s="44" t="inlineStr">
        <is>
          <t>Прайс из СД ОП</t>
        </is>
      </c>
      <c r="C59" s="158" t="inlineStr">
        <is>
          <t>Оцинковка</t>
        </is>
      </c>
      <c r="D59" s="153" t="inlineStr">
        <is>
          <t>т</t>
        </is>
      </c>
      <c r="E59" s="102" t="n">
        <v>0.06582</v>
      </c>
      <c r="F59" s="170" t="n">
        <v>7034.34</v>
      </c>
      <c r="G59" s="14">
        <f>ROUND(F59*E59,2)</f>
        <v/>
      </c>
      <c r="H59" s="165">
        <f>G59/$G$87</f>
        <v/>
      </c>
      <c r="I59" s="14">
        <f>ROUND(F59*Прил.10!$D$12,2)</f>
        <v/>
      </c>
      <c r="J59" s="14">
        <f>ROUND(I59*E59,2)</f>
        <v/>
      </c>
    </row>
    <row r="60" outlineLevel="1" ht="25.5" customFormat="1" customHeight="1" s="125">
      <c r="A60" s="153" t="n">
        <v>32</v>
      </c>
      <c r="B60" s="58" t="inlineStr">
        <is>
          <t>21.2.01.02-0094</t>
        </is>
      </c>
      <c r="C60" s="158" t="inlineStr">
        <is>
          <t>Провод неизолированный для воздушных линий электропередачи АС 300/39</t>
        </is>
      </c>
      <c r="D60" s="153" t="inlineStr">
        <is>
          <t>т</t>
        </is>
      </c>
      <c r="E60" s="102" t="n">
        <v>0.01132</v>
      </c>
      <c r="F60" s="170" t="n">
        <v>32758.86</v>
      </c>
      <c r="G60" s="14">
        <f>ROUND(F60*E60,2)</f>
        <v/>
      </c>
      <c r="H60" s="165">
        <f>G60/$G$87</f>
        <v/>
      </c>
      <c r="I60" s="14">
        <f>ROUND(F60*Прил.10!$D$12,2)</f>
        <v/>
      </c>
      <c r="J60" s="14">
        <f>ROUND(I60*E60,2)</f>
        <v/>
      </c>
    </row>
    <row r="61" outlineLevel="1" ht="38.25" customFormat="1" customHeight="1" s="125">
      <c r="A61" s="153" t="n">
        <v>33</v>
      </c>
      <c r="B61" s="58" t="inlineStr">
        <is>
          <t>04.1.02.05-0040</t>
        </is>
      </c>
      <c r="C61" s="158" t="inlineStr">
        <is>
          <t>Смеси бетонные тяжелого бетона (БСТ), крупность заполнителя 20 мм, класс В7,5 (М100)</t>
        </is>
      </c>
      <c r="D61" s="153" t="inlineStr">
        <is>
          <t>м3</t>
        </is>
      </c>
      <c r="E61" s="102" t="n">
        <v>0.612</v>
      </c>
      <c r="F61" s="170" t="n">
        <v>535.46</v>
      </c>
      <c r="G61" s="14">
        <f>ROUND(F61*E61,2)</f>
        <v/>
      </c>
      <c r="H61" s="165">
        <f>G61/$G$87</f>
        <v/>
      </c>
      <c r="I61" s="14">
        <f>ROUND(F61*Прил.10!$D$12,2)</f>
        <v/>
      </c>
      <c r="J61" s="14">
        <f>ROUND(I61*E61,2)</f>
        <v/>
      </c>
    </row>
    <row r="62" outlineLevel="1" ht="25.5" customFormat="1" customHeight="1" s="125">
      <c r="A62" s="153" t="n">
        <v>34</v>
      </c>
      <c r="B62" s="58" t="inlineStr">
        <is>
          <t>02.2.05.04-1777</t>
        </is>
      </c>
      <c r="C62" s="158" t="inlineStr">
        <is>
          <t>Щебень М 800, фракция 20-40 мм, группа 2</t>
        </is>
      </c>
      <c r="D62" s="153" t="inlineStr">
        <is>
          <t>м3</t>
        </is>
      </c>
      <c r="E62" s="102" t="n">
        <v>1.6</v>
      </c>
      <c r="F62" s="170" t="n">
        <v>108.4</v>
      </c>
      <c r="G62" s="14">
        <f>ROUND(F62*E62,2)</f>
        <v/>
      </c>
      <c r="H62" s="165">
        <f>G62/$G$87</f>
        <v/>
      </c>
      <c r="I62" s="14">
        <f>ROUND(F62*Прил.10!$D$12,2)</f>
        <v/>
      </c>
      <c r="J62" s="14">
        <f>ROUND(I62*E62,2)</f>
        <v/>
      </c>
    </row>
    <row r="63" outlineLevel="1" ht="25.5" customFormat="1" customHeight="1" s="125">
      <c r="A63" s="153" t="n">
        <v>35</v>
      </c>
      <c r="B63" s="58" t="inlineStr">
        <is>
          <t>08.4.03.02-0001</t>
        </is>
      </c>
      <c r="C63" s="158" t="inlineStr">
        <is>
          <t>Горячекатаная арматурная сталь гладкая класса А-I, диаметром 6 мм</t>
        </is>
      </c>
      <c r="D63" s="153" t="inlineStr">
        <is>
          <t>т</t>
        </is>
      </c>
      <c r="E63" s="102" t="n">
        <v>0.0182</v>
      </c>
      <c r="F63" s="170" t="n">
        <v>7418.82</v>
      </c>
      <c r="G63" s="14">
        <f>ROUND(F63*E63,2)</f>
        <v/>
      </c>
      <c r="H63" s="165">
        <f>G63/$G$87</f>
        <v/>
      </c>
      <c r="I63" s="14">
        <f>ROUND(F63*Прил.10!$D$12,2)</f>
        <v/>
      </c>
      <c r="J63" s="14">
        <f>ROUND(I63*E63,2)</f>
        <v/>
      </c>
    </row>
    <row r="64" outlineLevel="1" ht="25.5" customFormat="1" customHeight="1" s="125">
      <c r="A64" s="153" t="n">
        <v>36</v>
      </c>
      <c r="B64" s="58" t="inlineStr">
        <is>
          <t>20.1.01.02-0067</t>
        </is>
      </c>
      <c r="C64" s="158" t="inlineStr">
        <is>
          <t>Зажим аппаратный прессуемый: А4А-400-2</t>
        </is>
      </c>
      <c r="D64" s="153" t="inlineStr">
        <is>
          <t>100 шт.</t>
        </is>
      </c>
      <c r="E64" s="102" t="n">
        <v>0.02</v>
      </c>
      <c r="F64" s="170" t="n">
        <v>6505</v>
      </c>
      <c r="G64" s="14">
        <f>ROUND(F64*E64,2)</f>
        <v/>
      </c>
      <c r="H64" s="165">
        <f>G64/$G$87</f>
        <v/>
      </c>
      <c r="I64" s="14">
        <f>ROUND(F64*Прил.10!$D$12,2)</f>
        <v/>
      </c>
      <c r="J64" s="14">
        <f>ROUND(I64*E64,2)</f>
        <v/>
      </c>
    </row>
    <row r="65" outlineLevel="1" ht="25.5" customFormat="1" customHeight="1" s="125">
      <c r="A65" s="153" t="n">
        <v>37</v>
      </c>
      <c r="B65" s="58" t="inlineStr">
        <is>
          <t>08.4.03.02-0002</t>
        </is>
      </c>
      <c r="C65" s="158" t="inlineStr">
        <is>
          <t>Горячекатаная арматурная сталь гладкая класса А-I, диаметром 8 мм</t>
        </is>
      </c>
      <c r="D65" s="153" t="inlineStr">
        <is>
          <t>т</t>
        </is>
      </c>
      <c r="E65" s="102" t="n">
        <v>0.0176</v>
      </c>
      <c r="F65" s="170" t="n">
        <v>6780</v>
      </c>
      <c r="G65" s="14">
        <f>ROUND(F65*E65,2)</f>
        <v/>
      </c>
      <c r="H65" s="165">
        <f>G65/$G$87</f>
        <v/>
      </c>
      <c r="I65" s="14">
        <f>ROUND(F65*Прил.10!$D$12,2)</f>
        <v/>
      </c>
      <c r="J65" s="14">
        <f>ROUND(I65*E65,2)</f>
        <v/>
      </c>
    </row>
    <row r="66" outlineLevel="1" ht="14.25" customFormat="1" customHeight="1" s="125">
      <c r="A66" s="153" t="n">
        <v>38</v>
      </c>
      <c r="B66" s="58" t="inlineStr">
        <is>
          <t>11.2.13.04-0011</t>
        </is>
      </c>
      <c r="C66" s="158" t="inlineStr">
        <is>
          <t>Щиты из досок толщиной 25 мм</t>
        </is>
      </c>
      <c r="D66" s="153" t="inlineStr">
        <is>
          <t>м2</t>
        </is>
      </c>
      <c r="E66" s="102" t="n">
        <v>2.277</v>
      </c>
      <c r="F66" s="170" t="n">
        <v>35.53</v>
      </c>
      <c r="G66" s="14">
        <f>ROUND(F66*E66,2)</f>
        <v/>
      </c>
      <c r="H66" s="165">
        <f>G66/$G$87</f>
        <v/>
      </c>
      <c r="I66" s="14">
        <f>ROUND(F66*Прил.10!$D$12,2)</f>
        <v/>
      </c>
      <c r="J66" s="14">
        <f>ROUND(I66*E66,2)</f>
        <v/>
      </c>
    </row>
    <row r="67" outlineLevel="1" ht="51" customFormat="1" customHeight="1" s="125">
      <c r="A67" s="153" t="n">
        <v>39</v>
      </c>
      <c r="B67" s="58" t="inlineStr">
        <is>
          <t>08.4.01.02-0011</t>
        </is>
      </c>
      <c r="C67" s="158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67" s="153" t="inlineStr">
        <is>
          <t>т</t>
        </is>
      </c>
      <c r="E67" s="102" t="n">
        <v>0.00984</v>
      </c>
      <c r="F67" s="170" t="n">
        <v>5804</v>
      </c>
      <c r="G67" s="14">
        <f>ROUND(F67*E67,2)</f>
        <v/>
      </c>
      <c r="H67" s="165">
        <f>G67/$G$87</f>
        <v/>
      </c>
      <c r="I67" s="14">
        <f>ROUND(F67*Прил.10!$D$12,2)</f>
        <v/>
      </c>
      <c r="J67" s="14">
        <f>ROUND(I67*E67,2)</f>
        <v/>
      </c>
    </row>
    <row r="68" outlineLevel="1" ht="25.5" customFormat="1" customHeight="1" s="125">
      <c r="A68" s="153" t="n">
        <v>40</v>
      </c>
      <c r="B68" s="58" t="inlineStr">
        <is>
          <t>01.7.11.07-0034</t>
        </is>
      </c>
      <c r="C68" s="158" t="inlineStr">
        <is>
          <t>Электроды сварочные Э42А, диаметр 4 мм</t>
        </is>
      </c>
      <c r="D68" s="153" t="inlineStr">
        <is>
          <t>кг</t>
        </is>
      </c>
      <c r="E68" s="102" t="n">
        <v>3.8999961</v>
      </c>
      <c r="F68" s="170" t="n">
        <v>10.57</v>
      </c>
      <c r="G68" s="14">
        <f>ROUND(F68*E68,2)</f>
        <v/>
      </c>
      <c r="H68" s="165">
        <f>G68/$G$87</f>
        <v/>
      </c>
      <c r="I68" s="14">
        <f>ROUND(F68*Прил.10!$D$12,2)</f>
        <v/>
      </c>
      <c r="J68" s="14">
        <f>ROUND(I68*E68,2)</f>
        <v/>
      </c>
    </row>
    <row r="69" outlineLevel="1" ht="25.5" customFormat="1" customHeight="1" s="125">
      <c r="A69" s="153" t="n">
        <v>41</v>
      </c>
      <c r="B69" s="58" t="inlineStr">
        <is>
          <t>01.3.01.06-0050</t>
        </is>
      </c>
      <c r="C69" s="158" t="inlineStr">
        <is>
          <t>Смазка универсальная тугоплавкая УТ (консталин жировой)</t>
        </is>
      </c>
      <c r="D69" s="153" t="inlineStr">
        <is>
          <t>т</t>
        </is>
      </c>
      <c r="E69" s="102" t="n">
        <v>0.001999998</v>
      </c>
      <c r="F69" s="170" t="n">
        <v>17500</v>
      </c>
      <c r="G69" s="14">
        <f>ROUND(F69*E69,2)</f>
        <v/>
      </c>
      <c r="H69" s="165">
        <f>G69/$G$87</f>
        <v/>
      </c>
      <c r="I69" s="14">
        <f>ROUND(F69*Прил.10!$D$12,2)</f>
        <v/>
      </c>
      <c r="J69" s="14">
        <f>ROUND(I69*E69,2)</f>
        <v/>
      </c>
    </row>
    <row r="70" outlineLevel="1" ht="14.25" customFormat="1" customHeight="1" s="125">
      <c r="A70" s="153" t="n">
        <v>42</v>
      </c>
      <c r="B70" s="58" t="inlineStr">
        <is>
          <t>14.4.02.09-0001</t>
        </is>
      </c>
      <c r="C70" s="158" t="inlineStr">
        <is>
          <t>Краска</t>
        </is>
      </c>
      <c r="D70" s="153" t="inlineStr">
        <is>
          <t>кг</t>
        </is>
      </c>
      <c r="E70" s="102" t="n">
        <v>1.1999988</v>
      </c>
      <c r="F70" s="170" t="n">
        <v>28.6</v>
      </c>
      <c r="G70" s="14">
        <f>ROUND(F70*E70,2)</f>
        <v/>
      </c>
      <c r="H70" s="165">
        <f>G70/$G$87</f>
        <v/>
      </c>
      <c r="I70" s="14">
        <f>ROUND(F70*Прил.10!$D$12,2)</f>
        <v/>
      </c>
      <c r="J70" s="14">
        <f>ROUND(I70*E70,2)</f>
        <v/>
      </c>
    </row>
    <row r="71" outlineLevel="1" ht="38.25" customFormat="1" customHeight="1" s="125">
      <c r="A71" s="153" t="n">
        <v>43</v>
      </c>
      <c r="B71" s="58" t="inlineStr">
        <is>
          <t>11.1.03.06-0095</t>
        </is>
      </c>
      <c r="C71" s="158" t="inlineStr">
        <is>
          <t>Доска обрезная, хвойных пород, ширина 75-150 мм, толщина 44 мм и более, длина 4-6,5 м, сорт III</t>
        </is>
      </c>
      <c r="D71" s="153" t="inlineStr">
        <is>
          <t>м3</t>
        </is>
      </c>
      <c r="E71" s="102" t="n">
        <v>0.03174</v>
      </c>
      <c r="F71" s="170" t="n">
        <v>1056</v>
      </c>
      <c r="G71" s="14">
        <f>ROUND(F71*E71,2)</f>
        <v/>
      </c>
      <c r="H71" s="165">
        <f>G71/$G$87</f>
        <v/>
      </c>
      <c r="I71" s="14">
        <f>ROUND(F71*Прил.10!$D$12,2)</f>
        <v/>
      </c>
      <c r="J71" s="14">
        <f>ROUND(I71*E71,2)</f>
        <v/>
      </c>
    </row>
    <row r="72" outlineLevel="1" ht="14.25" customFormat="1" customHeight="1" s="125">
      <c r="A72" s="153" t="n">
        <v>44</v>
      </c>
      <c r="B72" s="58" t="inlineStr">
        <is>
          <t>01.7.15.03-0042</t>
        </is>
      </c>
      <c r="C72" s="158" t="inlineStr">
        <is>
          <t>Болты с гайками и шайбами строительные</t>
        </is>
      </c>
      <c r="D72" s="153" t="inlineStr">
        <is>
          <t>кг</t>
        </is>
      </c>
      <c r="E72" s="102" t="n">
        <v>3.3666633</v>
      </c>
      <c r="F72" s="170" t="n">
        <v>9.039999999999999</v>
      </c>
      <c r="G72" s="14">
        <f>ROUND(F72*E72,2)</f>
        <v/>
      </c>
      <c r="H72" s="165">
        <f>G72/$G$87</f>
        <v/>
      </c>
      <c r="I72" s="14">
        <f>ROUND(F72*Прил.10!$D$12,2)</f>
        <v/>
      </c>
      <c r="J72" s="14">
        <f>ROUND(I72*E72,2)</f>
        <v/>
      </c>
    </row>
    <row r="73" outlineLevel="1" ht="14.25" customFormat="1" customHeight="1" s="125">
      <c r="A73" s="153" t="n">
        <v>45</v>
      </c>
      <c r="B73" s="58" t="inlineStr">
        <is>
          <t>01.7.15.06-0111</t>
        </is>
      </c>
      <c r="C73" s="158" t="inlineStr">
        <is>
          <t>Гвозди строительные</t>
        </is>
      </c>
      <c r="D73" s="153" t="inlineStr">
        <is>
          <t>т</t>
        </is>
      </c>
      <c r="E73" s="102" t="n">
        <v>0.001702</v>
      </c>
      <c r="F73" s="170" t="n">
        <v>11978</v>
      </c>
      <c r="G73" s="14">
        <f>ROUND(F73*E73,2)</f>
        <v/>
      </c>
      <c r="H73" s="165">
        <f>G73/$G$87</f>
        <v/>
      </c>
      <c r="I73" s="14">
        <f>ROUND(F73*Прил.10!$D$12,2)</f>
        <v/>
      </c>
      <c r="J73" s="14">
        <f>ROUND(I73*E73,2)</f>
        <v/>
      </c>
    </row>
    <row r="74" outlineLevel="1" ht="38.25" customFormat="1" customHeight="1" s="125">
      <c r="A74" s="153" t="n">
        <v>46</v>
      </c>
      <c r="B74" s="58" t="inlineStr">
        <is>
          <t>11.1.02.04-0031</t>
        </is>
      </c>
      <c r="C74" s="158" t="inlineStr">
        <is>
          <t>Лесоматериалы круглые хвойных пород для строительства диаметром 14-24 см, длиной 3-6,5 м</t>
        </is>
      </c>
      <c r="D74" s="153" t="inlineStr">
        <is>
          <t>м3</t>
        </is>
      </c>
      <c r="E74" s="102" t="n">
        <v>0.03174</v>
      </c>
      <c r="F74" s="170" t="n">
        <v>558.33</v>
      </c>
      <c r="G74" s="14">
        <f>ROUND(F74*E74,2)</f>
        <v/>
      </c>
      <c r="H74" s="165">
        <f>G74/$G$87</f>
        <v/>
      </c>
      <c r="I74" s="14">
        <f>ROUND(F74*Прил.10!$D$12,2)</f>
        <v/>
      </c>
      <c r="J74" s="14">
        <f>ROUND(I74*E74,2)</f>
        <v/>
      </c>
    </row>
    <row r="75" outlineLevel="1" ht="14.25" customFormat="1" customHeight="1" s="125">
      <c r="A75" s="153" t="n">
        <v>47</v>
      </c>
      <c r="B75" s="58" t="inlineStr">
        <is>
          <t>01.7.20.08-0031</t>
        </is>
      </c>
      <c r="C75" s="158" t="inlineStr">
        <is>
          <t xml:space="preserve">Бязь суровая </t>
        </is>
      </c>
      <c r="D75" s="153" t="inlineStr">
        <is>
          <t>10 м2</t>
        </is>
      </c>
      <c r="E75" s="102" t="n">
        <v>0.200999799</v>
      </c>
      <c r="F75" s="170" t="n">
        <v>79.09999999999999</v>
      </c>
      <c r="G75" s="14">
        <f>ROUND(F75*E75,2)</f>
        <v/>
      </c>
      <c r="H75" s="165">
        <f>G75/$G$87</f>
        <v/>
      </c>
      <c r="I75" s="14">
        <f>ROUND(F75*Прил.10!$D$12,2)</f>
        <v/>
      </c>
      <c r="J75" s="14">
        <f>ROUND(I75*E75,2)</f>
        <v/>
      </c>
    </row>
    <row r="76" outlineLevel="1" ht="25.5" customFormat="1" customHeight="1" s="125">
      <c r="A76" s="153" t="n">
        <v>48</v>
      </c>
      <c r="B76" s="58" t="inlineStr">
        <is>
          <t>999-9950</t>
        </is>
      </c>
      <c r="C76" s="158" t="inlineStr">
        <is>
          <t>Вспомогательные ненормируемые материалы</t>
        </is>
      </c>
      <c r="D76" s="153" t="inlineStr">
        <is>
          <t>руб</t>
        </is>
      </c>
      <c r="E76" s="102" t="n">
        <v>15.58331775</v>
      </c>
      <c r="F76" s="170" t="n">
        <v>1</v>
      </c>
      <c r="G76" s="14">
        <f>ROUND(F76*E76,2)</f>
        <v/>
      </c>
      <c r="H76" s="165">
        <f>G76/$G$87</f>
        <v/>
      </c>
      <c r="I76" s="14">
        <f>ROUND(F76*Прил.10!$D$12,2)</f>
        <v/>
      </c>
      <c r="J76" s="14">
        <f>ROUND(I76*E76,2)</f>
        <v/>
      </c>
    </row>
    <row r="77" outlineLevel="1" ht="38.25" customFormat="1" customHeight="1" s="125">
      <c r="A77" s="153" t="n">
        <v>49</v>
      </c>
      <c r="B77" s="58" t="inlineStr">
        <is>
          <t>08.3.07.01-0076</t>
        </is>
      </c>
      <c r="C77" s="158" t="inlineStr">
        <is>
          <t>Прокат полосовой, горячекатаный, марка стали Ст3сп, ширина 50-200 мм, толщина 4-5 мм</t>
        </is>
      </c>
      <c r="D77" s="153" t="inlineStr">
        <is>
          <t>т</t>
        </is>
      </c>
      <c r="E77" s="102" t="n">
        <v>0.002866664</v>
      </c>
      <c r="F77" s="170" t="n">
        <v>5000</v>
      </c>
      <c r="G77" s="14">
        <f>ROUND(F77*E77,2)</f>
        <v/>
      </c>
      <c r="H77" s="165">
        <f>G77/$G$87</f>
        <v/>
      </c>
      <c r="I77" s="14">
        <f>ROUND(F77*Прил.10!$D$12,2)</f>
        <v/>
      </c>
      <c r="J77" s="14">
        <f>ROUND(I77*E77,2)</f>
        <v/>
      </c>
    </row>
    <row r="78" outlineLevel="1" ht="38.25" customFormat="1" customHeight="1" s="125">
      <c r="A78" s="153" t="n">
        <v>50</v>
      </c>
      <c r="B78" s="58" t="inlineStr">
        <is>
          <t>11.1.03.06-0087</t>
        </is>
      </c>
      <c r="C78" s="158" t="inlineStr">
        <is>
          <t>Доска обрезная, хвойных пород, ширина 75-150 мм, толщина 25 мм, длина 4-6,5 м, сорт III</t>
        </is>
      </c>
      <c r="D78" s="153" t="inlineStr">
        <is>
          <t>м3</t>
        </is>
      </c>
      <c r="E78" s="102" t="n">
        <v>0.0092</v>
      </c>
      <c r="F78" s="170" t="n">
        <v>1100</v>
      </c>
      <c r="G78" s="14">
        <f>ROUND(F78*E78,2)</f>
        <v/>
      </c>
      <c r="H78" s="165">
        <f>G78/$G$87</f>
        <v/>
      </c>
      <c r="I78" s="14">
        <f>ROUND(F78*Прил.10!$D$12,2)</f>
        <v/>
      </c>
      <c r="J78" s="14">
        <f>ROUND(I78*E78,2)</f>
        <v/>
      </c>
    </row>
    <row r="79" outlineLevel="1" ht="25.5" customFormat="1" customHeight="1" s="125">
      <c r="A79" s="153" t="n">
        <v>51</v>
      </c>
      <c r="B79" s="58" t="inlineStr">
        <is>
          <t>08.3.03.06-0002</t>
        </is>
      </c>
      <c r="C79" s="158" t="inlineStr">
        <is>
          <t>Проволока горячекатаная в мотках, диаметром 6,3-6,5 мм</t>
        </is>
      </c>
      <c r="D79" s="153" t="inlineStr">
        <is>
          <t>т</t>
        </is>
      </c>
      <c r="E79" s="102" t="n">
        <v>0.00184</v>
      </c>
      <c r="F79" s="170" t="n">
        <v>4455.2</v>
      </c>
      <c r="G79" s="14">
        <f>ROUND(F79*E79,2)</f>
        <v/>
      </c>
      <c r="H79" s="165">
        <f>G79/$G$87</f>
        <v/>
      </c>
      <c r="I79" s="14">
        <f>ROUND(F79*Прил.10!$D$12,2)</f>
        <v/>
      </c>
      <c r="J79" s="14">
        <f>ROUND(I79*E79,2)</f>
        <v/>
      </c>
    </row>
    <row r="80" outlineLevel="1" ht="14.25" customFormat="1" customHeight="1" s="125">
      <c r="A80" s="153" t="n">
        <v>52</v>
      </c>
      <c r="B80" s="58" t="inlineStr">
        <is>
          <t>01.7.07.12-0024</t>
        </is>
      </c>
      <c r="C80" s="158" t="inlineStr">
        <is>
          <t>Пленка полиэтиленовая толщиной 0,15 мм</t>
        </is>
      </c>
      <c r="D80" s="153" t="inlineStr">
        <is>
          <t>м2</t>
        </is>
      </c>
      <c r="E80" s="102" t="n">
        <v>1.9646</v>
      </c>
      <c r="F80" s="170" t="n">
        <v>3.62</v>
      </c>
      <c r="G80" s="14">
        <f>ROUND(F80*E80,2)</f>
        <v/>
      </c>
      <c r="H80" s="165">
        <f>G80/$G$87</f>
        <v/>
      </c>
      <c r="I80" s="14">
        <f>ROUND(F80*Прил.10!$D$12,2)</f>
        <v/>
      </c>
      <c r="J80" s="14">
        <f>ROUND(I80*E80,2)</f>
        <v/>
      </c>
    </row>
    <row r="81" outlineLevel="1" ht="38.25" customFormat="1" customHeight="1" s="125">
      <c r="A81" s="153" t="n">
        <v>53</v>
      </c>
      <c r="B81" s="58" t="inlineStr">
        <is>
          <t>11.1.03.01-0079</t>
        </is>
      </c>
      <c r="C81" s="158" t="inlineStr">
        <is>
          <t>Бруски обрезные, хвойных пород, длина 4-6,5 м, ширина 75-150 мм, толщина 40-75 мм, сорт III</t>
        </is>
      </c>
      <c r="D81" s="153" t="inlineStr">
        <is>
          <t>м3</t>
        </is>
      </c>
      <c r="E81" s="102" t="n">
        <v>0.00368</v>
      </c>
      <c r="F81" s="170" t="n">
        <v>1287</v>
      </c>
      <c r="G81" s="14">
        <f>ROUND(F81*E81,2)</f>
        <v/>
      </c>
      <c r="H81" s="165">
        <f>G81/$G$87</f>
        <v/>
      </c>
      <c r="I81" s="14">
        <f>ROUND(F81*Прил.10!$D$12,2)</f>
        <v/>
      </c>
      <c r="J81" s="14">
        <f>ROUND(I81*E81,2)</f>
        <v/>
      </c>
    </row>
    <row r="82" outlineLevel="1" ht="14.25" customFormat="1" customHeight="1" s="125">
      <c r="A82" s="153" t="n">
        <v>54</v>
      </c>
      <c r="B82" s="58" t="inlineStr">
        <is>
          <t>14.2.06.06-0011</t>
        </is>
      </c>
      <c r="C82" s="158" t="inlineStr">
        <is>
          <t>Латекс СКС-65 ГП</t>
        </is>
      </c>
      <c r="D82" s="153" t="inlineStr">
        <is>
          <t>т</t>
        </is>
      </c>
      <c r="E82" s="102" t="n">
        <v>0.000315</v>
      </c>
      <c r="F82" s="170" t="n">
        <v>13673</v>
      </c>
      <c r="G82" s="14">
        <f>ROUND(F82*E82,2)</f>
        <v/>
      </c>
      <c r="H82" s="165">
        <f>G82/$G$87</f>
        <v/>
      </c>
      <c r="I82" s="14">
        <f>ROUND(F82*Прил.10!$D$12,2)</f>
        <v/>
      </c>
      <c r="J82" s="14">
        <f>ROUND(I82*E82,2)</f>
        <v/>
      </c>
    </row>
    <row r="83" outlineLevel="1" ht="14.25" customFormat="1" customHeight="1" s="125">
      <c r="A83" s="153" t="n">
        <v>55</v>
      </c>
      <c r="B83" s="58" t="inlineStr">
        <is>
          <t>01.7.11.07-0054</t>
        </is>
      </c>
      <c r="C83" s="158" t="inlineStr">
        <is>
          <t>Электроды сварочные Э42, диаметр 6 мм</t>
        </is>
      </c>
      <c r="D83" s="153" t="inlineStr">
        <is>
          <t>т</t>
        </is>
      </c>
      <c r="E83" s="102" t="n">
        <v>0.000184</v>
      </c>
      <c r="F83" s="170" t="n">
        <v>9424</v>
      </c>
      <c r="G83" s="14">
        <f>ROUND(F83*E83,2)</f>
        <v/>
      </c>
      <c r="H83" s="165">
        <f>G83/$G$87</f>
        <v/>
      </c>
      <c r="I83" s="14">
        <f>ROUND(F83*Прил.10!$D$12,2)</f>
        <v/>
      </c>
      <c r="J83" s="14">
        <f>ROUND(I83*E83,2)</f>
        <v/>
      </c>
    </row>
    <row r="84" outlineLevel="1" ht="25.5" customFormat="1" customHeight="1" s="125">
      <c r="A84" s="153" t="n">
        <v>56</v>
      </c>
      <c r="B84" s="58" t="inlineStr">
        <is>
          <t>03.1.02.03-0011</t>
        </is>
      </c>
      <c r="C84" s="158" t="inlineStr">
        <is>
          <t>Известь строительная негашеная комовая, сорт I</t>
        </is>
      </c>
      <c r="D84" s="153" t="inlineStr">
        <is>
          <t>т</t>
        </is>
      </c>
      <c r="E84" s="102" t="n">
        <v>0.002116</v>
      </c>
      <c r="F84" s="170" t="n">
        <v>734.5</v>
      </c>
      <c r="G84" s="14">
        <f>ROUND(F84*E84,2)</f>
        <v/>
      </c>
      <c r="H84" s="165">
        <f>G84/$G$87</f>
        <v/>
      </c>
      <c r="I84" s="14">
        <f>ROUND(F84*Прил.10!$D$12,2)</f>
        <v/>
      </c>
      <c r="J84" s="14">
        <f>ROUND(I84*E84,2)</f>
        <v/>
      </c>
    </row>
    <row r="85" outlineLevel="1" ht="14.25" customFormat="1" customHeight="1" s="125">
      <c r="A85" s="153" t="n">
        <v>57</v>
      </c>
      <c r="B85" s="58" t="inlineStr">
        <is>
          <t>01.7.03.01-0001</t>
        </is>
      </c>
      <c r="C85" s="158" t="inlineStr">
        <is>
          <t>Вода</t>
        </is>
      </c>
      <c r="D85" s="153" t="inlineStr">
        <is>
          <t>м3</t>
        </is>
      </c>
      <c r="E85" s="102" t="n">
        <v>0.169962</v>
      </c>
      <c r="F85" s="170" t="n">
        <v>2.44</v>
      </c>
      <c r="G85" s="14">
        <f>ROUND(F85*E85,2)</f>
        <v/>
      </c>
      <c r="H85" s="165">
        <f>G85/$G$87</f>
        <v/>
      </c>
      <c r="I85" s="14">
        <f>ROUND(F85*Прил.10!$D$12,2)</f>
        <v/>
      </c>
      <c r="J85" s="14">
        <f>ROUND(I85*E85,2)</f>
        <v/>
      </c>
    </row>
    <row r="86" ht="14.25" customFormat="1" customHeight="1" s="125">
      <c r="A86" s="153" t="n"/>
      <c r="B86" s="153" t="n"/>
      <c r="C86" s="158" t="inlineStr">
        <is>
          <t>Итого прочие материалы</t>
        </is>
      </c>
      <c r="D86" s="153" t="n"/>
      <c r="E86" s="159" t="n"/>
      <c r="F86" s="160" t="n"/>
      <c r="G86" s="14">
        <f>SUM(G58:G85)</f>
        <v/>
      </c>
      <c r="H86" s="165">
        <f>G86/G87</f>
        <v/>
      </c>
      <c r="I86" s="14" t="n"/>
      <c r="J86" s="14">
        <f>SUM(J58:J85)</f>
        <v/>
      </c>
    </row>
    <row r="87" ht="14.25" customFormat="1" customHeight="1" s="125">
      <c r="A87" s="153" t="n"/>
      <c r="B87" s="153" t="n"/>
      <c r="C87" s="148" t="inlineStr">
        <is>
          <t>Итого по разделу «Материалы»</t>
        </is>
      </c>
      <c r="D87" s="153" t="n"/>
      <c r="E87" s="159" t="n"/>
      <c r="F87" s="160" t="n"/>
      <c r="G87" s="14">
        <f>G57+G86</f>
        <v/>
      </c>
      <c r="H87" s="165" t="n">
        <v>1</v>
      </c>
      <c r="I87" s="160" t="n"/>
      <c r="J87" s="14">
        <f>J57+J86</f>
        <v/>
      </c>
      <c r="K87" s="57" t="n"/>
    </row>
    <row r="88" ht="14.25" customFormat="1" customHeight="1" s="125">
      <c r="A88" s="153" t="n"/>
      <c r="B88" s="153" t="n"/>
      <c r="C88" s="158" t="inlineStr">
        <is>
          <t>ИТОГО ПО РМ</t>
        </is>
      </c>
      <c r="D88" s="153" t="n"/>
      <c r="E88" s="159" t="n"/>
      <c r="F88" s="160" t="n"/>
      <c r="G88" s="14">
        <f>G14+G39+G87</f>
        <v/>
      </c>
      <c r="H88" s="165" t="n"/>
      <c r="I88" s="160" t="n"/>
      <c r="J88" s="14">
        <f>J14+J39+J87</f>
        <v/>
      </c>
    </row>
    <row r="89" ht="14.25" customFormat="1" customHeight="1" s="125">
      <c r="A89" s="153" t="n"/>
      <c r="B89" s="153" t="n"/>
      <c r="C89" s="158" t="inlineStr">
        <is>
          <t>Накладные расходы</t>
        </is>
      </c>
      <c r="D89" s="153" t="inlineStr">
        <is>
          <t>%</t>
        </is>
      </c>
      <c r="E89" s="112">
        <f>ROUND(G89/(G14+G16),2)</f>
        <v/>
      </c>
      <c r="F89" s="160" t="n"/>
      <c r="G89" s="14" t="n">
        <v>1352</v>
      </c>
      <c r="H89" s="165" t="n"/>
      <c r="I89" s="160" t="n"/>
      <c r="J89" s="14">
        <f>ROUND(E89*(J14+J16),2)</f>
        <v/>
      </c>
      <c r="K89" s="59" t="n"/>
    </row>
    <row r="90" ht="14.25" customFormat="1" customHeight="1" s="125">
      <c r="A90" s="153" t="n"/>
      <c r="B90" s="153" t="n"/>
      <c r="C90" s="158" t="inlineStr">
        <is>
          <t>Сметная прибыль</t>
        </is>
      </c>
      <c r="D90" s="153" t="inlineStr">
        <is>
          <t>%</t>
        </is>
      </c>
      <c r="E90" s="112">
        <f>ROUND(G90/(G14+G16),2)</f>
        <v/>
      </c>
      <c r="F90" s="160" t="n"/>
      <c r="G90" s="14" t="n">
        <v>896</v>
      </c>
      <c r="H90" s="165" t="n"/>
      <c r="I90" s="160" t="n"/>
      <c r="J90" s="14">
        <f>ROUND(E90*(J14+J16),2)</f>
        <v/>
      </c>
      <c r="K90" s="59" t="n"/>
    </row>
    <row r="91" ht="14.25" customFormat="1" customHeight="1" s="125">
      <c r="A91" s="153" t="n"/>
      <c r="B91" s="153" t="n"/>
      <c r="C91" s="158" t="inlineStr">
        <is>
          <t>Итого СМР (с НР и СП)</t>
        </is>
      </c>
      <c r="D91" s="153" t="n"/>
      <c r="E91" s="159" t="n"/>
      <c r="F91" s="160" t="n"/>
      <c r="G91" s="14">
        <f>G14+G39+G87+G89+G90</f>
        <v/>
      </c>
      <c r="H91" s="165" t="n"/>
      <c r="I91" s="160" t="n"/>
      <c r="J91" s="14">
        <f>J14+J39+J87+J89+J90</f>
        <v/>
      </c>
      <c r="L91" s="60" t="n"/>
    </row>
    <row r="92" ht="14.25" customFormat="1" customHeight="1" s="125">
      <c r="A92" s="153" t="n"/>
      <c r="B92" s="153" t="n"/>
      <c r="C92" s="158" t="inlineStr">
        <is>
          <t>ВСЕГО СМР + ОБОРУДОВАНИЕ</t>
        </is>
      </c>
      <c r="D92" s="153" t="n"/>
      <c r="E92" s="159" t="n"/>
      <c r="F92" s="160" t="n"/>
      <c r="G92" s="14">
        <f>G91+G46</f>
        <v/>
      </c>
      <c r="H92" s="165" t="n"/>
      <c r="I92" s="160" t="n"/>
      <c r="J92" s="14">
        <f>J91+J46</f>
        <v/>
      </c>
      <c r="L92" s="59" t="n"/>
    </row>
    <row r="93" ht="14.25" customFormat="1" customHeight="1" s="125">
      <c r="A93" s="153" t="n"/>
      <c r="B93" s="153" t="n"/>
      <c r="C93" s="158" t="inlineStr">
        <is>
          <t>ИТОГО ПОКАЗАТЕЛЬ НА ЕД. ИЗМ.</t>
        </is>
      </c>
      <c r="D93" s="153" t="inlineStr">
        <is>
          <t>ед.</t>
        </is>
      </c>
      <c r="E93" s="113">
        <f>'Прил.1 Сравнит табл'!D15</f>
        <v/>
      </c>
      <c r="F93" s="160" t="n"/>
      <c r="G93" s="14">
        <f>G92/E93</f>
        <v/>
      </c>
      <c r="H93" s="165" t="n"/>
      <c r="I93" s="160" t="n"/>
      <c r="J93" s="14">
        <f>J92/E93</f>
        <v/>
      </c>
      <c r="L93" s="59" t="n"/>
    </row>
    <row r="95" ht="14.25" customFormat="1" customHeight="1" s="125">
      <c r="A95" s="123" t="n"/>
    </row>
    <row r="96" ht="14.25" customFormat="1" customHeight="1" s="125">
      <c r="A96" s="115" t="inlineStr">
        <is>
          <t>Составил ______________________        Е. М. Добровольская</t>
        </is>
      </c>
    </row>
    <row r="97" ht="14.25" customFormat="1" customHeight="1" s="125">
      <c r="A97" s="126" t="inlineStr">
        <is>
          <t xml:space="preserve">                         (подпись, инициалы, фамилия)</t>
        </is>
      </c>
    </row>
    <row r="98" ht="14.25" customFormat="1" customHeight="1" s="125">
      <c r="A98" s="115" t="n"/>
    </row>
    <row r="99" ht="14.25" customFormat="1" customHeight="1" s="125">
      <c r="A99" s="115" t="inlineStr">
        <is>
          <t>Проверил ______________________        А.В. Костянецкая</t>
        </is>
      </c>
    </row>
    <row r="100" ht="14.25" customFormat="1" customHeight="1" s="125">
      <c r="A100" s="126" t="inlineStr">
        <is>
          <t xml:space="preserve">                        (подпись, инициалы, фамилия)</t>
        </is>
      </c>
    </row>
  </sheetData>
  <mergeCells count="20">
    <mergeCell ref="H9:H10"/>
    <mergeCell ref="B49:H49"/>
    <mergeCell ref="B15:H15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B41:J41"/>
    <mergeCell ref="F9:G9"/>
    <mergeCell ref="A4:H4"/>
    <mergeCell ref="B17:H17"/>
    <mergeCell ref="A9:A10"/>
    <mergeCell ref="A6:C6"/>
    <mergeCell ref="I9:J9"/>
    <mergeCell ref="B48:J48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B21" sqref="B21"/>
    </sheetView>
  </sheetViews>
  <sheetFormatPr baseColWidth="8" defaultRowHeight="15"/>
  <cols>
    <col width="5.7109375" customWidth="1" style="114" min="1" max="1"/>
    <col width="14.85546875" customWidth="1" style="114" min="2" max="2"/>
    <col width="39.140625" customWidth="1" style="114" min="3" max="3"/>
    <col width="8.28515625" customWidth="1" style="114" min="4" max="4"/>
    <col width="13.5703125" customWidth="1" style="114" min="5" max="5"/>
    <col width="12.42578125" customWidth="1" style="114" min="6" max="6"/>
    <col width="14.140625" customWidth="1" style="114" min="7" max="7"/>
  </cols>
  <sheetData>
    <row r="1">
      <c r="A1" s="172" t="inlineStr">
        <is>
          <t>Приложение №6</t>
        </is>
      </c>
    </row>
    <row r="2" ht="21.75" customHeight="1" s="114">
      <c r="A2" s="172" t="n"/>
      <c r="B2" s="172" t="n"/>
      <c r="C2" s="172" t="n"/>
      <c r="D2" s="172" t="n"/>
      <c r="E2" s="172" t="n"/>
      <c r="F2" s="172" t="n"/>
      <c r="G2" s="172" t="n"/>
    </row>
    <row r="3">
      <c r="A3" s="149" t="inlineStr">
        <is>
          <t>Расчет стоимости оборудования</t>
        </is>
      </c>
    </row>
    <row r="4" ht="25.5" customHeight="1" s="114">
      <c r="A4" s="171">
        <f>'Прил.1 Сравнит табл'!B7</f>
        <v/>
      </c>
    </row>
    <row r="5">
      <c r="A5" s="115" t="n"/>
      <c r="B5" s="115" t="n"/>
      <c r="C5" s="115" t="n"/>
      <c r="D5" s="115" t="n"/>
      <c r="E5" s="115" t="n"/>
      <c r="F5" s="115" t="n"/>
      <c r="G5" s="115" t="n"/>
    </row>
    <row r="6" ht="30" customHeight="1" s="114">
      <c r="A6" s="173" t="inlineStr">
        <is>
          <t>№ пп.</t>
        </is>
      </c>
      <c r="B6" s="173" t="inlineStr">
        <is>
          <t>Код ресурса</t>
        </is>
      </c>
      <c r="C6" s="173" t="inlineStr">
        <is>
          <t>Наименование</t>
        </is>
      </c>
      <c r="D6" s="173" t="inlineStr">
        <is>
          <t>Ед. изм.</t>
        </is>
      </c>
      <c r="E6" s="153" t="inlineStr">
        <is>
          <t>Кол-во единиц по проектным данным</t>
        </is>
      </c>
      <c r="F6" s="173" t="inlineStr">
        <is>
          <t>Сметная стоимость в ценах на 01.01.2000 (руб.)</t>
        </is>
      </c>
      <c r="G6" s="180" t="n"/>
    </row>
    <row r="7">
      <c r="A7" s="182" t="n"/>
      <c r="B7" s="182" t="n"/>
      <c r="C7" s="182" t="n"/>
      <c r="D7" s="182" t="n"/>
      <c r="E7" s="182" t="n"/>
      <c r="F7" s="153" t="inlineStr">
        <is>
          <t>на ед. изм.</t>
        </is>
      </c>
      <c r="G7" s="153" t="inlineStr">
        <is>
          <t>общая</t>
        </is>
      </c>
    </row>
    <row r="8">
      <c r="A8" s="153" t="n">
        <v>1</v>
      </c>
      <c r="B8" s="153" t="n">
        <v>2</v>
      </c>
      <c r="C8" s="153" t="n">
        <v>3</v>
      </c>
      <c r="D8" s="153" t="n">
        <v>4</v>
      </c>
      <c r="E8" s="153" t="n">
        <v>5</v>
      </c>
      <c r="F8" s="153" t="n">
        <v>6</v>
      </c>
      <c r="G8" s="153" t="n">
        <v>7</v>
      </c>
    </row>
    <row r="9" ht="15" customHeight="1" s="114">
      <c r="A9" s="7" t="n"/>
      <c r="B9" s="158" t="inlineStr">
        <is>
          <t>ИНЖЕНЕРНОЕ ОБОРУДОВАНИЕ</t>
        </is>
      </c>
      <c r="C9" s="179" t="n"/>
      <c r="D9" s="179" t="n"/>
      <c r="E9" s="179" t="n"/>
      <c r="F9" s="179" t="n"/>
      <c r="G9" s="180" t="n"/>
    </row>
    <row r="10" ht="27" customHeight="1" s="114">
      <c r="A10" s="153" t="n"/>
      <c r="B10" s="148" t="n"/>
      <c r="C10" s="158" t="inlineStr">
        <is>
          <t>ИТОГО ИНЖЕНЕРНОЕ ОБОРУДОВАНИЕ</t>
        </is>
      </c>
      <c r="D10" s="148" t="n"/>
      <c r="E10" s="8" t="n"/>
      <c r="F10" s="160" t="n"/>
      <c r="G10" s="160" t="n">
        <v>0</v>
      </c>
    </row>
    <row r="11">
      <c r="A11" s="153" t="n"/>
      <c r="B11" s="158" t="inlineStr">
        <is>
          <t>ТЕХНОЛОГИЧЕСКОЕ ОБОРУДОВАНИЕ</t>
        </is>
      </c>
      <c r="C11" s="179" t="n"/>
      <c r="D11" s="179" t="n"/>
      <c r="E11" s="179" t="n"/>
      <c r="F11" s="179" t="n"/>
      <c r="G11" s="180" t="n"/>
    </row>
    <row r="12" ht="38.25" customHeight="1" s="114">
      <c r="A12" s="153" t="n">
        <v>1</v>
      </c>
      <c r="B12" s="135">
        <f>'Прил.5 Расчет СМР и ОБ'!B42</f>
        <v/>
      </c>
      <c r="C12" s="135">
        <f>'Прил.5 Расчет СМР и ОБ'!C42</f>
        <v/>
      </c>
      <c r="D12" s="14">
        <f>'Прил.5 Расчет СМР и ОБ'!D42</f>
        <v/>
      </c>
      <c r="E12" s="14">
        <f>'Прил.5 Расчет СМР и ОБ'!E42</f>
        <v/>
      </c>
      <c r="F12" s="14">
        <f>'Прил.5 Расчет СМР и ОБ'!F42</f>
        <v/>
      </c>
      <c r="G12" s="14">
        <f>ROUND(E12*F12,2)</f>
        <v/>
      </c>
    </row>
    <row r="13">
      <c r="A13" s="153" t="n">
        <v>2</v>
      </c>
      <c r="B13" s="135">
        <f>'Прил.5 Расчет СМР и ОБ'!B44</f>
        <v/>
      </c>
      <c r="C13" s="135">
        <f>'Прил.5 Расчет СМР и ОБ'!C44</f>
        <v/>
      </c>
      <c r="D13" s="14">
        <f>'Прил.5 Расчет СМР и ОБ'!D44</f>
        <v/>
      </c>
      <c r="E13" s="14">
        <f>'Прил.5 Расчет СМР и ОБ'!E44</f>
        <v/>
      </c>
      <c r="F13" s="14">
        <f>'Прил.5 Расчет СМР и ОБ'!F44</f>
        <v/>
      </c>
      <c r="G13" s="14">
        <f>ROUND(E13*F13,2)</f>
        <v/>
      </c>
    </row>
    <row r="14" ht="25.5" customHeight="1" s="114">
      <c r="A14" s="153" t="n">
        <v>3</v>
      </c>
      <c r="B14" s="12" t="n"/>
      <c r="C14" s="12" t="inlineStr">
        <is>
          <t>ИТОГО ТЕХНОЛОГИЧЕСКОЕ ОБОРУДОВАНИЕ</t>
        </is>
      </c>
      <c r="D14" s="12" t="n"/>
      <c r="E14" s="13" t="n"/>
      <c r="F14" s="160" t="n"/>
      <c r="G14" s="14">
        <f>SUM(G12:G13)</f>
        <v/>
      </c>
    </row>
    <row r="15" ht="19.5" customHeight="1" s="114">
      <c r="A15" s="153" t="n">
        <v>4</v>
      </c>
      <c r="B15" s="158" t="n"/>
      <c r="C15" s="158" t="inlineStr">
        <is>
          <t>Всего по разделу «Оборудование»</t>
        </is>
      </c>
      <c r="D15" s="158" t="n"/>
      <c r="E15" s="170" t="n"/>
      <c r="F15" s="160" t="n"/>
      <c r="G15" s="14">
        <f>G10+G14</f>
        <v/>
      </c>
    </row>
    <row r="16">
      <c r="A16" s="123" t="n"/>
      <c r="B16" s="124" t="n"/>
      <c r="C16" s="123" t="n"/>
      <c r="D16" s="123" t="n"/>
      <c r="E16" s="123" t="n"/>
      <c r="F16" s="123" t="n"/>
      <c r="G16" s="123" t="n"/>
    </row>
    <row r="17">
      <c r="A17" s="115" t="inlineStr">
        <is>
          <t>Составил ______________________        Е. М. Добровольская</t>
        </is>
      </c>
      <c r="B17" s="125" t="n"/>
      <c r="C17" s="125" t="n"/>
      <c r="D17" s="123" t="n"/>
      <c r="E17" s="123" t="n"/>
      <c r="F17" s="123" t="n"/>
      <c r="G17" s="123" t="n"/>
    </row>
    <row r="18">
      <c r="A18" s="126" t="inlineStr">
        <is>
          <t xml:space="preserve">                         (подпись, инициалы, фамилия)</t>
        </is>
      </c>
      <c r="B18" s="125" t="n"/>
      <c r="C18" s="125" t="n"/>
      <c r="D18" s="123" t="n"/>
      <c r="E18" s="123" t="n"/>
      <c r="F18" s="123" t="n"/>
      <c r="G18" s="123" t="n"/>
    </row>
    <row r="19">
      <c r="A19" s="115" t="n"/>
      <c r="B19" s="125" t="n"/>
      <c r="C19" s="125" t="n"/>
      <c r="D19" s="123" t="n"/>
      <c r="E19" s="123" t="n"/>
      <c r="F19" s="123" t="n"/>
      <c r="G19" s="123" t="n"/>
    </row>
    <row r="20">
      <c r="A20" s="115" t="inlineStr">
        <is>
          <t>Проверил ______________________        А.В. Костянецкая</t>
        </is>
      </c>
      <c r="B20" s="125" t="n"/>
      <c r="C20" s="125" t="n"/>
      <c r="D20" s="123" t="n"/>
      <c r="E20" s="123" t="n"/>
      <c r="F20" s="123" t="n"/>
      <c r="G20" s="123" t="n"/>
    </row>
    <row r="21">
      <c r="A21" s="126" t="inlineStr">
        <is>
          <t xml:space="preserve">                        (подпись, инициалы, фамилия)</t>
        </is>
      </c>
      <c r="B21" s="125" t="n"/>
      <c r="C21" s="125" t="n"/>
      <c r="D21" s="123" t="n"/>
      <c r="E21" s="123" t="n"/>
      <c r="F21" s="123" t="n"/>
      <c r="G21" s="12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14" min="1" max="1"/>
    <col width="29.7109375" customWidth="1" style="114" min="2" max="2"/>
    <col width="39.140625" customWidth="1" style="114" min="3" max="3"/>
    <col width="24.5703125" customWidth="1" style="114" min="4" max="4"/>
    <col width="24.85546875" customWidth="1" style="114" min="5" max="5"/>
    <col width="8.85546875" customWidth="1" style="114" min="6" max="6"/>
  </cols>
  <sheetData>
    <row r="1">
      <c r="B1" s="115" t="n"/>
      <c r="C1" s="115" t="n"/>
      <c r="D1" s="172" t="inlineStr">
        <is>
          <t>Приложение №7</t>
        </is>
      </c>
    </row>
    <row r="2">
      <c r="A2" s="172" t="n"/>
      <c r="B2" s="172" t="n"/>
      <c r="C2" s="172" t="n"/>
      <c r="D2" s="172" t="n"/>
    </row>
    <row r="3" ht="24.75" customHeight="1" s="114">
      <c r="A3" s="149" t="inlineStr">
        <is>
          <t>Расчет показателя УНЦ</t>
        </is>
      </c>
    </row>
    <row r="4" ht="24.75" customHeight="1" s="114">
      <c r="A4" s="149" t="n"/>
      <c r="B4" s="149" t="n"/>
      <c r="C4" s="149" t="n"/>
      <c r="D4" s="149" t="n"/>
    </row>
    <row r="5" ht="57.75" customHeight="1" s="114">
      <c r="A5" s="152" t="inlineStr">
        <is>
          <t xml:space="preserve">Наименование разрабатываемого показателя УНЦ - </t>
        </is>
      </c>
      <c r="D5" s="152">
        <f>'Прил.5 Расчет СМР и ОБ'!D6:J6</f>
        <v/>
      </c>
    </row>
    <row r="6" ht="19.9" customHeight="1" s="114">
      <c r="A6" s="152" t="inlineStr">
        <is>
          <t>Единица измерения  — 1 ед</t>
        </is>
      </c>
      <c r="D6" s="152" t="n"/>
    </row>
    <row r="7">
      <c r="A7" s="115" t="n"/>
      <c r="B7" s="115" t="n"/>
      <c r="C7" s="115" t="n"/>
      <c r="D7" s="115" t="n"/>
    </row>
    <row r="8" ht="14.45" customHeight="1" s="114">
      <c r="A8" s="142" t="inlineStr">
        <is>
          <t>Код показателя</t>
        </is>
      </c>
      <c r="B8" s="142" t="inlineStr">
        <is>
          <t>Наименование показателя</t>
        </is>
      </c>
      <c r="C8" s="142" t="inlineStr">
        <is>
          <t>Наименование РМ, входящих в состав показателя</t>
        </is>
      </c>
      <c r="D8" s="142" t="inlineStr">
        <is>
          <t>Норматив цены на 01.01.2023, тыс.руб.</t>
        </is>
      </c>
    </row>
    <row r="9" ht="15" customHeight="1" s="114">
      <c r="A9" s="182" t="n"/>
      <c r="B9" s="182" t="n"/>
      <c r="C9" s="182" t="n"/>
      <c r="D9" s="182" t="n"/>
    </row>
    <row r="10">
      <c r="A10" s="153" t="n">
        <v>1</v>
      </c>
      <c r="B10" s="153" t="n">
        <v>2</v>
      </c>
      <c r="C10" s="153" t="n">
        <v>3</v>
      </c>
      <c r="D10" s="153" t="n">
        <v>4</v>
      </c>
    </row>
    <row r="11" ht="41.45" customHeight="1" s="114">
      <c r="A11" s="153" t="inlineStr">
        <is>
          <t>И5-05-6</t>
        </is>
      </c>
      <c r="B11" s="153" t="inlineStr">
        <is>
          <t xml:space="preserve">УНЦ элементов ПС с устройством фундаментов </t>
        </is>
      </c>
      <c r="C11" s="120">
        <f>D5</f>
        <v/>
      </c>
      <c r="D11" s="121">
        <f>'Прил.4 РМ'!C41/1000</f>
        <v/>
      </c>
      <c r="E11" s="122" t="n"/>
    </row>
    <row r="12">
      <c r="A12" s="123" t="n"/>
      <c r="B12" s="124" t="n"/>
      <c r="C12" s="123" t="n"/>
      <c r="D12" s="123" t="n"/>
    </row>
    <row r="13">
      <c r="A13" s="115" t="inlineStr">
        <is>
          <t>Составил ______________________      Е. М. Добровольская</t>
        </is>
      </c>
      <c r="B13" s="125" t="n"/>
      <c r="C13" s="125" t="n"/>
      <c r="D13" s="123" t="n"/>
    </row>
    <row r="14">
      <c r="A14" s="126" t="inlineStr">
        <is>
          <t xml:space="preserve">                         (подпись, инициалы, фамилия)</t>
        </is>
      </c>
      <c r="B14" s="125" t="n"/>
      <c r="C14" s="125" t="n"/>
      <c r="D14" s="123" t="n"/>
    </row>
    <row r="15">
      <c r="A15" s="115" t="n"/>
      <c r="B15" s="125" t="n"/>
      <c r="C15" s="125" t="n"/>
      <c r="D15" s="123" t="n"/>
    </row>
    <row r="16">
      <c r="A16" s="115" t="inlineStr">
        <is>
          <t>Проверил ______________________        А.В. Костянецкая</t>
        </is>
      </c>
      <c r="B16" s="125" t="n"/>
      <c r="C16" s="125" t="n"/>
      <c r="D16" s="123" t="n"/>
    </row>
    <row r="17">
      <c r="A17" s="126" t="inlineStr">
        <is>
          <t xml:space="preserve">                        (подпись, инициалы, фамилия)</t>
        </is>
      </c>
      <c r="B17" s="125" t="n"/>
      <c r="C17" s="125" t="n"/>
      <c r="D17" s="12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5" zoomScale="60" zoomScaleNormal="100" workbookViewId="0">
      <selection activeCell="C25" sqref="C25"/>
    </sheetView>
  </sheetViews>
  <sheetFormatPr baseColWidth="8" defaultRowHeight="15"/>
  <cols>
    <col width="40.7109375" customWidth="1" style="114" min="2" max="2"/>
    <col width="37" customWidth="1" style="114" min="3" max="3"/>
    <col width="32" customWidth="1" style="114" min="4" max="4"/>
  </cols>
  <sheetData>
    <row r="4" ht="15.75" customHeight="1" s="114">
      <c r="B4" s="137" t="inlineStr">
        <is>
          <t>Приложение № 10</t>
        </is>
      </c>
    </row>
    <row r="5" ht="18.75" customHeight="1" s="114">
      <c r="B5" s="35" t="n"/>
    </row>
    <row r="6" ht="15.75" customHeight="1" s="114">
      <c r="B6" s="141" t="inlineStr">
        <is>
          <t>Используемые индексы изменений сметной стоимости и нормы сопутствующих затрат</t>
        </is>
      </c>
    </row>
    <row r="7" ht="18.75" customHeight="1" s="114">
      <c r="B7" s="36" t="n"/>
    </row>
    <row r="8" ht="47.25" customHeight="1" s="114">
      <c r="B8" s="142" t="inlineStr">
        <is>
          <t>Наименование индекса / норм сопутствующих затрат</t>
        </is>
      </c>
      <c r="C8" s="142" t="inlineStr">
        <is>
          <t>Дата применения и обоснование индекса / норм сопутствующих затрат</t>
        </is>
      </c>
      <c r="D8" s="142" t="inlineStr">
        <is>
          <t>Размер индекса / норма сопутствующих затрат</t>
        </is>
      </c>
    </row>
    <row r="9" ht="15.75" customHeight="1" s="114">
      <c r="B9" s="142" t="n">
        <v>1</v>
      </c>
      <c r="C9" s="142" t="n">
        <v>2</v>
      </c>
      <c r="D9" s="142" t="n">
        <v>3</v>
      </c>
    </row>
    <row r="10" ht="45" customHeight="1" s="114">
      <c r="B10" s="142" t="inlineStr">
        <is>
          <t xml:space="preserve">Индекс изменения сметной стоимости на 1 квартал 2023 года. ОЗП </t>
        </is>
      </c>
      <c r="C10" s="142" t="inlineStr">
        <is>
          <t>Письмо Минстроя России от 30.03.2023г. №17106-ИФ/09  прил.1</t>
        </is>
      </c>
      <c r="D10" s="142" t="n">
        <v>44.29</v>
      </c>
    </row>
    <row r="11" ht="29.25" customHeight="1" s="114">
      <c r="B11" s="142" t="inlineStr">
        <is>
          <t>Индекс изменения сметной стоимости на 1 квартал 2023 года. ЭМ</t>
        </is>
      </c>
      <c r="C11" s="142" t="inlineStr">
        <is>
          <t>Письмо Минстроя России от 30.03.2023г. №17106-ИФ/09  прил.1</t>
        </is>
      </c>
      <c r="D11" s="142" t="n">
        <v>13.47</v>
      </c>
    </row>
    <row r="12" ht="29.25" customHeight="1" s="114">
      <c r="B12" s="142" t="inlineStr">
        <is>
          <t>Индекс изменения сметной стоимости на 1 квартал 2023 года. МАТ</t>
        </is>
      </c>
      <c r="C12" s="142" t="inlineStr">
        <is>
          <t>Письмо Минстроя России от 30.03.2023г. №17106-ИФ/09  прил.1</t>
        </is>
      </c>
      <c r="D12" s="142" t="n">
        <v>8.039999999999999</v>
      </c>
    </row>
    <row r="13" ht="30.75" customHeight="1" s="114">
      <c r="B13" s="142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42" t="n">
        <v>6.26</v>
      </c>
    </row>
    <row r="14" ht="89.25" customHeight="1" s="114">
      <c r="B14" s="142" t="inlineStr">
        <is>
          <t>Временные здания и сооружения</t>
        </is>
      </c>
      <c r="C14" s="1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0.039</v>
      </c>
    </row>
    <row r="15" ht="78.75" customHeight="1" s="114">
      <c r="B15" s="142" t="inlineStr">
        <is>
          <t>Дополнительные затраты при производстве строительно-монтажных работ в зимнее время</t>
        </is>
      </c>
      <c r="C15" s="1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0.021</v>
      </c>
    </row>
    <row r="16" ht="34.5" customHeight="1" s="114">
      <c r="B16" s="142" t="inlineStr">
        <is>
          <t>Пусконаладочные работы</t>
        </is>
      </c>
      <c r="C16" s="142" t="n"/>
      <c r="D16" s="142" t="inlineStr">
        <is>
          <t>Расчет</t>
        </is>
      </c>
    </row>
    <row r="17" ht="31.5" customHeight="1" s="114">
      <c r="B17" s="142" t="inlineStr">
        <is>
          <t>Строительный контроль</t>
        </is>
      </c>
      <c r="C17" s="142" t="inlineStr">
        <is>
          <t>Постановление Правительства РФ от 21.06.10 г. № 468</t>
        </is>
      </c>
      <c r="D17" s="42" t="n">
        <v>0.0214</v>
      </c>
    </row>
    <row r="18" ht="31.5" customHeight="1" s="114">
      <c r="B18" s="142" t="inlineStr">
        <is>
          <t>Авторский надзор - 0,2%</t>
        </is>
      </c>
      <c r="C18" s="142" t="inlineStr">
        <is>
          <t>Приказ от 4.08.2020 № 421/пр п.173</t>
        </is>
      </c>
      <c r="D18" s="42" t="n">
        <v>0.002</v>
      </c>
    </row>
    <row r="19" ht="24" customHeight="1" s="114">
      <c r="B19" s="142" t="inlineStr">
        <is>
          <t>Непредвиденные расходы</t>
        </is>
      </c>
      <c r="C19" s="142" t="inlineStr">
        <is>
          <t>Приказ от 4.08.2020 № 421/пр п.179</t>
        </is>
      </c>
      <c r="D19" s="42" t="n">
        <v>0.03</v>
      </c>
    </row>
    <row r="20" ht="18.75" customHeight="1" s="114">
      <c r="B20" s="36" t="n"/>
    </row>
    <row r="21" ht="18.75" customHeight="1" s="114">
      <c r="B21" s="36" t="n"/>
    </row>
    <row r="22" ht="18.75" customHeight="1" s="114">
      <c r="B22" s="36" t="n"/>
    </row>
    <row r="23" ht="18.75" customHeight="1" s="114">
      <c r="B23" s="36" t="n"/>
    </row>
    <row r="26">
      <c r="B26" s="115" t="inlineStr">
        <is>
          <t>Составил ______________________        Е. М. Добровольская</t>
        </is>
      </c>
      <c r="C26" s="125" t="n"/>
    </row>
    <row r="27">
      <c r="B27" s="126" t="inlineStr">
        <is>
          <t xml:space="preserve">                         (подпись, инициалы, фамилия)</t>
        </is>
      </c>
      <c r="C27" s="125" t="n"/>
    </row>
    <row r="28">
      <c r="B28" s="115" t="n"/>
      <c r="C28" s="125" t="n"/>
    </row>
    <row r="29">
      <c r="B29" s="115" t="inlineStr">
        <is>
          <t>Проверил ______________________        А.В. Костянецкая</t>
        </is>
      </c>
      <c r="C29" s="125" t="n"/>
    </row>
    <row r="30">
      <c r="B30" s="126" t="inlineStr">
        <is>
          <t xml:space="preserve">                        (подпись, инициалы, фамилия)</t>
        </is>
      </c>
      <c r="C30" s="12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S12" sqref="S12"/>
    </sheetView>
  </sheetViews>
  <sheetFormatPr baseColWidth="8" defaultRowHeight="15"/>
  <cols>
    <col width="9.140625" customWidth="1" style="114" min="1" max="1"/>
    <col width="44.85546875" customWidth="1" style="114" min="2" max="2"/>
    <col width="13" customWidth="1" style="114" min="3" max="3"/>
    <col width="22.85546875" customWidth="1" style="114" min="4" max="4"/>
    <col width="21.5703125" customWidth="1" style="114" min="5" max="5"/>
    <col width="43.85546875" customWidth="1" style="114" min="6" max="6"/>
    <col width="9.140625" customWidth="1" style="114" min="7" max="7"/>
  </cols>
  <sheetData>
    <row r="2" ht="18" customHeight="1" s="114">
      <c r="A2" s="17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14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 s="114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14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3.7</v>
      </c>
      <c r="F10" s="24" t="inlineStr">
        <is>
          <t>РТМ</t>
        </is>
      </c>
      <c r="G10" s="27" t="n"/>
    </row>
    <row r="11" ht="75" customHeight="1" s="114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1.293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14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14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2025-01-24T12:02:17Z</dcterms:modified>
  <cp:lastModifiedBy>Danil</cp:lastModifiedBy>
  <cp:lastPrinted>2023-11-28T07:03:13Z</cp:lastPrinted>
</cp:coreProperties>
</file>