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891" firstSheet="0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0.000"/>
    <numFmt numFmtId="172" formatCode="#,##0.0000"/>
    <numFmt numFmtId="173" formatCode="#,##0.00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8" fontId="12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4" fontId="13" fillId="0" borderId="1" applyAlignment="1" pivotButton="0" quotePrefix="0" xfId="0">
      <alignment horizontal="center" vertical="center" wrapText="1"/>
    </xf>
    <xf numFmtId="2" fontId="13" fillId="0" borderId="1" applyAlignment="1" pivotButton="0" quotePrefix="0" xfId="0">
      <alignment horizontal="center" vertical="center" wrapText="1"/>
    </xf>
    <xf numFmtId="169" fontId="14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2" applyAlignment="1" pivotButton="0" quotePrefix="0" xfId="0">
      <alignment horizontal="center" vertical="center" wrapText="1"/>
    </xf>
    <xf numFmtId="0" fontId="0" fillId="3" borderId="3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167" fontId="0" fillId="4" borderId="3" applyAlignment="1" pivotButton="0" quotePrefix="0" xfId="0">
      <alignment horizontal="center" vertical="center"/>
    </xf>
    <xf numFmtId="167" fontId="0" fillId="0" borderId="3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4" borderId="8" applyAlignment="1" pivotButton="0" quotePrefix="0" xfId="0">
      <alignment horizontal="center" vertical="center"/>
    </xf>
    <xf numFmtId="0" fontId="14" fillId="0" borderId="8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17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171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0" fontId="2" fillId="0" borderId="10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172" fontId="2" fillId="0" borderId="1" applyAlignment="1" pivotButton="0" quotePrefix="0" xfId="0">
      <alignment horizontal="center" vertical="center" wrapText="1"/>
    </xf>
    <xf numFmtId="173" fontId="2" fillId="0" borderId="1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left" vertical="center" wrapText="1"/>
    </xf>
    <xf numFmtId="2" fontId="2" fillId="0" borderId="10" applyAlignment="1" pivotButton="0" quotePrefix="0" xfId="0">
      <alignment horizontal="center" vertical="center" wrapText="1"/>
    </xf>
    <xf numFmtId="4" fontId="2" fillId="0" borderId="10" applyAlignment="1" pivotButton="0" quotePrefix="0" xfId="0">
      <alignment horizontal="right" vertical="center" wrapText="1"/>
    </xf>
    <xf numFmtId="10" fontId="2" fillId="0" borderId="10" applyAlignment="1" pivotButton="0" quotePrefix="0" xfId="0">
      <alignment horizontal="right" vertical="center" wrapText="1"/>
    </xf>
    <xf numFmtId="0" fontId="2" fillId="0" borderId="6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 wrapText="1"/>
    </xf>
    <xf numFmtId="49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2" fontId="9" fillId="0" borderId="1" applyAlignment="1" pivotButton="0" quotePrefix="0" xfId="0">
      <alignment vertical="center" wrapText="1"/>
    </xf>
    <xf numFmtId="2" fontId="18" fillId="0" borderId="1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4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center" vertical="center"/>
    </xf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1" fillId="2" borderId="0" pivotButton="0" quotePrefix="0" xfId="0"/>
    <xf numFmtId="4" fontId="2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1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6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2" fillId="2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1" pivotButton="0" quotePrefix="0" xfId="0"/>
    <xf numFmtId="0" fontId="0" fillId="0" borderId="19" pivotButton="0" quotePrefix="0" xfId="0"/>
    <xf numFmtId="0" fontId="0" fillId="0" borderId="20" pivotButton="0" quotePrefix="0" xfId="0"/>
    <xf numFmtId="0" fontId="3" fillId="0" borderId="18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5"/>
  <sheetViews>
    <sheetView view="pageBreakPreview" topLeftCell="A13" zoomScale="60" zoomScaleNormal="100" workbookViewId="0">
      <selection activeCell="C26" sqref="C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1" t="inlineStr">
        <is>
          <t>Приложение № 1</t>
        </is>
      </c>
    </row>
    <row r="4" ht="18.75" customHeight="1">
      <c r="B4" s="132" t="inlineStr">
        <is>
          <t>Сравнительная таблица отбора объекта-представителя</t>
        </is>
      </c>
    </row>
    <row r="5" ht="84" customHeight="1">
      <c r="B5" s="1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3" t="n"/>
      <c r="C6" s="83" t="n"/>
      <c r="D6" s="83" t="n"/>
    </row>
    <row r="7" ht="64.5" customHeight="1">
      <c r="B7" s="130" t="inlineStr">
        <is>
          <t>Наименование разрабатываемого показателя УНЦ - Разъединитель на три полюса с устройством фундамента напряжение 220(150) кВ</t>
        </is>
      </c>
    </row>
    <row r="8" ht="31.5" customHeight="1">
      <c r="B8" s="130" t="inlineStr">
        <is>
          <t>Сопоставимый уровень цен: 3 кв. 2016 г.</t>
        </is>
      </c>
    </row>
    <row r="9" ht="15.75" customHeight="1">
      <c r="B9" s="130" t="inlineStr">
        <is>
          <t>Единица измерения  — 1 ед.</t>
        </is>
      </c>
    </row>
    <row r="10" ht="18.75" customHeight="1">
      <c r="B10" s="33" t="n"/>
    </row>
    <row r="11" ht="15.75" customHeight="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 xml:space="preserve">Объект-представитель </t>
        </is>
      </c>
    </row>
    <row r="12" ht="60" customHeight="1">
      <c r="B12" s="136" t="n">
        <v>1</v>
      </c>
      <c r="C12" s="117" t="inlineStr">
        <is>
          <t>Наименование объекта-представителя</t>
        </is>
      </c>
      <c r="D12" s="84" t="inlineStr">
        <is>
          <t>ПС 220 кВ Звезда с заходами ВЛ 220 кВ Береговая-2 – Перевал» (в объеме ТП ОАО «ДЦСС») для нужд филиала ПАО «ФСК ЕЭС» - МЭС Востока</t>
        </is>
      </c>
    </row>
    <row r="13" ht="31.5" customHeight="1">
      <c r="B13" s="136" t="n">
        <v>2</v>
      </c>
      <c r="C13" s="117" t="inlineStr">
        <is>
          <t>Наименование субъекта Российской Федерации</t>
        </is>
      </c>
      <c r="D13" s="84" t="inlineStr">
        <is>
          <t>Тульская область</t>
        </is>
      </c>
    </row>
    <row r="14" ht="15.75" customHeight="1">
      <c r="B14" s="136" t="n">
        <v>3</v>
      </c>
      <c r="C14" s="117" t="inlineStr">
        <is>
          <t>Климатический район и подрайон</t>
        </is>
      </c>
      <c r="D14" s="20" t="inlineStr">
        <is>
          <t>IIВ</t>
        </is>
      </c>
    </row>
    <row r="15" ht="15.75" customHeight="1">
      <c r="B15" s="136" t="n">
        <v>4</v>
      </c>
      <c r="C15" s="117" t="inlineStr">
        <is>
          <t>Мощность объекта</t>
        </is>
      </c>
      <c r="D15" s="84" t="n">
        <v>4</v>
      </c>
    </row>
    <row r="16" ht="120" customHeight="1">
      <c r="B16" s="136" t="n">
        <v>5</v>
      </c>
      <c r="C16" s="3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4" t="inlineStr">
        <is>
          <t>Разъединители напряжением 220 кВ, 3150А, 63 кА
Монолитные фундаменты, металлические опоры</t>
        </is>
      </c>
    </row>
    <row r="17" ht="78.75" customHeight="1">
      <c r="B17" s="136" t="n">
        <v>6</v>
      </c>
      <c r="C17" s="3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SUM(D18:D21)</f>
        <v/>
      </c>
    </row>
    <row r="18" ht="15.75" customHeight="1">
      <c r="B18" s="85" t="inlineStr">
        <is>
          <t>6.1</t>
        </is>
      </c>
      <c r="C18" s="117" t="inlineStr">
        <is>
          <t>строительно-монтажные работы</t>
        </is>
      </c>
      <c r="D18" s="63">
        <f>210.41+24.56</f>
        <v/>
      </c>
    </row>
    <row r="19" ht="15.75" customHeight="1">
      <c r="B19" s="85" t="inlineStr">
        <is>
          <t>6.2</t>
        </is>
      </c>
      <c r="C19" s="117" t="inlineStr">
        <is>
          <t>оборудование и инвентарь</t>
        </is>
      </c>
      <c r="D19" s="63">
        <f>3346.77</f>
        <v/>
      </c>
    </row>
    <row r="20" ht="15.75" customHeight="1">
      <c r="B20" s="85" t="inlineStr">
        <is>
          <t>6.3</t>
        </is>
      </c>
      <c r="C20" s="117" t="inlineStr">
        <is>
          <t>пусконаладочные работы</t>
        </is>
      </c>
      <c r="D20" s="63">
        <f>D19*0.07*0.8</f>
        <v/>
      </c>
    </row>
    <row r="21" ht="31.5" customHeight="1">
      <c r="B21" s="85" t="inlineStr">
        <is>
          <t>6.4</t>
        </is>
      </c>
      <c r="C21" s="117" t="inlineStr">
        <is>
          <t>прочие и лимитированные затраты</t>
        </is>
      </c>
      <c r="D21" s="63">
        <f>D18*3.9%+(D18+D18*3.9%)*3.2%</f>
        <v/>
      </c>
    </row>
    <row r="22" ht="15.75" customHeight="1">
      <c r="B22" s="136" t="n">
        <v>7</v>
      </c>
      <c r="C22" s="117" t="inlineStr">
        <is>
          <t>Сопоставимый уровень цен</t>
        </is>
      </c>
      <c r="D22" s="62" t="inlineStr">
        <is>
          <t>3 кв. 2016 г.</t>
        </is>
      </c>
      <c r="G22" s="91" t="n"/>
    </row>
    <row r="23" ht="110.25" customHeight="1">
      <c r="B23" s="136" t="n">
        <v>8</v>
      </c>
      <c r="C23" s="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</row>
    <row r="24" ht="47.25" customHeight="1">
      <c r="B24" s="136" t="n">
        <v>9</v>
      </c>
      <c r="C24" s="3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G24" s="91" t="n"/>
    </row>
    <row r="25" hidden="1" ht="110.25" customHeight="1">
      <c r="B25" s="136" t="n">
        <v>10</v>
      </c>
      <c r="C25" s="117" t="inlineStr">
        <is>
          <t>Примечание</t>
        </is>
      </c>
      <c r="D25" s="11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86" t="n"/>
      <c r="C26" s="87" t="n"/>
      <c r="D26" s="87" t="n"/>
    </row>
    <row r="27" hidden="1">
      <c r="B27" s="6" t="inlineStr">
        <is>
          <t>Составил ______________________        Е.А. Князева</t>
        </is>
      </c>
      <c r="C27" s="1" t="n"/>
    </row>
    <row r="28" hidden="1">
      <c r="B28" s="88" t="inlineStr">
        <is>
          <t xml:space="preserve">                         (подпись, инициалы, фамилия)</t>
        </is>
      </c>
      <c r="C28" s="1" t="n"/>
    </row>
    <row r="29" hidden="1">
      <c r="B29" s="88" t="n"/>
      <c r="C29" s="1" t="n"/>
    </row>
    <row r="30">
      <c r="B30" s="6" t="inlineStr">
        <is>
          <t>Составил ______________________        Е. М. Добровольская</t>
        </is>
      </c>
      <c r="C30" s="1" t="n"/>
    </row>
    <row r="31">
      <c r="B31" s="88" t="inlineStr">
        <is>
          <t xml:space="preserve">                         (подпись, инициалы, фамилия)</t>
        </is>
      </c>
      <c r="C31" s="1" t="n"/>
    </row>
    <row r="32">
      <c r="B32" s="6" t="n"/>
      <c r="C32" s="1" t="n"/>
    </row>
    <row r="33">
      <c r="B33" s="6" t="inlineStr">
        <is>
          <t>Проверил ______________________        А.В. Костянецкая</t>
        </is>
      </c>
      <c r="C33" s="1" t="n"/>
    </row>
    <row r="34">
      <c r="B34" s="88" t="inlineStr">
        <is>
          <t xml:space="preserve">                        (подпись, инициалы, фамилия)</t>
        </is>
      </c>
      <c r="C34" s="1" t="n"/>
    </row>
    <row r="35" ht="15.75" customHeight="1">
      <c r="B35" s="87" t="n"/>
      <c r="C35" s="87" t="n"/>
      <c r="D35" s="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3"/>
  <sheetViews>
    <sheetView view="pageBreakPreview" topLeftCell="A4" zoomScale="60" zoomScaleNormal="100" workbookViewId="0">
      <selection activeCell="C21" sqref="C21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1" t="inlineStr">
        <is>
          <t>Приложение № 2</t>
        </is>
      </c>
    </row>
    <row r="4" ht="15.75" customHeight="1">
      <c r="B4" s="13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6" t="n"/>
      <c r="C5" s="36" t="n"/>
      <c r="D5" s="36" t="n"/>
      <c r="E5" s="36" t="n"/>
      <c r="F5" s="36" t="n"/>
      <c r="G5" s="36" t="n"/>
      <c r="H5" s="36" t="n"/>
      <c r="I5" s="36" t="n"/>
      <c r="J5" s="36" t="n"/>
      <c r="K5" s="36" t="n"/>
    </row>
    <row r="6" ht="15.75" customHeight="1">
      <c r="B6" s="130">
        <f>'Прил.1 Сравнит табл'!B7</f>
        <v/>
      </c>
    </row>
    <row r="7" ht="15.75" customHeight="1">
      <c r="B7" s="130">
        <f>'Прил.1 Сравнит табл'!B9</f>
        <v/>
      </c>
    </row>
    <row r="8" ht="18.75" customHeight="1">
      <c r="B8" s="33" t="n"/>
    </row>
    <row r="9" ht="15.75" customHeight="1"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7" t="n"/>
      <c r="F9" s="177" t="n"/>
      <c r="G9" s="177" t="n"/>
      <c r="H9" s="177" t="n"/>
      <c r="I9" s="177" t="n"/>
      <c r="J9" s="178" t="n"/>
    </row>
    <row r="10" ht="15.75" customHeight="1">
      <c r="B10" s="179" t="n"/>
      <c r="C10" s="179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2016г., тыс. руб.</t>
        </is>
      </c>
      <c r="G10" s="177" t="n"/>
      <c r="H10" s="177" t="n"/>
      <c r="I10" s="177" t="n"/>
      <c r="J10" s="178" t="n"/>
    </row>
    <row r="11" ht="31.5" customHeight="1">
      <c r="B11" s="180" t="n"/>
      <c r="C11" s="180" t="n"/>
      <c r="D11" s="180" t="n"/>
      <c r="E11" s="180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87" customHeight="1">
      <c r="B12" s="136" t="n">
        <v>1</v>
      </c>
      <c r="C12" s="136" t="inlineStr">
        <is>
          <t>Разъединители напряжением 220 кВ, 3150А, 63 кА
Монолитные фундаменты, металлические опоры</t>
        </is>
      </c>
      <c r="D12" s="116" t="inlineStr">
        <is>
          <t>02-01-02</t>
        </is>
      </c>
      <c r="E12" s="117" t="inlineStr">
        <is>
          <t>ОРУ 220 кВ. Первичные электрические соединения. ПС 220 кВ Звезда</t>
        </is>
      </c>
      <c r="F12" s="118" t="n"/>
      <c r="G12" s="118">
        <f>3739.82*6.56/1000</f>
        <v/>
      </c>
      <c r="H12" s="118">
        <f>781956.74*4.28/1000</f>
        <v/>
      </c>
      <c r="I12" s="118" t="n"/>
      <c r="J12" s="118">
        <f>SUM(F12:I12)</f>
        <v/>
      </c>
    </row>
    <row r="13" ht="130.15" customHeight="1">
      <c r="B13" s="180" t="n"/>
      <c r="C13" s="180" t="n"/>
      <c r="D13" s="116" t="inlineStr">
        <is>
          <t>02-01-07</t>
        </is>
      </c>
      <c r="E13" s="117" t="inlineStr">
        <is>
          <t>ОРУ 220 кВ. Установка опор под оборудование. Конструктивно-строительные решения ПС 220 кВ Звезда</t>
        </is>
      </c>
      <c r="F13" s="118">
        <f>32075.01*6.56/1000</f>
        <v/>
      </c>
      <c r="G13" s="118" t="n"/>
      <c r="H13" s="118" t="n"/>
      <c r="I13" s="118" t="n"/>
      <c r="J13" s="118" t="n"/>
    </row>
    <row r="14" ht="15.75" customHeight="1">
      <c r="B14" s="134" t="inlineStr">
        <is>
          <t>Всего по объекту:</t>
        </is>
      </c>
      <c r="C14" s="181" t="n"/>
      <c r="D14" s="181" t="n"/>
      <c r="E14" s="182" t="n"/>
      <c r="F14" s="119">
        <f>SUM(F12:F13)</f>
        <v/>
      </c>
      <c r="G14" s="119">
        <f>SUM(G12:G13)</f>
        <v/>
      </c>
      <c r="H14" s="119">
        <f>SUM(H12:H13)</f>
        <v/>
      </c>
      <c r="I14" s="119" t="n"/>
      <c r="J14" s="119">
        <f>SUM(J12:J13)</f>
        <v/>
      </c>
    </row>
    <row r="15" ht="15.75" customHeight="1">
      <c r="B15" s="135" t="inlineStr">
        <is>
          <t>Всего по объекту в сопоставимом уровне цен 3 кв. 2016 г:</t>
        </is>
      </c>
      <c r="C15" s="177" t="n"/>
      <c r="D15" s="177" t="n"/>
      <c r="E15" s="178" t="n"/>
      <c r="F15" s="120">
        <f>F14</f>
        <v/>
      </c>
      <c r="G15" s="120">
        <f>G14</f>
        <v/>
      </c>
      <c r="H15" s="120">
        <f>H14</f>
        <v/>
      </c>
      <c r="I15" s="120" t="n"/>
      <c r="J15" s="120">
        <f>J14</f>
        <v/>
      </c>
    </row>
    <row r="19">
      <c r="C19" s="6" t="inlineStr">
        <is>
          <t>Составил ______________________        Е. М. Добровольская</t>
        </is>
      </c>
      <c r="D19" s="1" t="n"/>
    </row>
    <row r="20">
      <c r="C20" s="88" t="inlineStr">
        <is>
          <t xml:space="preserve">                         (подпись, инициалы, фамилия)</t>
        </is>
      </c>
      <c r="D20" s="1" t="n"/>
    </row>
    <row r="21">
      <c r="C21" s="6" t="n"/>
      <c r="D21" s="1" t="n"/>
    </row>
    <row r="22">
      <c r="C22" s="6" t="inlineStr">
        <is>
          <t>Проверил ______________________        А.В. Костянецкая</t>
        </is>
      </c>
      <c r="D22" s="1" t="n"/>
    </row>
    <row r="23">
      <c r="C23" s="88" t="inlineStr">
        <is>
          <t xml:space="preserve">                        (подпись, инициалы, фамилия)</t>
        </is>
      </c>
      <c r="D23" s="1" t="n"/>
    </row>
  </sheetData>
  <mergeCells count="14">
    <mergeCell ref="D10:D11"/>
    <mergeCell ref="B4:K4"/>
    <mergeCell ref="B12:B13"/>
    <mergeCell ref="D9:J9"/>
    <mergeCell ref="C12:C13"/>
    <mergeCell ref="F10:J10"/>
    <mergeCell ref="B15:E15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83"/>
  <sheetViews>
    <sheetView view="pageBreakPreview" topLeftCell="A58" zoomScale="70" workbookViewId="0">
      <selection activeCell="E80" sqref="E80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1" t="inlineStr">
        <is>
          <t xml:space="preserve">Приложение № 3 </t>
        </is>
      </c>
    </row>
    <row r="3" ht="18.75" customHeight="1">
      <c r="A3" s="132" t="inlineStr">
        <is>
          <t>Объектная ресурсная ведомость</t>
        </is>
      </c>
    </row>
    <row r="4">
      <c r="B4" s="51" t="n"/>
    </row>
    <row r="5" ht="18.75" customHeight="1">
      <c r="A5" s="132" t="n"/>
      <c r="B5" s="132" t="n"/>
      <c r="C5" s="1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ht="18.75" customHeight="1">
      <c r="A6" s="33" t="n"/>
    </row>
    <row r="7" ht="32.25" customHeight="1">
      <c r="A7" s="144">
        <f>'Прил.1 Сравнит табл'!B7</f>
        <v/>
      </c>
    </row>
    <row r="8" ht="15.75" customHeight="1">
      <c r="A8" s="37" t="n"/>
      <c r="B8" s="37" t="n"/>
      <c r="C8" s="37" t="n"/>
      <c r="D8" s="37" t="n"/>
      <c r="E8" s="37" t="n"/>
      <c r="F8" s="37" t="n"/>
      <c r="G8" s="37" t="n"/>
      <c r="H8" s="58" t="n"/>
    </row>
    <row r="9" ht="38.25" customHeight="1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8" t="n"/>
    </row>
    <row r="10" ht="40.5" customHeight="1">
      <c r="A10" s="180" t="n"/>
      <c r="B10" s="180" t="n"/>
      <c r="C10" s="180" t="n"/>
      <c r="D10" s="180" t="n"/>
      <c r="E10" s="180" t="n"/>
      <c r="F10" s="180" t="n"/>
      <c r="G10" s="136" t="inlineStr">
        <is>
          <t>на ед.изм.</t>
        </is>
      </c>
      <c r="H10" s="136" t="inlineStr">
        <is>
          <t>общая</t>
        </is>
      </c>
    </row>
    <row r="11" ht="15.75" customHeight="1">
      <c r="A11" s="136" t="n">
        <v>1</v>
      </c>
      <c r="B11" s="48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48" t="n">
        <v>6</v>
      </c>
      <c r="H11" s="48" t="n">
        <v>7</v>
      </c>
    </row>
    <row r="12" ht="15" customHeight="1">
      <c r="A12" s="139" t="inlineStr">
        <is>
          <t>Затраты труда рабочих</t>
        </is>
      </c>
      <c r="B12" s="177" t="n"/>
      <c r="C12" s="177" t="n"/>
      <c r="D12" s="177" t="n"/>
      <c r="E12" s="177" t="n"/>
      <c r="F12" s="49">
        <f>SUM(F13:F20)</f>
        <v/>
      </c>
      <c r="G12" s="50" t="n"/>
      <c r="H12" s="49">
        <f>SUM(H13:H20)</f>
        <v/>
      </c>
      <c r="J12" s="64" t="n"/>
      <c r="K12" s="15" t="n"/>
    </row>
    <row r="13">
      <c r="A13" s="41" t="n">
        <v>1</v>
      </c>
      <c r="B13" s="59" t="n"/>
      <c r="C13" s="41" t="inlineStr">
        <is>
          <t>1-4-0</t>
        </is>
      </c>
      <c r="D13" s="42" t="inlineStr">
        <is>
          <t>Затраты труда рабочих (средний разряд работы 4,0)</t>
        </is>
      </c>
      <c r="E13" s="169" t="inlineStr">
        <is>
          <t>чел.-ч</t>
        </is>
      </c>
      <c r="F13" s="93" t="n">
        <v>448.79975579552</v>
      </c>
      <c r="G13" s="44" t="n">
        <v>9.619999999999999</v>
      </c>
      <c r="H13" s="44">
        <f>ROUND(F13*G13,2)</f>
        <v/>
      </c>
    </row>
    <row r="14">
      <c r="A14" s="45">
        <f>A13+1</f>
        <v/>
      </c>
      <c r="B14" s="59" t="n"/>
      <c r="C14" s="41" t="inlineStr">
        <is>
          <t>1-3-4</t>
        </is>
      </c>
      <c r="D14" s="42" t="inlineStr">
        <is>
          <t>Затраты труда рабочих (средний разряд работы 3,4)</t>
        </is>
      </c>
      <c r="E14" s="169" t="inlineStr">
        <is>
          <t>чел.-ч</t>
        </is>
      </c>
      <c r="F14" s="93" t="n">
        <v>62.582596347062</v>
      </c>
      <c r="G14" s="44" t="n">
        <v>8.970000000000001</v>
      </c>
      <c r="H14" s="44">
        <f>ROUND(F14*G14,2)</f>
        <v/>
      </c>
    </row>
    <row r="15">
      <c r="A15" s="45">
        <f>A14+1</f>
        <v/>
      </c>
      <c r="B15" s="59" t="n"/>
      <c r="C15" s="41" t="inlineStr">
        <is>
          <t>1-4-1</t>
        </is>
      </c>
      <c r="D15" s="42" t="inlineStr">
        <is>
          <t>Затраты труда рабочих (средний разряд работы 4,1)</t>
        </is>
      </c>
      <c r="E15" s="169" t="inlineStr">
        <is>
          <t>чел.-ч</t>
        </is>
      </c>
      <c r="F15" s="93" t="n">
        <v>47.236174297479</v>
      </c>
      <c r="G15" s="44" t="n">
        <v>9.76</v>
      </c>
      <c r="H15" s="44">
        <f>ROUND(F15*G15,2)</f>
        <v/>
      </c>
    </row>
    <row r="16">
      <c r="A16" s="45">
        <f>A15+1</f>
        <v/>
      </c>
      <c r="B16" s="59" t="n"/>
      <c r="C16" s="41" t="inlineStr">
        <is>
          <t>1-2-5</t>
        </is>
      </c>
      <c r="D16" s="42" t="inlineStr">
        <is>
          <t>Затраты труда рабочих (средний разряд работы 2,5)</t>
        </is>
      </c>
      <c r="E16" s="169" t="inlineStr">
        <is>
          <t>чел.-ч</t>
        </is>
      </c>
      <c r="F16" s="93" t="n">
        <v>40.245098101518</v>
      </c>
      <c r="G16" s="44" t="n">
        <v>8.17</v>
      </c>
      <c r="H16" s="44">
        <f>ROUND(F16*G16,2)</f>
        <v/>
      </c>
    </row>
    <row r="17">
      <c r="A17" s="45">
        <f>A16+1</f>
        <v/>
      </c>
      <c r="B17" s="59" t="n"/>
      <c r="C17" s="41" t="inlineStr">
        <is>
          <t>1-3-9</t>
        </is>
      </c>
      <c r="D17" s="42" t="inlineStr">
        <is>
          <t>Затраты труда рабочих (средний разряд работы 3,9)</t>
        </is>
      </c>
      <c r="E17" s="169" t="inlineStr">
        <is>
          <t>чел.-ч</t>
        </is>
      </c>
      <c r="F17" s="93" t="n">
        <v>16.088247245935</v>
      </c>
      <c r="G17" s="44" t="n">
        <v>9.51</v>
      </c>
      <c r="H17" s="44">
        <f>ROUND(F17*G17,2)</f>
        <v/>
      </c>
    </row>
    <row r="18">
      <c r="A18" s="45">
        <f>A17+1</f>
        <v/>
      </c>
      <c r="B18" s="59" t="n"/>
      <c r="C18" s="41" t="inlineStr">
        <is>
          <t>1-2-0</t>
        </is>
      </c>
      <c r="D18" s="42" t="inlineStr">
        <is>
          <t>Затраты труда рабочих (средний разряд работы 2,0)</t>
        </is>
      </c>
      <c r="E18" s="169" t="inlineStr">
        <is>
          <t>чел.-ч</t>
        </is>
      </c>
      <c r="F18" s="93" t="n">
        <v>6.8369338798334</v>
      </c>
      <c r="G18" s="44" t="n">
        <v>7.8</v>
      </c>
      <c r="H18" s="44">
        <f>ROUND(F18*G18,2)</f>
        <v/>
      </c>
    </row>
    <row r="19">
      <c r="A19" s="45">
        <f>A18+1</f>
        <v/>
      </c>
      <c r="B19" s="59" t="n"/>
      <c r="C19" s="41" t="inlineStr">
        <is>
          <t>1-4-7</t>
        </is>
      </c>
      <c r="D19" s="42" t="inlineStr">
        <is>
          <t>Затраты труда рабочих (средний разряд работы 4,7)</t>
        </is>
      </c>
      <c r="E19" s="169" t="inlineStr">
        <is>
          <t>чел.-ч</t>
        </is>
      </c>
      <c r="F19" s="93" t="n">
        <v>0.38454999075561</v>
      </c>
      <c r="G19" s="44" t="n">
        <v>10.65</v>
      </c>
      <c r="H19" s="44">
        <f>ROUND(F19*G19,2)</f>
        <v/>
      </c>
      <c r="L19" s="40" t="n"/>
    </row>
    <row r="20">
      <c r="A20" s="45">
        <f>A19+1</f>
        <v/>
      </c>
      <c r="B20" s="59" t="n"/>
      <c r="C20" s="41" t="inlineStr">
        <is>
          <t>1-3-5</t>
        </is>
      </c>
      <c r="D20" s="42" t="inlineStr">
        <is>
          <t>Затраты труда рабочих (средний разряд работы 3,5)</t>
        </is>
      </c>
      <c r="E20" s="169" t="inlineStr">
        <is>
          <t>чел.-ч</t>
        </is>
      </c>
      <c r="F20" s="93" t="n">
        <v>0.20856948651152</v>
      </c>
      <c r="G20" s="44" t="n">
        <v>9.07</v>
      </c>
      <c r="H20" s="44">
        <f>ROUND(F20*G20,2)</f>
        <v/>
      </c>
    </row>
    <row r="21" ht="15" customHeight="1">
      <c r="A21" s="143" t="inlineStr">
        <is>
          <t>Затраты труда машинистов</t>
        </is>
      </c>
      <c r="B21" s="177" t="n"/>
      <c r="C21" s="177" t="n"/>
      <c r="D21" s="177" t="n"/>
      <c r="E21" s="178" t="n"/>
      <c r="F21" s="50" t="n"/>
      <c r="G21" s="50" t="n"/>
      <c r="H21" s="49">
        <f>H22</f>
        <v/>
      </c>
    </row>
    <row r="22">
      <c r="A22" s="45">
        <f>A20+1</f>
        <v/>
      </c>
      <c r="B22" s="59" t="n"/>
      <c r="C22" s="41" t="n">
        <v>2</v>
      </c>
      <c r="D22" s="42" t="inlineStr">
        <is>
          <t>Затраты труда машинистов</t>
        </is>
      </c>
      <c r="E22" s="169" t="inlineStr">
        <is>
          <t>чел.-ч</t>
        </is>
      </c>
      <c r="F22" s="169">
        <f>'Прил.5 Расчет СМР и ОБ'!E16</f>
        <v/>
      </c>
      <c r="G22" s="44" t="n"/>
      <c r="H22" s="38">
        <f>'Прил.5 Расчет СМР и ОБ'!G16</f>
        <v/>
      </c>
      <c r="L22" s="40" t="n"/>
    </row>
    <row r="23" ht="15" customHeight="1">
      <c r="A23" s="143" t="inlineStr">
        <is>
          <t>Машины и механизмы</t>
        </is>
      </c>
      <c r="B23" s="177" t="n"/>
      <c r="C23" s="177" t="n"/>
      <c r="D23" s="177" t="n"/>
      <c r="E23" s="178" t="n"/>
      <c r="F23" s="50" t="n"/>
      <c r="G23" s="50" t="n"/>
      <c r="H23" s="49">
        <f>SUM(H24:H39)</f>
        <v/>
      </c>
      <c r="K23" s="15" t="n"/>
    </row>
    <row r="24" ht="25.5" customHeight="1">
      <c r="A24" s="41">
        <f>A22+1</f>
        <v/>
      </c>
      <c r="B24" s="59" t="n"/>
      <c r="C24" s="55" t="inlineStr">
        <is>
          <t>91.05.05-014</t>
        </is>
      </c>
      <c r="D24" s="42" t="inlineStr">
        <is>
          <t>Краны на автомобильном ходу, грузоподъемность 10 т</t>
        </is>
      </c>
      <c r="E24" s="169" t="inlineStr">
        <is>
          <t>маш.-ч</t>
        </is>
      </c>
      <c r="F24" s="169" t="n">
        <v>81.21916</v>
      </c>
      <c r="G24" s="46" t="n">
        <v>111.99</v>
      </c>
      <c r="H24" s="44">
        <f>ROUND(F24*G24,2)</f>
        <v/>
      </c>
    </row>
    <row r="25">
      <c r="A25" s="41">
        <f>A24+1</f>
        <v/>
      </c>
      <c r="B25" s="59" t="n"/>
      <c r="C25" s="55" t="inlineStr">
        <is>
          <t>91.14.02-001</t>
        </is>
      </c>
      <c r="D25" s="42" t="inlineStr">
        <is>
          <t>Автомобили бортовые, грузоподъемность до 5 т</t>
        </is>
      </c>
      <c r="E25" s="169" t="inlineStr">
        <is>
          <t>маш.-ч</t>
        </is>
      </c>
      <c r="F25" s="47" t="n">
        <v>20.15093</v>
      </c>
      <c r="G25" s="46" t="n">
        <v>65.70999999999999</v>
      </c>
      <c r="H25" s="44">
        <f>ROUND(F25*G25,2)</f>
        <v/>
      </c>
    </row>
    <row r="26">
      <c r="A26" s="41">
        <f>A25+1</f>
        <v/>
      </c>
      <c r="B26" s="59" t="n"/>
      <c r="C26" s="55" t="inlineStr">
        <is>
          <t>91.06.06-042</t>
        </is>
      </c>
      <c r="D26" s="42" t="inlineStr">
        <is>
          <t>Подъемники гидравлические высотой подъема: 10 м</t>
        </is>
      </c>
      <c r="E26" s="169" t="inlineStr">
        <is>
          <t>маш.-ч</t>
        </is>
      </c>
      <c r="F26" s="169" t="n">
        <v>44.4</v>
      </c>
      <c r="G26" s="46" t="n">
        <v>29.6</v>
      </c>
      <c r="H26" s="44">
        <f>ROUND(F26*G26,2)</f>
        <v/>
      </c>
    </row>
    <row r="27" ht="38.25" customHeight="1">
      <c r="A27" s="41">
        <f>A26+1</f>
        <v/>
      </c>
      <c r="B27" s="59" t="n"/>
      <c r="C27" s="55" t="inlineStr">
        <is>
          <t>91.18.01-007</t>
        </is>
      </c>
      <c r="D27" s="4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169" t="inlineStr">
        <is>
          <t>маш.-ч</t>
        </is>
      </c>
      <c r="F27" s="169" t="n">
        <v>7.5624</v>
      </c>
      <c r="G27" s="46" t="n">
        <v>90</v>
      </c>
      <c r="H27" s="44">
        <f>ROUND(F27*G27,2)</f>
        <v/>
      </c>
    </row>
    <row r="28">
      <c r="A28" s="41">
        <f>A27+1</f>
        <v/>
      </c>
      <c r="B28" s="59" t="n"/>
      <c r="C28" s="55" t="inlineStr">
        <is>
          <t>91.14.03-002</t>
        </is>
      </c>
      <c r="D28" s="42" t="inlineStr">
        <is>
          <t>Автомобиль-самосвал, грузоподъемность до 10 т</t>
        </is>
      </c>
      <c r="E28" s="169" t="inlineStr">
        <is>
          <t>маш.-ч</t>
        </is>
      </c>
      <c r="F28" s="169" t="n">
        <v>7.616</v>
      </c>
      <c r="G28" s="46" t="n">
        <v>87.48999999999999</v>
      </c>
      <c r="H28" s="44">
        <f>ROUND(F28*G28,2)</f>
        <v/>
      </c>
    </row>
    <row r="29" ht="25.5" customHeight="1">
      <c r="A29" s="41">
        <f>A28+1</f>
        <v/>
      </c>
      <c r="B29" s="59" t="n"/>
      <c r="C29" s="55" t="inlineStr">
        <is>
          <t>91.17.04-233</t>
        </is>
      </c>
      <c r="D29" s="42" t="inlineStr">
        <is>
          <t>Установки для сварки ручной дуговой (постоянного тока)</t>
        </is>
      </c>
      <c r="E29" s="169" t="inlineStr">
        <is>
          <t>маш.-ч</t>
        </is>
      </c>
      <c r="F29" s="169" t="n">
        <v>30.92</v>
      </c>
      <c r="G29" s="46" t="n">
        <v>8.1</v>
      </c>
      <c r="H29" s="44">
        <f>ROUND(F29*G29,2)</f>
        <v/>
      </c>
    </row>
    <row r="30" ht="25.5" customHeight="1">
      <c r="A30" s="41">
        <f>A29+1</f>
        <v/>
      </c>
      <c r="B30" s="59" t="n"/>
      <c r="C30" s="55" t="inlineStr">
        <is>
          <t>91.01.05-086</t>
        </is>
      </c>
      <c r="D30" s="42" t="inlineStr">
        <is>
          <t>Экскаваторы одноковшовые дизельные на гусеничном ходу, емкость ковша 0,65 м3</t>
        </is>
      </c>
      <c r="E30" s="169" t="inlineStr">
        <is>
          <t>маш.-ч</t>
        </is>
      </c>
      <c r="F30" s="169" t="n">
        <v>1.972</v>
      </c>
      <c r="G30" s="46" t="n">
        <v>115.27</v>
      </c>
      <c r="H30" s="44">
        <f>ROUND(F30*G30,2)</f>
        <v/>
      </c>
    </row>
    <row r="31" ht="25.5" customHeight="1">
      <c r="A31" s="41">
        <f>A30+1</f>
        <v/>
      </c>
      <c r="B31" s="59" t="n"/>
      <c r="C31" s="55" t="inlineStr">
        <is>
          <t>91.17.04-036</t>
        </is>
      </c>
      <c r="D31" s="42" t="inlineStr">
        <is>
          <t>Агрегаты сварочные передвижные номинальным сварочным током 250-400 А с дизельным двигателем</t>
        </is>
      </c>
      <c r="E31" s="169" t="inlineStr">
        <is>
          <t>маш.-ч</t>
        </is>
      </c>
      <c r="F31" s="169" t="n">
        <v>11.99</v>
      </c>
      <c r="G31" s="46" t="n">
        <v>14</v>
      </c>
      <c r="H31" s="44">
        <f>ROUND(F31*G31,2)</f>
        <v/>
      </c>
    </row>
    <row r="32" ht="25.5" customHeight="1">
      <c r="A32" s="41">
        <f>A31+1</f>
        <v/>
      </c>
      <c r="B32" s="59" t="n"/>
      <c r="C32" s="55" t="inlineStr">
        <is>
          <t>91.01.05-085</t>
        </is>
      </c>
      <c r="D32" s="42" t="inlineStr">
        <is>
          <t>Экскаваторы одноковшовые дизельные на гусеничном ходу, емкость ковша 0,5 м3</t>
        </is>
      </c>
      <c r="E32" s="169" t="inlineStr">
        <is>
          <t>маш.-ч</t>
        </is>
      </c>
      <c r="F32" s="169" t="n">
        <v>1.19808</v>
      </c>
      <c r="G32" s="46" t="n">
        <v>100</v>
      </c>
      <c r="H32" s="44">
        <f>ROUND(F32*G32,2)</f>
        <v/>
      </c>
    </row>
    <row r="33" ht="25.5" customHeight="1">
      <c r="A33" s="41">
        <f>A32+1</f>
        <v/>
      </c>
      <c r="B33" s="59" t="n"/>
      <c r="C33" s="55" t="inlineStr">
        <is>
          <t>91.06.05-057</t>
        </is>
      </c>
      <c r="D33" s="42" t="inlineStr">
        <is>
          <t>Погрузчики одноковшовые универсальные фронтальные пневмоколесные, грузоподъемность 3 т</t>
        </is>
      </c>
      <c r="E33" s="169" t="inlineStr">
        <is>
          <t>маш.-ч</t>
        </is>
      </c>
      <c r="F33" s="169" t="n">
        <v>1.3152</v>
      </c>
      <c r="G33" s="46" t="n">
        <v>90.40000000000001</v>
      </c>
      <c r="H33" s="44">
        <f>ROUND(F33*G33,2)</f>
        <v/>
      </c>
    </row>
    <row r="34">
      <c r="A34" s="41">
        <f>A33+1</f>
        <v/>
      </c>
      <c r="B34" s="59" t="n"/>
      <c r="C34" s="55" t="inlineStr">
        <is>
          <t>91.14.02-002</t>
        </is>
      </c>
      <c r="D34" s="42" t="inlineStr">
        <is>
          <t>Автомобили бортовые, грузоподъемность до 8 т</t>
        </is>
      </c>
      <c r="E34" s="169" t="inlineStr">
        <is>
          <t>маш.-ч</t>
        </is>
      </c>
      <c r="F34" s="169" t="n">
        <v>0.81272</v>
      </c>
      <c r="G34" s="46" t="n">
        <v>85.84</v>
      </c>
      <c r="H34" s="44">
        <f>ROUND(F34*G34,2)</f>
        <v/>
      </c>
    </row>
    <row r="35">
      <c r="A35" s="41">
        <f>A34+1</f>
        <v/>
      </c>
      <c r="B35" s="59" t="n"/>
      <c r="C35" s="55" t="inlineStr">
        <is>
          <t>91.08.04-021</t>
        </is>
      </c>
      <c r="D35" s="42" t="inlineStr">
        <is>
          <t>Котлы битумные передвижные 400 л</t>
        </is>
      </c>
      <c r="E35" s="169" t="inlineStr">
        <is>
          <t>маш.-ч</t>
        </is>
      </c>
      <c r="F35" s="169" t="n">
        <v>1.4508</v>
      </c>
      <c r="G35" s="46" t="n">
        <v>30</v>
      </c>
      <c r="H35" s="44">
        <f>ROUND(F35*G35,2)</f>
        <v/>
      </c>
    </row>
    <row r="36">
      <c r="A36" s="41">
        <f>A35+1</f>
        <v/>
      </c>
      <c r="B36" s="59" t="n"/>
      <c r="C36" s="55" t="inlineStr">
        <is>
          <t>91.01.01-035</t>
        </is>
      </c>
      <c r="D36" s="42" t="inlineStr">
        <is>
          <t>Бульдозеры, мощность 79 кВт (108 л.с.)</t>
        </is>
      </c>
      <c r="E36" s="169" t="inlineStr">
        <is>
          <t>маш.-ч</t>
        </is>
      </c>
      <c r="F36" s="169" t="n">
        <v>0.37224</v>
      </c>
      <c r="G36" s="46" t="n">
        <v>79.06999999999999</v>
      </c>
      <c r="H36" s="44">
        <f>ROUND(F36*G36,2)</f>
        <v/>
      </c>
    </row>
    <row r="37" ht="25.5" customHeight="1">
      <c r="A37" s="41">
        <f>A36+1</f>
        <v/>
      </c>
      <c r="B37" s="59" t="n"/>
      <c r="C37" s="55" t="inlineStr">
        <is>
          <t>91.08.09-023</t>
        </is>
      </c>
      <c r="D37" s="42" t="inlineStr">
        <is>
          <t>Трамбовки пневматические при работе от передвижных компрессорных станций</t>
        </is>
      </c>
      <c r="E37" s="169" t="inlineStr">
        <is>
          <t>маш.-ч</t>
        </is>
      </c>
      <c r="F37" s="169" t="n">
        <v>15.1248</v>
      </c>
      <c r="G37" s="46" t="n">
        <v>0.55</v>
      </c>
      <c r="H37" s="44">
        <f>ROUND(F37*G37,2)</f>
        <v/>
      </c>
    </row>
    <row r="38" ht="25.5" customHeight="1">
      <c r="A38" s="41">
        <f>A37+1</f>
        <v/>
      </c>
      <c r="B38" s="59" t="n"/>
      <c r="C38" s="55" t="inlineStr">
        <is>
          <t>91.21.01-012</t>
        </is>
      </c>
      <c r="D38" s="42" t="inlineStr">
        <is>
          <t>Агрегаты окрасочные высокого давления для окраски поверхностей конструкций, мощность 1 кВт</t>
        </is>
      </c>
      <c r="E38" s="169" t="inlineStr">
        <is>
          <t>маш.-ч</t>
        </is>
      </c>
      <c r="F38" s="169" t="n">
        <v>0.17892</v>
      </c>
      <c r="G38" s="46" t="n">
        <v>6.82</v>
      </c>
      <c r="H38" s="44">
        <f>ROUND(F38*G38,2)</f>
        <v/>
      </c>
    </row>
    <row r="39">
      <c r="A39" s="41">
        <f>A38+1</f>
        <v/>
      </c>
      <c r="B39" s="59" t="n"/>
      <c r="C39" s="55" t="inlineStr">
        <is>
          <t>91.06.05-011</t>
        </is>
      </c>
      <c r="D39" s="42" t="inlineStr">
        <is>
          <t>Погрузчик, грузоподъемность 5 т</t>
        </is>
      </c>
      <c r="E39" s="169" t="inlineStr">
        <is>
          <t>маш.-ч</t>
        </is>
      </c>
      <c r="F39" s="169" t="n">
        <v>0.00142</v>
      </c>
      <c r="G39" s="46" t="n">
        <v>89.98999999999999</v>
      </c>
      <c r="H39" s="44">
        <f>ROUND(F39*G39,2)</f>
        <v/>
      </c>
    </row>
    <row r="40" ht="15" customHeight="1">
      <c r="A40" s="143" t="inlineStr">
        <is>
          <t>Оборудование</t>
        </is>
      </c>
      <c r="B40" s="177" t="n"/>
      <c r="C40" s="177" t="n"/>
      <c r="D40" s="177" t="n"/>
      <c r="E40" s="178" t="n"/>
      <c r="F40" s="50" t="n"/>
      <c r="G40" s="50" t="n"/>
      <c r="H40" s="49">
        <f>SUM(H41:H43)</f>
        <v/>
      </c>
    </row>
    <row r="41" ht="63.75" customHeight="1">
      <c r="A41" s="45">
        <f>A39+1</f>
        <v/>
      </c>
      <c r="B41" s="143" t="n"/>
      <c r="C41" s="41" t="inlineStr">
        <is>
          <t>62.3.05.04-0022</t>
        </is>
      </c>
      <c r="D41" s="42" t="inlineStr">
        <is>
          <t>Разъединители напряжением: 220 кВ DBF4-245+2AE BF2, 1000 А трёхполюсные с одним заземляющим ножом (прим. Разъединитель трёхполюсный с одним заземляющим ножом РГНП.1а-220/1000-40УХЛ1, с двигательными приводами типа ПД-14УХЛ1)</t>
        </is>
      </c>
      <c r="E41" s="169" t="inlineStr">
        <is>
          <t>компл.</t>
        </is>
      </c>
      <c r="F41" s="169" t="inlineStr">
        <is>
          <t>2</t>
        </is>
      </c>
      <c r="G41" s="44" t="n">
        <v>151915.54</v>
      </c>
      <c r="H41" s="44" t="n">
        <v>303831.08</v>
      </c>
    </row>
    <row r="42" ht="63.75" customHeight="1">
      <c r="A42" s="45">
        <f>A41+1</f>
        <v/>
      </c>
      <c r="B42" s="143" t="n"/>
      <c r="C42" s="41" t="inlineStr">
        <is>
          <t>62.3.05.04-0022</t>
        </is>
      </c>
      <c r="D42" s="42" t="inlineStr">
        <is>
          <t>Разъединители напряжением: 220 кВ DBF4-245+2AE BF2, 1000 А трёхполюсные с одним заземляющим ножом (прим. Разъединитель трёхполюсный с одним заземляющим ножом РГНП.1б-220/1000-40УХЛ1, с двигательными приводами типа ПД-14УХЛ1)</t>
        </is>
      </c>
      <c r="E42" s="169" t="inlineStr">
        <is>
          <t>компл.</t>
        </is>
      </c>
      <c r="F42" s="169" t="inlineStr">
        <is>
          <t>2</t>
        </is>
      </c>
      <c r="G42" s="44" t="n">
        <v>151915.54</v>
      </c>
      <c r="H42" s="44" t="n">
        <v>303831.08</v>
      </c>
    </row>
    <row r="43" ht="63.75" customHeight="1">
      <c r="A43" s="45" t="n">
        <v>28</v>
      </c>
      <c r="B43" s="143" t="n"/>
      <c r="C43" s="41" t="inlineStr">
        <is>
          <t>БЦ.30_1.159</t>
        </is>
      </c>
      <c r="D43" s="42" t="inlineStr">
        <is>
          <t>Шкаф управления разъединителями</t>
        </is>
      </c>
      <c r="E43" s="169" t="inlineStr">
        <is>
          <t>шт</t>
        </is>
      </c>
      <c r="F43" s="169" t="n">
        <v>4</v>
      </c>
      <c r="G43" s="44" t="n">
        <v>95846.645367412</v>
      </c>
      <c r="H43" s="44" t="n">
        <v>383386.58</v>
      </c>
    </row>
    <row r="44" ht="15" customHeight="1">
      <c r="A44" s="143" t="inlineStr">
        <is>
          <t>Материалы</t>
        </is>
      </c>
      <c r="B44" s="177" t="n"/>
      <c r="C44" s="177" t="n"/>
      <c r="D44" s="177" t="n"/>
      <c r="E44" s="178" t="n"/>
      <c r="F44" s="50" t="n"/>
      <c r="G44" s="50" t="n"/>
      <c r="H44" s="49">
        <f>SUM(H45:H73)</f>
        <v/>
      </c>
      <c r="K44" s="15" t="n"/>
    </row>
    <row r="45" ht="25.5" customHeight="1">
      <c r="A45" s="45" t="n">
        <v>29</v>
      </c>
      <c r="B45" s="59" t="n"/>
      <c r="C45" s="41" t="inlineStr">
        <is>
          <t>05.1.05.14-0005</t>
        </is>
      </c>
      <c r="D45" s="42" t="inlineStr">
        <is>
          <t>Фундаменты под опоры ВЛ Ф2-А (бетон B30, расход арматуры 231 кг)</t>
        </is>
      </c>
      <c r="E45" s="169" t="inlineStr">
        <is>
          <t>м3</t>
        </is>
      </c>
      <c r="F45" s="169" t="n">
        <v>14.4</v>
      </c>
      <c r="G45" s="44" t="n">
        <v>3183.27</v>
      </c>
      <c r="H45" s="44">
        <f>ROUND(F45*G45,2)</f>
        <v/>
      </c>
    </row>
    <row r="46" ht="25.5" customHeight="1">
      <c r="A46" s="45">
        <f>A45+1</f>
        <v/>
      </c>
      <c r="B46" s="59" t="n"/>
      <c r="C46" s="55" t="inlineStr">
        <is>
          <t>21.1.06.10-0411</t>
        </is>
      </c>
      <c r="D46" s="42" t="inlineStr">
        <is>
          <t>Кабель силовой с медными жилами ВВГнг(A)-LS 5х16мк(N, РЕ)-1000</t>
        </is>
      </c>
      <c r="E46" s="169" t="inlineStr">
        <is>
          <t>1000 м</t>
        </is>
      </c>
      <c r="F46" s="169" t="n">
        <v>0.132</v>
      </c>
      <c r="G46" s="44" t="n">
        <v>98440.41</v>
      </c>
      <c r="H46" s="44">
        <f>ROUND(F46*G46,2)</f>
        <v/>
      </c>
    </row>
    <row r="47">
      <c r="A47" s="45">
        <f>A46+1</f>
        <v/>
      </c>
      <c r="B47" s="59" t="n"/>
      <c r="C47" s="55" t="inlineStr">
        <is>
          <t>21.1.08.03-0574</t>
        </is>
      </c>
      <c r="D47" s="42" t="inlineStr">
        <is>
          <t>Кабель контрольный КВВГЭнг(А)-LS 4x2,5</t>
        </is>
      </c>
      <c r="E47" s="169" t="inlineStr">
        <is>
          <t>1000 м</t>
        </is>
      </c>
      <c r="F47" s="169" t="n">
        <v>0.216</v>
      </c>
      <c r="G47" s="44" t="n">
        <v>38348.22</v>
      </c>
      <c r="H47" s="44">
        <f>ROUND(F47*G47,2)</f>
        <v/>
      </c>
    </row>
    <row r="48">
      <c r="A48" s="45">
        <f>A47+1</f>
        <v/>
      </c>
      <c r="B48" s="59" t="n"/>
      <c r="C48" s="55" t="inlineStr">
        <is>
          <t>02.2.05.04-1567</t>
        </is>
      </c>
      <c r="D48" s="42" t="inlineStr">
        <is>
          <t>Щебень М 400, фракция 5(3)-10 мм, группа 2</t>
        </is>
      </c>
      <c r="E48" s="169" t="inlineStr">
        <is>
          <t>м3</t>
        </is>
      </c>
      <c r="F48" s="169" t="n">
        <v>21.372</v>
      </c>
      <c r="G48" s="44" t="n">
        <v>131.08</v>
      </c>
      <c r="H48" s="44">
        <f>ROUND(F48*G48,2)</f>
        <v/>
      </c>
    </row>
    <row r="49" ht="25.5" customHeight="1">
      <c r="A49" s="45">
        <f>A48+1</f>
        <v/>
      </c>
      <c r="B49" s="59" t="n"/>
      <c r="C49" s="55" t="inlineStr">
        <is>
          <t>21.2.01.02-0091</t>
        </is>
      </c>
      <c r="D49" s="42" t="inlineStr">
        <is>
          <t>Провод неизолированный для воздушных линий электропередачи АС 185/24</t>
        </is>
      </c>
      <c r="E49" s="169" t="inlineStr">
        <is>
          <t>т</t>
        </is>
      </c>
      <c r="F49" s="169" t="n">
        <v>0.08459999999999999</v>
      </c>
      <c r="G49" s="44" t="n">
        <v>33046.39</v>
      </c>
      <c r="H49" s="44">
        <f>ROUND(F49*G49,2)</f>
        <v/>
      </c>
    </row>
    <row r="50">
      <c r="A50" s="45">
        <f>A49+1</f>
        <v/>
      </c>
      <c r="B50" s="59" t="n"/>
      <c r="C50" s="55" t="inlineStr">
        <is>
          <t>01.2.03.07-0001</t>
        </is>
      </c>
      <c r="D50" s="42" t="inlineStr">
        <is>
          <t>Композиция полимерно-битумная Гидроизол</t>
        </is>
      </c>
      <c r="E50" s="169" t="inlineStr">
        <is>
          <t>л</t>
        </is>
      </c>
      <c r="F50" s="169" t="n">
        <v>52.08</v>
      </c>
      <c r="G50" s="44" t="n">
        <v>42.83</v>
      </c>
      <c r="H50" s="44">
        <f>ROUND(F50*G50,2)</f>
        <v/>
      </c>
    </row>
    <row r="51" ht="25.5" customHeight="1">
      <c r="A51" s="45">
        <f>A50+1</f>
        <v/>
      </c>
      <c r="B51" s="59" t="n"/>
      <c r="C51" s="55" t="inlineStr">
        <is>
          <t>05.1.01.10-0131</t>
        </is>
      </c>
      <c r="D51" s="42" t="inlineStr">
        <is>
          <t>Лотки каналов и тоннелей железобетонные для прокладки коммуникаций</t>
        </is>
      </c>
      <c r="E51" s="169" t="inlineStr">
        <is>
          <t>м3</t>
        </is>
      </c>
      <c r="F51" s="169" t="n">
        <v>1.12</v>
      </c>
      <c r="G51" s="44" t="n">
        <v>1837.28</v>
      </c>
      <c r="H51" s="44">
        <f>ROUND(F51*G51,2)</f>
        <v/>
      </c>
    </row>
    <row r="52">
      <c r="A52" s="45">
        <f>A51+1</f>
        <v/>
      </c>
      <c r="B52" s="59" t="n"/>
      <c r="C52" s="55" t="inlineStr">
        <is>
          <t>20.1.01.02-0067</t>
        </is>
      </c>
      <c r="D52" s="42" t="inlineStr">
        <is>
          <t>Зажим аппаратный прессуемый: А4А-400-2</t>
        </is>
      </c>
      <c r="E52" s="169" t="inlineStr">
        <is>
          <t>100 шт.</t>
        </is>
      </c>
      <c r="F52" s="169" t="n">
        <v>0.24</v>
      </c>
      <c r="G52" s="44" t="n">
        <v>6505</v>
      </c>
      <c r="H52" s="44">
        <f>ROUND(F52*G52,2)</f>
        <v/>
      </c>
    </row>
    <row r="53" ht="25.5" customHeight="1">
      <c r="A53" s="45">
        <f>A52+1</f>
        <v/>
      </c>
      <c r="B53" s="59" t="n"/>
      <c r="C53" s="55" t="inlineStr">
        <is>
          <t>20.2.10.03-0002</t>
        </is>
      </c>
      <c r="D53" s="42" t="inlineStr">
        <is>
          <t>Наконечники кабельные медные для электротехнических установок</t>
        </is>
      </c>
      <c r="E53" s="169" t="inlineStr">
        <is>
          <t>100 шт.</t>
        </is>
      </c>
      <c r="F53" s="169" t="n">
        <v>0.1632</v>
      </c>
      <c r="G53" s="44" t="n">
        <v>3986</v>
      </c>
      <c r="H53" s="44">
        <f>ROUND(F53*G53,2)</f>
        <v/>
      </c>
    </row>
    <row r="54">
      <c r="A54" s="45">
        <f>A53+1</f>
        <v/>
      </c>
      <c r="B54" s="59" t="n"/>
      <c r="C54" s="55" t="inlineStr">
        <is>
          <t>14.2.01.05-0003</t>
        </is>
      </c>
      <c r="D54" s="42" t="inlineStr">
        <is>
          <t xml:space="preserve">Композиция цинконаполненная </t>
        </is>
      </c>
      <c r="E54" s="169" t="inlineStr">
        <is>
          <t>кг</t>
        </is>
      </c>
      <c r="F54" s="169" t="n">
        <v>5.538</v>
      </c>
      <c r="G54" s="44" t="n">
        <v>114.42</v>
      </c>
      <c r="H54" s="44">
        <f>ROUND(F54*G54,2)</f>
        <v/>
      </c>
    </row>
    <row r="55">
      <c r="A55" s="45">
        <f>A54+1</f>
        <v/>
      </c>
      <c r="B55" s="59" t="n"/>
      <c r="C55" s="55" t="inlineStr">
        <is>
          <t>01.2.03.03-0013</t>
        </is>
      </c>
      <c r="D55" s="42" t="inlineStr">
        <is>
          <t>Мастика битумная кровельная горячая</t>
        </is>
      </c>
      <c r="E55" s="169" t="inlineStr">
        <is>
          <t>т</t>
        </is>
      </c>
      <c r="F55" s="169" t="n">
        <v>0.17856</v>
      </c>
      <c r="G55" s="44" t="n">
        <v>3390</v>
      </c>
      <c r="H55" s="44">
        <f>ROUND(F55*G55,2)</f>
        <v/>
      </c>
    </row>
    <row r="56">
      <c r="A56" s="45">
        <f>A55+1</f>
        <v/>
      </c>
      <c r="B56" s="59" t="n"/>
      <c r="C56" s="55" t="inlineStr">
        <is>
          <t>02.2.05.04-1777</t>
        </is>
      </c>
      <c r="D56" s="42" t="inlineStr">
        <is>
          <t>Щебень М 800, фракция 20-40 мм, группа 2</t>
        </is>
      </c>
      <c r="E56" s="169" t="inlineStr">
        <is>
          <t>м3</t>
        </is>
      </c>
      <c r="F56" s="169" t="n">
        <v>4.8</v>
      </c>
      <c r="G56" s="44" t="n">
        <v>108.4</v>
      </c>
      <c r="H56" s="44">
        <f>ROUND(F56*G56,2)</f>
        <v/>
      </c>
    </row>
    <row r="57">
      <c r="A57" s="45">
        <f>A56+1</f>
        <v/>
      </c>
      <c r="B57" s="59" t="n"/>
      <c r="C57" s="55" t="inlineStr">
        <is>
          <t>01.7.11.07-0032</t>
        </is>
      </c>
      <c r="D57" s="42" t="inlineStr">
        <is>
          <t>Электроды диаметром 4 мм Э42</t>
        </is>
      </c>
      <c r="E57" s="169" t="inlineStr">
        <is>
          <t>т</t>
        </is>
      </c>
      <c r="F57" s="169" t="n">
        <v>0.0275</v>
      </c>
      <c r="G57" s="44" t="n">
        <v>10315.01</v>
      </c>
      <c r="H57" s="44">
        <f>ROUND(F57*G57,2)</f>
        <v/>
      </c>
    </row>
    <row r="58">
      <c r="A58" s="45">
        <f>A57+1</f>
        <v/>
      </c>
      <c r="B58" s="59" t="n"/>
      <c r="C58" s="55" t="inlineStr">
        <is>
          <t>01.7.11.07-0034</t>
        </is>
      </c>
      <c r="D58" s="42" t="inlineStr">
        <is>
          <t>Электроды диаметром 4 мм Э42А</t>
        </is>
      </c>
      <c r="E58" s="169" t="inlineStr">
        <is>
          <t>кг</t>
        </is>
      </c>
      <c r="F58" s="169" t="inlineStr">
        <is>
          <t>24</t>
        </is>
      </c>
      <c r="G58" s="44" t="n">
        <v>10.57</v>
      </c>
      <c r="H58" s="44">
        <f>ROUND(F58*G58,2)</f>
        <v/>
      </c>
    </row>
    <row r="59">
      <c r="A59" s="45">
        <f>A58+1</f>
        <v/>
      </c>
      <c r="B59" s="59" t="n"/>
      <c r="C59" s="55" t="inlineStr">
        <is>
          <t>14.4.02.09-0001</t>
        </is>
      </c>
      <c r="D59" s="42" t="inlineStr">
        <is>
          <t>Краска</t>
        </is>
      </c>
      <c r="E59" s="169" t="inlineStr">
        <is>
          <t>кг</t>
        </is>
      </c>
      <c r="F59" s="169" t="n">
        <v>7.6</v>
      </c>
      <c r="G59" s="44" t="n">
        <v>28.6</v>
      </c>
      <c r="H59" s="44">
        <f>ROUND(F59*G59,2)</f>
        <v/>
      </c>
    </row>
    <row r="60" ht="25.5" customHeight="1">
      <c r="A60" s="45">
        <f>A59+1</f>
        <v/>
      </c>
      <c r="B60" s="59" t="n"/>
      <c r="C60" s="55" t="inlineStr">
        <is>
          <t>08.3.07.01-0076</t>
        </is>
      </c>
      <c r="D60" s="42" t="inlineStr">
        <is>
          <t>Прокат полосовой, горячекатаный, марка стали Ст3сп, ширина 50-200 мм, толщина 4-5 мм</t>
        </is>
      </c>
      <c r="E60" s="169" t="inlineStr">
        <is>
          <t>т</t>
        </is>
      </c>
      <c r="F60" s="169" t="inlineStr">
        <is>
          <t>0,04</t>
        </is>
      </c>
      <c r="G60" s="44" t="n">
        <v>5000</v>
      </c>
      <c r="H60" s="44">
        <f>ROUND(F60*G60,2)</f>
        <v/>
      </c>
    </row>
    <row r="61" ht="25.5" customHeight="1">
      <c r="A61" s="45">
        <f>A60+1</f>
        <v/>
      </c>
      <c r="B61" s="59" t="n"/>
      <c r="C61" s="55" t="inlineStr">
        <is>
          <t>01.3.01.06-0050</t>
        </is>
      </c>
      <c r="D61" s="42" t="inlineStr">
        <is>
          <t>Смазка универсальная тугоплавкая УТ (консталин жировой)</t>
        </is>
      </c>
      <c r="E61" s="169" t="inlineStr">
        <is>
          <t>т</t>
        </is>
      </c>
      <c r="F61" s="169" t="n">
        <v>0.008</v>
      </c>
      <c r="G61" s="44" t="n">
        <v>17500</v>
      </c>
      <c r="H61" s="44">
        <f>ROUND(F61*G61,2)</f>
        <v/>
      </c>
    </row>
    <row r="62">
      <c r="A62" s="45">
        <f>A61+1</f>
        <v/>
      </c>
      <c r="B62" s="59" t="n"/>
      <c r="C62" s="55" t="inlineStr">
        <is>
          <t>01.7.15.03-0042</t>
        </is>
      </c>
      <c r="D62" s="42" t="inlineStr">
        <is>
          <t>Болты с гайками и шайбами строительные</t>
        </is>
      </c>
      <c r="E62" s="169" t="inlineStr">
        <is>
          <t>кг</t>
        </is>
      </c>
      <c r="F62" s="169" t="inlineStr">
        <is>
          <t>12,96</t>
        </is>
      </c>
      <c r="G62" s="44" t="n">
        <v>9.039999999999999</v>
      </c>
      <c r="H62" s="44">
        <f>ROUND(F62*G62,2)</f>
        <v/>
      </c>
    </row>
    <row r="63">
      <c r="A63" s="45">
        <f>A62+1</f>
        <v/>
      </c>
      <c r="B63" s="59" t="n"/>
      <c r="C63" s="55" t="inlineStr">
        <is>
          <t>999-9950</t>
        </is>
      </c>
      <c r="D63" s="42" t="inlineStr">
        <is>
          <t>Вспомогательные ненормируемые материалы</t>
        </is>
      </c>
      <c r="E63" s="169" t="inlineStr">
        <is>
          <t>руб</t>
        </is>
      </c>
      <c r="F63" s="169" t="inlineStr">
        <is>
          <t>84,68</t>
        </is>
      </c>
      <c r="G63" s="44" t="n">
        <v>1</v>
      </c>
      <c r="H63" s="44">
        <f>ROUND(F63*G63,2)</f>
        <v/>
      </c>
    </row>
    <row r="64">
      <c r="A64" s="45">
        <f>A63+1</f>
        <v/>
      </c>
      <c r="B64" s="59" t="n"/>
      <c r="C64" s="55" t="inlineStr">
        <is>
          <t>14.2.01.05-0001</t>
        </is>
      </c>
      <c r="D64" s="42" t="inlineStr">
        <is>
          <t>Композиция на основе термопластичных полимеров</t>
        </is>
      </c>
      <c r="E64" s="169" t="inlineStr">
        <is>
          <t>кг</t>
        </is>
      </c>
      <c r="F64" s="169" t="n">
        <v>1.349</v>
      </c>
      <c r="G64" s="44" t="n">
        <v>54.99</v>
      </c>
      <c r="H64" s="44">
        <f>ROUND(F64*G64,2)</f>
        <v/>
      </c>
    </row>
    <row r="65">
      <c r="A65" s="45">
        <f>A64+1</f>
        <v/>
      </c>
      <c r="B65" s="59" t="n"/>
      <c r="C65" s="55" t="inlineStr">
        <is>
          <t>01.7.20.08-0031</t>
        </is>
      </c>
      <c r="D65" s="42" t="inlineStr">
        <is>
          <t xml:space="preserve">Бязь суровая </t>
        </is>
      </c>
      <c r="E65" s="169" t="inlineStr">
        <is>
          <t>10 м2</t>
        </is>
      </c>
      <c r="F65" s="169" t="inlineStr">
        <is>
          <t>0,6</t>
        </is>
      </c>
      <c r="G65" s="44" t="n">
        <v>79.09999999999999</v>
      </c>
      <c r="H65" s="44">
        <f>ROUND(F65*G65,2)</f>
        <v/>
      </c>
    </row>
    <row r="66">
      <c r="A66" s="45">
        <f>A65+1</f>
        <v/>
      </c>
      <c r="B66" s="59" t="n"/>
      <c r="C66" s="55" t="inlineStr">
        <is>
          <t>01.3.01.03-0002</t>
        </is>
      </c>
      <c r="D66" s="42" t="inlineStr">
        <is>
          <t>Керосин для технических целей марок КТ-1, КТ-2</t>
        </is>
      </c>
      <c r="E66" s="169" t="inlineStr">
        <is>
          <t>т</t>
        </is>
      </c>
      <c r="F66" s="169" t="n">
        <v>0.017856</v>
      </c>
      <c r="G66" s="44" t="n">
        <v>2606.9</v>
      </c>
      <c r="H66" s="44">
        <f>ROUND(F66*G66,2)</f>
        <v/>
      </c>
    </row>
    <row r="67">
      <c r="A67" s="45">
        <f>A66+1</f>
        <v/>
      </c>
      <c r="B67" s="59" t="n"/>
      <c r="C67" s="55" t="inlineStr">
        <is>
          <t>20.1.02.23-0082</t>
        </is>
      </c>
      <c r="D67" s="42" t="inlineStr">
        <is>
          <t>Перемычки гибкие, тип ПГС-50</t>
        </is>
      </c>
      <c r="E67" s="169" t="inlineStr">
        <is>
          <t>10 шт.</t>
        </is>
      </c>
      <c r="F67" s="169" t="n">
        <v>0.8</v>
      </c>
      <c r="G67" s="44" t="n">
        <v>39</v>
      </c>
      <c r="H67" s="44">
        <f>ROUND(F67*G67,2)</f>
        <v/>
      </c>
    </row>
    <row r="68">
      <c r="A68" s="45">
        <f>A67+1</f>
        <v/>
      </c>
      <c r="B68" s="59" t="n"/>
      <c r="C68" s="55" t="inlineStr">
        <is>
          <t>01.7.03.01-0001</t>
        </is>
      </c>
      <c r="D68" s="42" t="inlineStr">
        <is>
          <t>Вода</t>
        </is>
      </c>
      <c r="E68" s="169" t="inlineStr">
        <is>
          <t>м3</t>
        </is>
      </c>
      <c r="F68" s="169" t="n">
        <v>2.466</v>
      </c>
      <c r="G68" s="44" t="n">
        <v>2.44</v>
      </c>
      <c r="H68" s="44">
        <f>ROUND(F68*G68,2)</f>
        <v/>
      </c>
    </row>
    <row r="69">
      <c r="A69" s="45">
        <f>A68+1</f>
        <v/>
      </c>
      <c r="B69" s="59" t="n"/>
      <c r="C69" s="55" t="inlineStr">
        <is>
          <t>24.3.01.01-0001</t>
        </is>
      </c>
      <c r="D69" s="42" t="inlineStr">
        <is>
          <t>Трубка поливинилхлоридная ХВТ</t>
        </is>
      </c>
      <c r="E69" s="169" t="inlineStr">
        <is>
          <t>кг</t>
        </is>
      </c>
      <c r="F69" s="169" t="n">
        <v>0.128</v>
      </c>
      <c r="G69" s="44" t="n">
        <v>41.7</v>
      </c>
      <c r="H69" s="44">
        <f>ROUND(F69*G69,2)</f>
        <v/>
      </c>
    </row>
    <row r="70">
      <c r="A70" s="45">
        <f>A69+1</f>
        <v/>
      </c>
      <c r="B70" s="59" t="n"/>
      <c r="C70" s="55" t="inlineStr">
        <is>
          <t>01.7.06.07-0001</t>
        </is>
      </c>
      <c r="D70" s="42" t="inlineStr">
        <is>
          <t>Лента К226</t>
        </is>
      </c>
      <c r="E70" s="169" t="inlineStr">
        <is>
          <t>100 м</t>
        </is>
      </c>
      <c r="F70" s="169" t="n">
        <v>0.0384</v>
      </c>
      <c r="G70" s="44" t="n">
        <v>120</v>
      </c>
      <c r="H70" s="44">
        <f>ROUND(F70*G70,2)</f>
        <v/>
      </c>
    </row>
    <row r="71">
      <c r="A71" s="45">
        <f>A70+1</f>
        <v/>
      </c>
      <c r="B71" s="59" t="n"/>
      <c r="C71" s="55" t="inlineStr">
        <is>
          <t>14.5.09.02-0002</t>
        </is>
      </c>
      <c r="D71" s="42" t="inlineStr">
        <is>
          <t>Ксилол нефтяной марки А</t>
        </is>
      </c>
      <c r="E71" s="169" t="inlineStr">
        <is>
          <t>т</t>
        </is>
      </c>
      <c r="F71" s="169" t="n">
        <v>0.0002343</v>
      </c>
      <c r="G71" s="44" t="n">
        <v>7640</v>
      </c>
      <c r="H71" s="44">
        <f>ROUND(F71*G71,2)</f>
        <v/>
      </c>
    </row>
    <row r="72">
      <c r="A72" s="45">
        <f>A71+1</f>
        <v/>
      </c>
      <c r="B72" s="59" t="n"/>
      <c r="C72" s="55" t="inlineStr">
        <is>
          <t>02.2.05.04-1777</t>
        </is>
      </c>
      <c r="D72" s="42" t="inlineStr">
        <is>
          <t>Щебень М 800, фракция 20-40 мм, группа 2</t>
        </is>
      </c>
      <c r="E72" s="169" t="inlineStr">
        <is>
          <t>м3</t>
        </is>
      </c>
      <c r="F72" s="169" t="n">
        <v>0.00144</v>
      </c>
      <c r="G72" s="44" t="n">
        <v>108.4</v>
      </c>
      <c r="H72" s="44">
        <f>ROUND(F72*G72,2)</f>
        <v/>
      </c>
    </row>
    <row r="73">
      <c r="A73" s="45">
        <f>A72+1</f>
        <v/>
      </c>
      <c r="B73" s="59" t="n"/>
      <c r="C73" s="55" t="inlineStr">
        <is>
          <t>01.7.20.08-0051</t>
        </is>
      </c>
      <c r="D73" s="42" t="inlineStr">
        <is>
          <t>Ветошь</t>
        </is>
      </c>
      <c r="E73" s="169" t="inlineStr">
        <is>
          <t>кг</t>
        </is>
      </c>
      <c r="F73" s="169" t="n">
        <v>0.07439999999999999</v>
      </c>
      <c r="G73" s="44" t="n">
        <v>1.82</v>
      </c>
      <c r="H73" s="44">
        <f>ROUND(F73*G73,2)</f>
        <v/>
      </c>
    </row>
    <row r="74">
      <c r="K74" s="89" t="n"/>
    </row>
    <row r="75" ht="25.5" customHeight="1">
      <c r="B75" s="51" t="inlineStr">
        <is>
          <t xml:space="preserve">Примечание: </t>
        </is>
      </c>
      <c r="C75" s="142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79">
      <c r="B79" s="6" t="inlineStr">
        <is>
          <t>Составил ______________________        Е. М. Добровольская</t>
        </is>
      </c>
      <c r="C79" s="1" t="n"/>
    </row>
    <row r="80">
      <c r="B80" s="88" t="inlineStr">
        <is>
          <t xml:space="preserve">                         (подпись, инициалы, фамилия)</t>
        </is>
      </c>
      <c r="C80" s="1" t="n"/>
    </row>
    <row r="81">
      <c r="B81" s="6" t="n"/>
      <c r="C81" s="1" t="n"/>
    </row>
    <row r="82">
      <c r="B82" s="6" t="inlineStr">
        <is>
          <t>Проверил ______________________        А.В. Костянецкая</t>
        </is>
      </c>
      <c r="C82" s="1" t="n"/>
    </row>
    <row r="83">
      <c r="B83" s="88" t="inlineStr">
        <is>
          <t xml:space="preserve">                        (подпись, инициалы, фамилия)</t>
        </is>
      </c>
      <c r="C83" s="1" t="n"/>
    </row>
  </sheetData>
  <mergeCells count="17">
    <mergeCell ref="A21:E21"/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5:H5"/>
    <mergeCell ref="A2:H2"/>
    <mergeCell ref="C75:H75"/>
    <mergeCell ref="A23:E23"/>
    <mergeCell ref="A44:E44"/>
    <mergeCell ref="G9:H9"/>
    <mergeCell ref="A40:E40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E45" sqref="E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8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5" t="inlineStr">
        <is>
          <t>Ресурсная модель</t>
        </is>
      </c>
    </row>
    <row r="6">
      <c r="B6" s="13" t="n"/>
      <c r="C6" s="6" t="n"/>
      <c r="D6" s="6" t="n"/>
      <c r="E6" s="6" t="n"/>
    </row>
    <row r="7" ht="34.5" customHeight="1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3" t="n"/>
      <c r="C9" s="6" t="n"/>
      <c r="D9" s="6" t="n"/>
      <c r="E9" s="6" t="n"/>
    </row>
    <row r="10" ht="51" customHeight="1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94">
        <f>'Прил.5 Расчет СМР и ОБ'!J14</f>
        <v/>
      </c>
      <c r="D11" s="95">
        <f>C11/$C$24</f>
        <v/>
      </c>
      <c r="E11" s="95">
        <f>C11/$C$40</f>
        <v/>
      </c>
    </row>
    <row r="12">
      <c r="B12" s="7" t="inlineStr">
        <is>
          <t>Эксплуатация машин основных</t>
        </is>
      </c>
      <c r="C12" s="94">
        <f>'Прил.5 Расчет СМР и ОБ'!J23</f>
        <v/>
      </c>
      <c r="D12" s="95">
        <f>C12/$C$24</f>
        <v/>
      </c>
      <c r="E12" s="95">
        <f>C12/$C$40</f>
        <v/>
      </c>
    </row>
    <row r="13">
      <c r="B13" s="7" t="inlineStr">
        <is>
          <t>Эксплуатация машин прочих</t>
        </is>
      </c>
      <c r="C13" s="94">
        <f>'Прил.5 Расчет СМР и ОБ'!J36</f>
        <v/>
      </c>
      <c r="D13" s="95">
        <f>C13/$C$24</f>
        <v/>
      </c>
      <c r="E13" s="95">
        <f>C13/$C$40</f>
        <v/>
      </c>
    </row>
    <row r="14">
      <c r="B14" s="7" t="inlineStr">
        <is>
          <t>ЭКСПЛУАТАЦИЯ МАШИН, ВСЕГО:</t>
        </is>
      </c>
      <c r="C14" s="94">
        <f>C13+C12</f>
        <v/>
      </c>
      <c r="D14" s="95">
        <f>C14/$C$24</f>
        <v/>
      </c>
      <c r="E14" s="95">
        <f>C14/$C$40</f>
        <v/>
      </c>
    </row>
    <row r="15">
      <c r="B15" s="7" t="inlineStr">
        <is>
          <t>в том числе зарплата машинистов</t>
        </is>
      </c>
      <c r="C15" s="94">
        <f>'Прил.5 Расчет СМР и ОБ'!J16</f>
        <v/>
      </c>
      <c r="D15" s="95">
        <f>C15/$C$24</f>
        <v/>
      </c>
      <c r="E15" s="95">
        <f>C15/$C$40</f>
        <v/>
      </c>
    </row>
    <row r="16">
      <c r="B16" s="7" t="inlineStr">
        <is>
          <t>Материалы основные</t>
        </is>
      </c>
      <c r="C16" s="94">
        <f>'Прил.5 Расчет СМР и ОБ'!J55</f>
        <v/>
      </c>
      <c r="D16" s="95">
        <f>C16/$C$24</f>
        <v/>
      </c>
      <c r="E16" s="95">
        <f>C16/$C$40</f>
        <v/>
      </c>
    </row>
    <row r="17">
      <c r="B17" s="7" t="inlineStr">
        <is>
          <t>Материалы прочие</t>
        </is>
      </c>
      <c r="C17" s="94">
        <f>'Прил.5 Расчет СМР и ОБ'!J80</f>
        <v/>
      </c>
      <c r="D17" s="95">
        <f>C17/$C$24</f>
        <v/>
      </c>
      <c r="E17" s="95">
        <f>C17/$C$40</f>
        <v/>
      </c>
      <c r="G17" s="14" t="n"/>
    </row>
    <row r="18">
      <c r="B18" s="7" t="inlineStr">
        <is>
          <t>МАТЕРИАЛЫ, ВСЕГО:</t>
        </is>
      </c>
      <c r="C18" s="94">
        <f>C17+C16</f>
        <v/>
      </c>
      <c r="D18" s="95">
        <f>C18/$C$24</f>
        <v/>
      </c>
      <c r="E18" s="95">
        <f>C18/$C$40</f>
        <v/>
      </c>
    </row>
    <row r="19">
      <c r="B19" s="7" t="inlineStr">
        <is>
          <t>ИТОГО</t>
        </is>
      </c>
      <c r="C19" s="94">
        <f>C18+C14+C11</f>
        <v/>
      </c>
      <c r="D19" s="95" t="n"/>
      <c r="E19" s="7" t="n"/>
    </row>
    <row r="20">
      <c r="B20" s="7" t="inlineStr">
        <is>
          <t>Сметная прибыль, руб.</t>
        </is>
      </c>
      <c r="C20" s="94">
        <f>ROUND(C21*(C11+C15),2)</f>
        <v/>
      </c>
      <c r="D20" s="95">
        <f>C20/$C$24</f>
        <v/>
      </c>
      <c r="E20" s="95">
        <f>C20/$C$40</f>
        <v/>
      </c>
    </row>
    <row r="21">
      <c r="B21" s="7" t="inlineStr">
        <is>
          <t>Сметная прибыль, %</t>
        </is>
      </c>
      <c r="C21" s="96">
        <f>'Прил.5 Расчет СМР и ОБ'!E84</f>
        <v/>
      </c>
      <c r="D21" s="95" t="n"/>
      <c r="E21" s="7" t="n"/>
    </row>
    <row r="22">
      <c r="B22" s="7" t="inlineStr">
        <is>
          <t>Накладные расходы, руб.</t>
        </is>
      </c>
      <c r="C22" s="94">
        <f>ROUND(C23*(C11+C15),2)</f>
        <v/>
      </c>
      <c r="D22" s="95">
        <f>C22/$C$24</f>
        <v/>
      </c>
      <c r="E22" s="95">
        <f>C22/$C$40</f>
        <v/>
      </c>
    </row>
    <row r="23">
      <c r="B23" s="7" t="inlineStr">
        <is>
          <t>Накладные расходы, %</t>
        </is>
      </c>
      <c r="C23" s="96">
        <f>'Прил.5 Расчет СМР и ОБ'!E83</f>
        <v/>
      </c>
      <c r="D23" s="95" t="n"/>
      <c r="E23" s="7" t="n"/>
    </row>
    <row r="24">
      <c r="B24" s="7" t="inlineStr">
        <is>
          <t>ВСЕГО СМР с НР и СП</t>
        </is>
      </c>
      <c r="C24" s="94">
        <f>C19+C20+C22</f>
        <v/>
      </c>
      <c r="D24" s="95">
        <f>C24/$C$24</f>
        <v/>
      </c>
      <c r="E24" s="95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94">
        <f>'Прил.5 Расчет СМР и ОБ'!J47</f>
        <v/>
      </c>
      <c r="D25" s="95" t="n"/>
      <c r="E25" s="95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94">
        <f>C25</f>
        <v/>
      </c>
      <c r="D26" s="95" t="n"/>
      <c r="E26" s="95">
        <f>C26/$C$40</f>
        <v/>
      </c>
    </row>
    <row r="27">
      <c r="B27" s="7" t="inlineStr">
        <is>
          <t>ИТОГО (СМР + ОБОРУДОВАНИЕ)</t>
        </is>
      </c>
      <c r="C27" s="97">
        <f>C24+C25</f>
        <v/>
      </c>
      <c r="D27" s="95" t="n"/>
      <c r="E27" s="95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97">
        <f>ROUND(C24*3.9%,2)</f>
        <v/>
      </c>
      <c r="D29" s="7" t="n"/>
      <c r="E29" s="95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7" t="n"/>
      <c r="E30" s="95">
        <f>C30/$C$40</f>
        <v/>
      </c>
    </row>
    <row r="31">
      <c r="B31" s="7" t="inlineStr">
        <is>
          <t>Пусконаладочные работы</t>
        </is>
      </c>
      <c r="C31" s="97">
        <f>81007.14*4</f>
        <v/>
      </c>
      <c r="D31" s="7" t="n"/>
      <c r="E31" s="95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97">
        <f>ROUND($C$27*0%,2)</f>
        <v/>
      </c>
      <c r="D32" s="7" t="n"/>
      <c r="E32" s="95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97">
        <f>ROUND($C$27*0%,2)</f>
        <v/>
      </c>
      <c r="D33" s="7" t="n"/>
      <c r="E33" s="95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>
        <f>ROUND($C$27*0%,2)</f>
        <v/>
      </c>
      <c r="D34" s="7" t="n"/>
      <c r="E34" s="95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ROUND($C$27*0%,2)</f>
        <v/>
      </c>
      <c r="D35" s="7" t="n"/>
      <c r="E35" s="95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7" t="n"/>
      <c r="E36" s="95">
        <f>C36/$C$40</f>
        <v/>
      </c>
      <c r="G36" s="60" t="n"/>
      <c r="L36" s="15" t="n"/>
    </row>
    <row r="37">
      <c r="B37" s="7" t="inlineStr">
        <is>
          <t>Авторский надзор - 0,2%</t>
        </is>
      </c>
      <c r="C37" s="97">
        <f>ROUND((C27+C32+C33+C34+C35+C29+C31+C30)*0.2%,2)</f>
        <v/>
      </c>
      <c r="D37" s="7" t="n"/>
      <c r="E37" s="95">
        <f>C37/$C$40</f>
        <v/>
      </c>
      <c r="G37" s="60" t="n"/>
      <c r="L37" s="15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94">
        <f>C27+C32+C33+C34+C35+C29+C31+C30+C36+C37</f>
        <v/>
      </c>
      <c r="D38" s="7" t="n"/>
      <c r="E38" s="95">
        <f>C38/$C$40</f>
        <v/>
      </c>
    </row>
    <row r="39" ht="13.5" customHeight="1">
      <c r="B39" s="7" t="inlineStr">
        <is>
          <t>Непредвиденные расходы</t>
        </is>
      </c>
      <c r="C39" s="94">
        <f>ROUND(C38*3%,2)</f>
        <v/>
      </c>
      <c r="D39" s="7" t="n"/>
      <c r="E39" s="95">
        <f>C39/$C$38</f>
        <v/>
      </c>
    </row>
    <row r="40">
      <c r="B40" s="7" t="inlineStr">
        <is>
          <t>ВСЕГО:</t>
        </is>
      </c>
      <c r="C40" s="94">
        <f>C39+C38</f>
        <v/>
      </c>
      <c r="D40" s="7" t="n"/>
      <c r="E40" s="95">
        <f>C40/$C$40</f>
        <v/>
      </c>
    </row>
    <row r="41">
      <c r="B41" s="7" t="inlineStr">
        <is>
          <t>ИТОГО ПОКАЗАТЕЛЬ НА ЕД. ИЗМ.</t>
        </is>
      </c>
      <c r="C41" s="94">
        <f>C40/'Прил.5 Расчет СМР и ОБ'!E87</f>
        <v/>
      </c>
      <c r="D41" s="7" t="n"/>
      <c r="E41" s="7" t="n"/>
    </row>
    <row r="42">
      <c r="B42" s="16" t="n"/>
      <c r="C42" s="6" t="n"/>
      <c r="D42" s="6" t="n"/>
      <c r="E42" s="6" t="n"/>
    </row>
    <row r="43">
      <c r="B43" s="6" t="inlineStr">
        <is>
          <t>Составил ______________________        Е. М. Добровольская</t>
        </is>
      </c>
      <c r="C43" s="1" t="n"/>
      <c r="D43" s="6" t="n"/>
      <c r="E43" s="6" t="n"/>
    </row>
    <row r="44">
      <c r="B44" s="88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88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94"/>
  <sheetViews>
    <sheetView view="pageBreakPreview" topLeftCell="A69" zoomScale="60" zoomScaleNormal="70" workbookViewId="0">
      <selection activeCell="E92" sqref="E92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82" t="n"/>
      <c r="J2" s="65" t="inlineStr">
        <is>
          <t>Приложение №5</t>
        </is>
      </c>
    </row>
    <row r="4" ht="12.75" customFormat="1" customHeight="1" s="6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6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26.25" customFormat="1" customHeight="1" s="6">
      <c r="A6" s="160" t="inlineStr">
        <is>
          <t>Наименование разрабатываемого показателя УНЦ</t>
        </is>
      </c>
      <c r="D6" s="160" t="inlineStr">
        <is>
          <t>Разъединитель на три полюса с устройством фундамента напряжение 220(150) кВ</t>
        </is>
      </c>
    </row>
    <row r="7" ht="12.75" customFormat="1" customHeight="1" s="6">
      <c r="A7" s="160">
        <f>'Прил.1 Сравнит табл'!B9</f>
        <v/>
      </c>
      <c r="I7" s="146" t="n"/>
      <c r="J7" s="146" t="n"/>
    </row>
    <row r="8" ht="12.75" customFormat="1" customHeight="1" s="6"/>
    <row r="9" ht="27" customHeight="1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8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8" t="n"/>
    </row>
    <row r="10" ht="28.5" customHeight="1">
      <c r="A10" s="180" t="n"/>
      <c r="B10" s="180" t="n"/>
      <c r="C10" s="180" t="n"/>
      <c r="D10" s="180" t="n"/>
      <c r="E10" s="180" t="n"/>
      <c r="F10" s="149" t="inlineStr">
        <is>
          <t>на ед. изм.</t>
        </is>
      </c>
      <c r="G10" s="149" t="inlineStr">
        <is>
          <t>общая</t>
        </is>
      </c>
      <c r="H10" s="180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43" t="inlineStr">
        <is>
          <t>Затраты труда рабочих-строителей</t>
        </is>
      </c>
      <c r="C12" s="177" t="n"/>
      <c r="D12" s="177" t="n"/>
      <c r="E12" s="177" t="n"/>
      <c r="F12" s="177" t="n"/>
      <c r="G12" s="177" t="n"/>
      <c r="H12" s="178" t="n"/>
      <c r="I12" s="101" t="n"/>
      <c r="J12" s="101" t="n"/>
    </row>
    <row r="13" ht="25.5" customHeight="1">
      <c r="A13" s="149" t="n">
        <v>1</v>
      </c>
      <c r="B13" s="55" t="inlineStr">
        <is>
          <t>1-3-8</t>
        </is>
      </c>
      <c r="C13" s="148" t="inlineStr">
        <is>
          <t>Затраты труда рабочих-строителей среднего разряда (3,8)</t>
        </is>
      </c>
      <c r="D13" s="149" t="inlineStr">
        <is>
          <t>чел.-ч.</t>
        </is>
      </c>
      <c r="E13" s="102" t="n">
        <v>625.63510638298</v>
      </c>
      <c r="F13" s="11" t="n">
        <v>9.4</v>
      </c>
      <c r="G13" s="11" t="n">
        <v>5880.97</v>
      </c>
      <c r="H13" s="158">
        <f>G13/G14</f>
        <v/>
      </c>
      <c r="I13" s="11">
        <f>ФОТр.тек.!E13</f>
        <v/>
      </c>
      <c r="J13" s="11">
        <f>ROUND(I13*E13,2)</f>
        <v/>
      </c>
    </row>
    <row r="14" ht="25.5" customFormat="1" customHeight="1" s="1">
      <c r="A14" s="149" t="n"/>
      <c r="B14" s="149" t="n"/>
      <c r="C14" s="143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02">
        <f>SUM(E13:E13)</f>
        <v/>
      </c>
      <c r="F14" s="11" t="n"/>
      <c r="G14" s="11">
        <f>SUM(G13:G13)</f>
        <v/>
      </c>
      <c r="H14" s="158" t="n">
        <v>1</v>
      </c>
      <c r="I14" s="11" t="n"/>
      <c r="J14" s="11">
        <f>SUM(J13:J13)</f>
        <v/>
      </c>
      <c r="K14" s="54" t="n"/>
      <c r="L14" s="92" t="n"/>
    </row>
    <row r="15" ht="14.25" customFormat="1" customHeight="1" s="1">
      <c r="A15" s="149" t="n"/>
      <c r="B15" s="148" t="inlineStr">
        <is>
          <t>Затраты труда машинистов</t>
        </is>
      </c>
      <c r="C15" s="177" t="n"/>
      <c r="D15" s="177" t="n"/>
      <c r="E15" s="177" t="n"/>
      <c r="F15" s="177" t="n"/>
      <c r="G15" s="177" t="n"/>
      <c r="H15" s="178" t="n"/>
      <c r="I15" s="101" t="n"/>
      <c r="J15" s="101" t="n"/>
    </row>
    <row r="16" ht="14.25" customFormat="1" customHeight="1" s="1">
      <c r="A16" s="149" t="n">
        <v>2</v>
      </c>
      <c r="B16" s="149" t="n">
        <v>2</v>
      </c>
      <c r="C16" s="148" t="inlineStr">
        <is>
          <t>Затраты труда машинистов</t>
        </is>
      </c>
      <c r="D16" s="149" t="inlineStr">
        <is>
          <t>чел.-ч.</t>
        </is>
      </c>
      <c r="E16" s="102" t="n">
        <v>169.881</v>
      </c>
      <c r="F16" s="11">
        <f>G16/E16</f>
        <v/>
      </c>
      <c r="G16" s="11" t="n">
        <v>2068.7436</v>
      </c>
      <c r="H16" s="158" t="n">
        <v>1</v>
      </c>
      <c r="I16" s="11">
        <f>ROUND(F16*Прил.10!D10,2)</f>
        <v/>
      </c>
      <c r="J16" s="11">
        <f>ROUND(I16*E16,2)</f>
        <v/>
      </c>
      <c r="L16" s="57" t="n"/>
    </row>
    <row r="17" ht="14.25" customFormat="1" customHeight="1" s="1">
      <c r="A17" s="149" t="n"/>
      <c r="B17" s="143" t="inlineStr">
        <is>
          <t>Машины и механизмы</t>
        </is>
      </c>
      <c r="C17" s="177" t="n"/>
      <c r="D17" s="177" t="n"/>
      <c r="E17" s="177" t="n"/>
      <c r="F17" s="177" t="n"/>
      <c r="G17" s="177" t="n"/>
      <c r="H17" s="178" t="n"/>
      <c r="I17" s="158" t="n"/>
      <c r="J17" s="158" t="n"/>
    </row>
    <row r="18" ht="14.25" customFormat="1" customHeight="1" s="1">
      <c r="A18" s="149" t="n"/>
      <c r="B18" s="148" t="inlineStr">
        <is>
          <t>Основные машины и механизмы</t>
        </is>
      </c>
      <c r="C18" s="177" t="n"/>
      <c r="D18" s="177" t="n"/>
      <c r="E18" s="177" t="n"/>
      <c r="F18" s="177" t="n"/>
      <c r="G18" s="177" t="n"/>
      <c r="H18" s="178" t="n"/>
      <c r="I18" s="101" t="n"/>
      <c r="J18" s="101" t="n"/>
    </row>
    <row r="19" ht="25.5" customFormat="1" customHeight="1" s="1">
      <c r="A19" s="149" t="n">
        <v>3</v>
      </c>
      <c r="B19" s="55" t="inlineStr">
        <is>
          <t>91.05.05-014</t>
        </is>
      </c>
      <c r="C19" s="148" t="inlineStr">
        <is>
          <t>Краны на автомобильном ходу, грузоподъемность 10 т</t>
        </is>
      </c>
      <c r="D19" s="149" t="inlineStr">
        <is>
          <t>маш.-ч</t>
        </is>
      </c>
      <c r="E19" s="102" t="n">
        <v>81.21916</v>
      </c>
      <c r="F19" s="166" t="n">
        <v>111.99</v>
      </c>
      <c r="G19" s="11">
        <f>ROUND(E19*F19,2)</f>
        <v/>
      </c>
      <c r="H19" s="158">
        <f>G19/$G$37</f>
        <v/>
      </c>
      <c r="I19" s="11">
        <f>ROUND(F19*Прил.10!$D$11,2)</f>
        <v/>
      </c>
      <c r="J19" s="11">
        <f>ROUND(I19*E19,2)</f>
        <v/>
      </c>
    </row>
    <row r="20" ht="25.5" customFormat="1" customHeight="1" s="1">
      <c r="A20" s="149" t="n">
        <v>4</v>
      </c>
      <c r="B20" s="55" t="inlineStr">
        <is>
          <t>91.14.02-001</t>
        </is>
      </c>
      <c r="C20" s="148" t="inlineStr">
        <is>
          <t>Автомобили бортовые, грузоподъемность до 5 т</t>
        </is>
      </c>
      <c r="D20" s="149" t="inlineStr">
        <is>
          <t>маш.-ч</t>
        </is>
      </c>
      <c r="E20" s="102" t="n">
        <v>20.15093</v>
      </c>
      <c r="F20" s="166" t="n">
        <v>65.70999999999999</v>
      </c>
      <c r="G20" s="11">
        <f>ROUND(E20*F20,2)</f>
        <v/>
      </c>
      <c r="H20" s="158">
        <f>G20/$G$37</f>
        <v/>
      </c>
      <c r="I20" s="11">
        <f>ROUND(F20*Прил.10!$D$11,2)</f>
        <v/>
      </c>
      <c r="J20" s="11">
        <f>ROUND(I20*E20,2)</f>
        <v/>
      </c>
    </row>
    <row r="21" ht="25.5" customFormat="1" customHeight="1" s="1">
      <c r="A21" s="149" t="n">
        <v>5</v>
      </c>
      <c r="B21" s="55" t="inlineStr">
        <is>
          <t>91.06.06-042</t>
        </is>
      </c>
      <c r="C21" s="148" t="inlineStr">
        <is>
          <t>Подъемники гидравлические высотой подъема: 10 м</t>
        </is>
      </c>
      <c r="D21" s="149" t="inlineStr">
        <is>
          <t>маш.-ч</t>
        </is>
      </c>
      <c r="E21" s="102" t="n">
        <v>44.4</v>
      </c>
      <c r="F21" s="166" t="n">
        <v>29.6</v>
      </c>
      <c r="G21" s="11">
        <f>ROUND(E21*F21,2)</f>
        <v/>
      </c>
      <c r="H21" s="158">
        <f>G21/$G$37</f>
        <v/>
      </c>
      <c r="I21" s="11">
        <f>ROUND(F21*Прил.10!$D$11,2)</f>
        <v/>
      </c>
      <c r="J21" s="11">
        <f>ROUND(I21*E21,2)</f>
        <v/>
      </c>
    </row>
    <row r="22" ht="51" customFormat="1" customHeight="1" s="1">
      <c r="A22" s="149" t="n">
        <v>6</v>
      </c>
      <c r="B22" s="55" t="inlineStr">
        <is>
          <t>91.18.01-007</t>
        </is>
      </c>
      <c r="C22" s="14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149" t="inlineStr">
        <is>
          <t>маш.-ч</t>
        </is>
      </c>
      <c r="E22" s="102" t="n">
        <v>7.5624</v>
      </c>
      <c r="F22" s="166" t="n">
        <v>90</v>
      </c>
      <c r="G22" s="11">
        <f>ROUND(E22*F22,2)</f>
        <v/>
      </c>
      <c r="H22" s="158">
        <f>G22/$G$37</f>
        <v/>
      </c>
      <c r="I22" s="11">
        <f>ROUND(F22*Прил.10!$D$11,2)</f>
        <v/>
      </c>
      <c r="J22" s="11">
        <f>ROUND(I22*E22,2)</f>
        <v/>
      </c>
    </row>
    <row r="23" ht="14.25" customFormat="1" customHeight="1" s="1">
      <c r="A23" s="149" t="n"/>
      <c r="B23" s="149" t="n"/>
      <c r="C23" s="148" t="inlineStr">
        <is>
          <t>Итого основные машины и механизмы</t>
        </is>
      </c>
      <c r="D23" s="149" t="n"/>
      <c r="E23" s="103" t="n"/>
      <c r="F23" s="11" t="n"/>
      <c r="G23" s="11">
        <f>SUM(G19:G22)</f>
        <v/>
      </c>
      <c r="H23" s="158">
        <f>G23/G37</f>
        <v/>
      </c>
      <c r="I23" s="11" t="n"/>
      <c r="J23" s="11">
        <f>SUM(J19:J22)</f>
        <v/>
      </c>
      <c r="L23" s="54" t="n"/>
    </row>
    <row r="24" hidden="1" outlineLevel="1" ht="25.5" customFormat="1" customHeight="1" s="1">
      <c r="A24" s="149" t="n">
        <v>7</v>
      </c>
      <c r="B24" s="55" t="inlineStr">
        <is>
          <t>91.14.03-002</t>
        </is>
      </c>
      <c r="C24" s="148" t="inlineStr">
        <is>
          <t>Автомобиль-самосвал, грузоподъемность до 10 т</t>
        </is>
      </c>
      <c r="D24" s="149" t="inlineStr">
        <is>
          <t>маш.-ч</t>
        </is>
      </c>
      <c r="E24" s="102" t="n">
        <v>7.616</v>
      </c>
      <c r="F24" s="166" t="n">
        <v>87.48999999999999</v>
      </c>
      <c r="G24" s="11">
        <f>ROUND(E24*F24,2)</f>
        <v/>
      </c>
      <c r="H24" s="158">
        <f>G24/$G$37</f>
        <v/>
      </c>
      <c r="I24" s="11">
        <f>ROUND(F24*Прил.10!$D$11,2)</f>
        <v/>
      </c>
      <c r="J24" s="11">
        <f>ROUND(I24*E24,2)</f>
        <v/>
      </c>
      <c r="L24" s="54" t="n"/>
    </row>
    <row r="25" hidden="1" outlineLevel="1" ht="25.5" customFormat="1" customHeight="1" s="1">
      <c r="A25" s="149" t="n">
        <v>8</v>
      </c>
      <c r="B25" s="55" t="inlineStr">
        <is>
          <t>91.17.04-233</t>
        </is>
      </c>
      <c r="C25" s="148" t="inlineStr">
        <is>
          <t>Установки для сварки ручной дуговой (постоянного тока)</t>
        </is>
      </c>
      <c r="D25" s="149" t="inlineStr">
        <is>
          <t>маш.-ч</t>
        </is>
      </c>
      <c r="E25" s="102" t="n">
        <v>30.92</v>
      </c>
      <c r="F25" s="166" t="n">
        <v>8.1</v>
      </c>
      <c r="G25" s="11">
        <f>ROUND(E25*F25,2)</f>
        <v/>
      </c>
      <c r="H25" s="158">
        <f>G25/$G$37</f>
        <v/>
      </c>
      <c r="I25" s="11">
        <f>ROUND(F25*Прил.10!$D$11,2)</f>
        <v/>
      </c>
      <c r="J25" s="11">
        <f>ROUND(I25*E25,2)</f>
        <v/>
      </c>
      <c r="L25" s="54" t="n"/>
    </row>
    <row r="26" hidden="1" outlineLevel="1" ht="38.25" customFormat="1" customHeight="1" s="1">
      <c r="A26" s="149" t="n">
        <v>9</v>
      </c>
      <c r="B26" s="55" t="inlineStr">
        <is>
          <t>91.01.05-086</t>
        </is>
      </c>
      <c r="C26" s="148" t="inlineStr">
        <is>
          <t>Экскаваторы одноковшовые дизельные на гусеничном ходу, емкость ковша 0,65 м3</t>
        </is>
      </c>
      <c r="D26" s="149" t="inlineStr">
        <is>
          <t>маш.-ч</t>
        </is>
      </c>
      <c r="E26" s="102" t="n">
        <v>1.972</v>
      </c>
      <c r="F26" s="166" t="n">
        <v>115.27</v>
      </c>
      <c r="G26" s="11">
        <f>ROUND(E26*F26,2)</f>
        <v/>
      </c>
      <c r="H26" s="158">
        <f>G26/$G$37</f>
        <v/>
      </c>
      <c r="I26" s="11">
        <f>ROUND(F26*Прил.10!$D$11,2)</f>
        <v/>
      </c>
      <c r="J26" s="11">
        <f>ROUND(I26*E26,2)</f>
        <v/>
      </c>
      <c r="L26" s="54" t="n"/>
    </row>
    <row r="27" hidden="1" outlineLevel="1" ht="38.25" customFormat="1" customHeight="1" s="1">
      <c r="A27" s="149" t="n">
        <v>10</v>
      </c>
      <c r="B27" s="55" t="inlineStr">
        <is>
          <t>91.17.04-036</t>
        </is>
      </c>
      <c r="C27" s="148" t="inlineStr">
        <is>
          <t>Агрегаты сварочные передвижные номинальным сварочным током 250-400 А с дизельным двигателем</t>
        </is>
      </c>
      <c r="D27" s="149" t="inlineStr">
        <is>
          <t>маш.-ч</t>
        </is>
      </c>
      <c r="E27" s="102" t="n">
        <v>11.99</v>
      </c>
      <c r="F27" s="166" t="n">
        <v>14</v>
      </c>
      <c r="G27" s="11">
        <f>ROUND(E27*F27,2)</f>
        <v/>
      </c>
      <c r="H27" s="158">
        <f>G27/$G$37</f>
        <v/>
      </c>
      <c r="I27" s="11">
        <f>ROUND(F27*Прил.10!$D$11,2)</f>
        <v/>
      </c>
      <c r="J27" s="11">
        <f>ROUND(I27*E27,2)</f>
        <v/>
      </c>
      <c r="L27" s="54" t="n"/>
    </row>
    <row r="28" hidden="1" outlineLevel="1" ht="38.25" customFormat="1" customHeight="1" s="1">
      <c r="A28" s="149" t="n">
        <v>11</v>
      </c>
      <c r="B28" s="55" t="inlineStr">
        <is>
          <t>91.01.05-085</t>
        </is>
      </c>
      <c r="C28" s="148" t="inlineStr">
        <is>
          <t>Экскаваторы одноковшовые дизельные на гусеничном ходу, емкость ковша 0,5 м3</t>
        </is>
      </c>
      <c r="D28" s="149" t="inlineStr">
        <is>
          <t>маш.-ч</t>
        </is>
      </c>
      <c r="E28" s="102" t="n">
        <v>1.19808</v>
      </c>
      <c r="F28" s="166" t="n">
        <v>100</v>
      </c>
      <c r="G28" s="11">
        <f>ROUND(E28*F28,2)</f>
        <v/>
      </c>
      <c r="H28" s="158">
        <f>G28/$G$37</f>
        <v/>
      </c>
      <c r="I28" s="11">
        <f>ROUND(F28*Прил.10!$D$11,2)</f>
        <v/>
      </c>
      <c r="J28" s="11">
        <f>ROUND(I28*E28,2)</f>
        <v/>
      </c>
      <c r="L28" s="54" t="n"/>
    </row>
    <row r="29" hidden="1" outlineLevel="1" ht="38.25" customFormat="1" customHeight="1" s="1">
      <c r="A29" s="149" t="n">
        <v>12</v>
      </c>
      <c r="B29" s="55" t="inlineStr">
        <is>
          <t>91.06.05-057</t>
        </is>
      </c>
      <c r="C29" s="148" t="inlineStr">
        <is>
          <t>Погрузчики одноковшовые универсальные фронтальные пневмоколесные, грузоподъемность 3 т</t>
        </is>
      </c>
      <c r="D29" s="149" t="inlineStr">
        <is>
          <t>маш.-ч</t>
        </is>
      </c>
      <c r="E29" s="102" t="n">
        <v>1.3152</v>
      </c>
      <c r="F29" s="166" t="n">
        <v>90.40000000000001</v>
      </c>
      <c r="G29" s="11">
        <f>ROUND(E29*F29,2)</f>
        <v/>
      </c>
      <c r="H29" s="158">
        <f>G29/$G$37</f>
        <v/>
      </c>
      <c r="I29" s="11">
        <f>ROUND(F29*Прил.10!$D$11,2)</f>
        <v/>
      </c>
      <c r="J29" s="11">
        <f>ROUND(I29*E29,2)</f>
        <v/>
      </c>
      <c r="L29" s="54" t="n"/>
    </row>
    <row r="30" hidden="1" outlineLevel="1" ht="25.5" customFormat="1" customHeight="1" s="1">
      <c r="A30" s="149" t="n">
        <v>13</v>
      </c>
      <c r="B30" s="55" t="inlineStr">
        <is>
          <t>91.14.02-002</t>
        </is>
      </c>
      <c r="C30" s="148" t="inlineStr">
        <is>
          <t>Автомобили бортовые, грузоподъемность до 8 т</t>
        </is>
      </c>
      <c r="D30" s="149" t="inlineStr">
        <is>
          <t>маш.-ч</t>
        </is>
      </c>
      <c r="E30" s="102" t="n">
        <v>0.81272</v>
      </c>
      <c r="F30" s="166" t="n">
        <v>85.84</v>
      </c>
      <c r="G30" s="11">
        <f>ROUND(E30*F30,2)</f>
        <v/>
      </c>
      <c r="H30" s="158">
        <f>G30/$G$37</f>
        <v/>
      </c>
      <c r="I30" s="11">
        <f>ROUND(F30*Прил.10!$D$11,2)</f>
        <v/>
      </c>
      <c r="J30" s="11">
        <f>ROUND(I30*E30,2)</f>
        <v/>
      </c>
      <c r="L30" s="54" t="n"/>
    </row>
    <row r="31" hidden="1" outlineLevel="1" ht="14.25" customFormat="1" customHeight="1" s="1">
      <c r="A31" s="149" t="n">
        <v>14</v>
      </c>
      <c r="B31" s="55" t="inlineStr">
        <is>
          <t>91.08.04-021</t>
        </is>
      </c>
      <c r="C31" s="148" t="inlineStr">
        <is>
          <t>Котлы битумные передвижные 400 л</t>
        </is>
      </c>
      <c r="D31" s="149" t="inlineStr">
        <is>
          <t>маш.-ч</t>
        </is>
      </c>
      <c r="E31" s="102" t="n">
        <v>1.4508</v>
      </c>
      <c r="F31" s="166" t="n">
        <v>30</v>
      </c>
      <c r="G31" s="11">
        <f>ROUND(E31*F31,2)</f>
        <v/>
      </c>
      <c r="H31" s="158">
        <f>G31/$G$37</f>
        <v/>
      </c>
      <c r="I31" s="11">
        <f>ROUND(F31*Прил.10!$D$11,2)</f>
        <v/>
      </c>
      <c r="J31" s="11">
        <f>ROUND(I31*E31,2)</f>
        <v/>
      </c>
      <c r="L31" s="54" t="n"/>
    </row>
    <row r="32" hidden="1" outlineLevel="1" ht="14.25" customFormat="1" customHeight="1" s="1">
      <c r="A32" s="149" t="n">
        <v>15</v>
      </c>
      <c r="B32" s="55" t="inlineStr">
        <is>
          <t>91.01.01-035</t>
        </is>
      </c>
      <c r="C32" s="148" t="inlineStr">
        <is>
          <t>Бульдозеры, мощность 79 кВт (108 л.с.)</t>
        </is>
      </c>
      <c r="D32" s="149" t="inlineStr">
        <is>
          <t>маш.-ч</t>
        </is>
      </c>
      <c r="E32" s="102" t="n">
        <v>0.37224</v>
      </c>
      <c r="F32" s="166" t="n">
        <v>79.06999999999999</v>
      </c>
      <c r="G32" s="11">
        <f>ROUND(E32*F32,2)</f>
        <v/>
      </c>
      <c r="H32" s="158">
        <f>G32/$G$37</f>
        <v/>
      </c>
      <c r="I32" s="11">
        <f>ROUND(F32*Прил.10!$D$11,2)</f>
        <v/>
      </c>
      <c r="J32" s="11">
        <f>ROUND(I32*E32,2)</f>
        <v/>
      </c>
      <c r="L32" s="54" t="n"/>
    </row>
    <row r="33" hidden="1" outlineLevel="1" ht="25.5" customFormat="1" customHeight="1" s="1">
      <c r="A33" s="149" t="n">
        <v>16</v>
      </c>
      <c r="B33" s="55" t="inlineStr">
        <is>
          <t>91.08.09-023</t>
        </is>
      </c>
      <c r="C33" s="148" t="inlineStr">
        <is>
          <t>Трамбовки пневматические при работе от передвижных компрессорных станций</t>
        </is>
      </c>
      <c r="D33" s="149" t="inlineStr">
        <is>
          <t>маш.-ч</t>
        </is>
      </c>
      <c r="E33" s="102" t="n">
        <v>15.1248</v>
      </c>
      <c r="F33" s="166" t="n">
        <v>0.55</v>
      </c>
      <c r="G33" s="11">
        <f>ROUND(E33*F33,2)</f>
        <v/>
      </c>
      <c r="H33" s="158">
        <f>G33/$G$37</f>
        <v/>
      </c>
      <c r="I33" s="11">
        <f>ROUND(F33*Прил.10!$D$11,2)</f>
        <v/>
      </c>
      <c r="J33" s="11">
        <f>ROUND(I33*E33,2)</f>
        <v/>
      </c>
      <c r="L33" s="54" t="n"/>
    </row>
    <row r="34" hidden="1" outlineLevel="1" ht="38.25" customFormat="1" customHeight="1" s="1">
      <c r="A34" s="149" t="n">
        <v>17</v>
      </c>
      <c r="B34" s="55" t="inlineStr">
        <is>
          <t>91.21.01-012</t>
        </is>
      </c>
      <c r="C34" s="148" t="inlineStr">
        <is>
          <t>Агрегаты окрасочные высокого давления для окраски поверхностей конструкций, мощность 1 кВт</t>
        </is>
      </c>
      <c r="D34" s="149" t="inlineStr">
        <is>
          <t>маш.-ч</t>
        </is>
      </c>
      <c r="E34" s="102" t="n">
        <v>0.17892</v>
      </c>
      <c r="F34" s="166" t="n">
        <v>6.82</v>
      </c>
      <c r="G34" s="11">
        <f>ROUND(E34*F34,2)</f>
        <v/>
      </c>
      <c r="H34" s="158">
        <f>G34/$G$37</f>
        <v/>
      </c>
      <c r="I34" s="11">
        <f>ROUND(F34*Прил.10!$D$11,2)</f>
        <v/>
      </c>
      <c r="J34" s="11">
        <f>ROUND(I34*E34,2)</f>
        <v/>
      </c>
      <c r="L34" s="54" t="n"/>
    </row>
    <row r="35" hidden="1" outlineLevel="1" ht="14.25" customFormat="1" customHeight="1" s="1">
      <c r="A35" s="149" t="n">
        <v>18</v>
      </c>
      <c r="B35" s="55" t="inlineStr">
        <is>
          <t>91.06.05-011</t>
        </is>
      </c>
      <c r="C35" s="148" t="inlineStr">
        <is>
          <t>Погрузчик, грузоподъемность 5 т</t>
        </is>
      </c>
      <c r="D35" s="149" t="inlineStr">
        <is>
          <t>маш.-ч</t>
        </is>
      </c>
      <c r="E35" s="102" t="n">
        <v>0.00142</v>
      </c>
      <c r="F35" s="166" t="n">
        <v>89.98999999999999</v>
      </c>
      <c r="G35" s="11">
        <f>ROUND(E35*F35,2)</f>
        <v/>
      </c>
      <c r="H35" s="158">
        <f>G35/$G$37</f>
        <v/>
      </c>
      <c r="I35" s="11">
        <f>ROUND(F35*Прил.10!$D$11,2)</f>
        <v/>
      </c>
      <c r="J35" s="11">
        <f>ROUND(I35*E35,2)</f>
        <v/>
      </c>
      <c r="L35" s="54" t="n"/>
    </row>
    <row r="36" collapsed="1" ht="14.25" customFormat="1" customHeight="1" s="1">
      <c r="A36" s="149" t="n"/>
      <c r="B36" s="149" t="n"/>
      <c r="C36" s="148" t="inlineStr">
        <is>
          <t>Итого прочие машины и механизмы</t>
        </is>
      </c>
      <c r="D36" s="149" t="n"/>
      <c r="E36" s="150" t="n"/>
      <c r="F36" s="11" t="n"/>
      <c r="G36" s="11">
        <f>SUM(G24:G35)</f>
        <v/>
      </c>
      <c r="H36" s="158">
        <f>G36/G37</f>
        <v/>
      </c>
      <c r="I36" s="11" t="n"/>
      <c r="J36" s="11">
        <f>SUM(J24:J35)</f>
        <v/>
      </c>
      <c r="K36" s="54" t="n"/>
      <c r="L36" s="54" t="n"/>
    </row>
    <row r="37" ht="25.5" customFormat="1" customHeight="1" s="1">
      <c r="A37" s="149" t="n"/>
      <c r="B37" s="161" t="n"/>
      <c r="C37" s="104" t="inlineStr">
        <is>
          <t>Итого по разделу «Машины и механизмы»</t>
        </is>
      </c>
      <c r="D37" s="161" t="n"/>
      <c r="E37" s="105" t="n"/>
      <c r="F37" s="106" t="n"/>
      <c r="G37" s="106">
        <f>G23+G36</f>
        <v/>
      </c>
      <c r="H37" s="107" t="n">
        <v>1</v>
      </c>
      <c r="I37" s="106" t="n"/>
      <c r="J37" s="106">
        <f>J23+J36</f>
        <v/>
      </c>
    </row>
    <row r="38">
      <c r="A38" s="156" t="n"/>
      <c r="B38" s="143" t="inlineStr">
        <is>
          <t xml:space="preserve">Оборудование </t>
        </is>
      </c>
      <c r="C38" s="177" t="n"/>
      <c r="D38" s="177" t="n"/>
      <c r="E38" s="177" t="n"/>
      <c r="F38" s="177" t="n"/>
      <c r="G38" s="177" t="n"/>
      <c r="H38" s="177" t="n"/>
      <c r="I38" s="177" t="n"/>
      <c r="J38" s="178" t="n"/>
    </row>
    <row r="39" ht="15" customHeight="1">
      <c r="A39" s="149" t="n"/>
      <c r="B39" s="159" t="inlineStr">
        <is>
          <t>Основное оборудование</t>
        </is>
      </c>
    </row>
    <row r="40" ht="38.25" customHeight="1">
      <c r="A40" s="149" t="n">
        <v>19</v>
      </c>
      <c r="B40" s="55" t="inlineStr">
        <is>
          <t>БЦ.61.1213</t>
        </is>
      </c>
      <c r="C40" s="148" t="inlineStr">
        <is>
          <t>Разъединители трехполюсные с двумя заземляющими ножами напряжением 220 кВ, 3150А, 63 кА</t>
        </is>
      </c>
      <c r="D40" s="149" t="inlineStr">
        <is>
          <t>компл.</t>
        </is>
      </c>
      <c r="E40" s="149" t="n">
        <v>2</v>
      </c>
      <c r="F40" s="151">
        <f>I40/Прил.10!$D$13</f>
        <v/>
      </c>
      <c r="G40" s="11">
        <f>ROUND(E40*F40,2)</f>
        <v/>
      </c>
      <c r="H40" s="158">
        <f>G40/$G$46</f>
        <v/>
      </c>
      <c r="I40" s="11" t="n">
        <v>8930000</v>
      </c>
      <c r="J40" s="11">
        <f>ROUND(I40*E40,2)</f>
        <v/>
      </c>
    </row>
    <row r="41" ht="38.25" customHeight="1">
      <c r="A41" s="149" t="n">
        <v>20</v>
      </c>
      <c r="B41" s="55" t="inlineStr">
        <is>
          <t>БЦ.61.1213</t>
        </is>
      </c>
      <c r="C41" s="148" t="inlineStr">
        <is>
          <t>Разъединители трехполюсные с двумя заземляющими ножами напряжением 220 кВ, 3150А, 63 кА</t>
        </is>
      </c>
      <c r="D41" s="149" t="inlineStr">
        <is>
          <t>компл.</t>
        </is>
      </c>
      <c r="E41" s="149" t="n">
        <v>2</v>
      </c>
      <c r="F41" s="151">
        <f>I41/Прил.10!$D$13</f>
        <v/>
      </c>
      <c r="G41" s="11">
        <f>ROUND(E41*F41,2)</f>
        <v/>
      </c>
      <c r="H41" s="158">
        <f>G41/$G$46</f>
        <v/>
      </c>
      <c r="I41" s="11" t="n">
        <v>8930000</v>
      </c>
      <c r="J41" s="11">
        <f>ROUND(I41*E41,2)</f>
        <v/>
      </c>
    </row>
    <row r="42">
      <c r="A42" s="149" t="n"/>
      <c r="B42" s="149" t="n"/>
      <c r="C42" s="148" t="inlineStr">
        <is>
          <t>Итого основное оборудование</t>
        </is>
      </c>
      <c r="D42" s="149" t="n"/>
      <c r="E42" s="102" t="n"/>
      <c r="F42" s="151" t="n"/>
      <c r="G42" s="11">
        <f>SUM(G40:G41)</f>
        <v/>
      </c>
      <c r="H42" s="158">
        <f>G42/$G$46</f>
        <v/>
      </c>
      <c r="I42" s="11" t="n"/>
      <c r="J42" s="11">
        <f>SUM(J40:J41)</f>
        <v/>
      </c>
      <c r="K42" s="54" t="n"/>
    </row>
    <row r="43" outlineLevel="1">
      <c r="A43" s="149" t="n">
        <v>21</v>
      </c>
      <c r="B43" s="55" t="inlineStr">
        <is>
          <t>БЦ.30_1.159</t>
        </is>
      </c>
      <c r="C43" s="148" t="inlineStr">
        <is>
          <t>Шкаф управления разъединителями</t>
        </is>
      </c>
      <c r="D43" s="149" t="inlineStr">
        <is>
          <t>шт</t>
        </is>
      </c>
      <c r="E43" s="102" t="n">
        <v>4</v>
      </c>
      <c r="F43" s="151">
        <f>I43/Прил.10!$D$13</f>
        <v/>
      </c>
      <c r="G43" s="11">
        <f>ROUND(E43*F43,2)</f>
        <v/>
      </c>
      <c r="H43" s="158">
        <f>G43/$G$46</f>
        <v/>
      </c>
      <c r="I43" s="11" t="n">
        <v>345000</v>
      </c>
      <c r="J43" s="11">
        <f>ROUND(I43*E43,2)</f>
        <v/>
      </c>
      <c r="K43" s="54" t="n"/>
    </row>
    <row r="44" outlineLevel="1">
      <c r="A44" s="149" t="n"/>
      <c r="B44" s="149" t="n"/>
      <c r="C44" s="148" t="n"/>
      <c r="D44" s="149" t="n"/>
      <c r="E44" s="102" t="n"/>
      <c r="F44" s="151" t="n"/>
      <c r="G44" s="11">
        <f>ROUND(E44*F44,2)</f>
        <v/>
      </c>
      <c r="H44" s="158">
        <f>G44/$G$46</f>
        <v/>
      </c>
      <c r="I44" s="11">
        <f>ROUND(F44*Прил.10!$D$13,2)</f>
        <v/>
      </c>
      <c r="J44" s="11">
        <f>ROUND(I44*E44,2)</f>
        <v/>
      </c>
      <c r="K44" s="54" t="n"/>
    </row>
    <row r="45">
      <c r="A45" s="149" t="n"/>
      <c r="B45" s="149" t="n"/>
      <c r="C45" s="148" t="inlineStr">
        <is>
          <t>Итого прочее оборудование</t>
        </is>
      </c>
      <c r="D45" s="149" t="n"/>
      <c r="E45" s="150" t="n"/>
      <c r="F45" s="151" t="n"/>
      <c r="G45" s="11">
        <f>SUM(G43:G44)</f>
        <v/>
      </c>
      <c r="H45" s="158">
        <f>G45/$G$46</f>
        <v/>
      </c>
      <c r="I45" s="11" t="n"/>
      <c r="J45" s="11">
        <f>SUM(J43:J44)</f>
        <v/>
      </c>
      <c r="K45" s="54" t="n"/>
    </row>
    <row r="46">
      <c r="A46" s="149" t="n"/>
      <c r="B46" s="149" t="n"/>
      <c r="C46" s="143" t="inlineStr">
        <is>
          <t>Итого по разделу «Оборудование»</t>
        </is>
      </c>
      <c r="D46" s="149" t="n"/>
      <c r="E46" s="150" t="n"/>
      <c r="F46" s="151" t="n"/>
      <c r="G46" s="11">
        <f>G45+G42</f>
        <v/>
      </c>
      <c r="H46" s="158">
        <f>(G42+G45)/G46</f>
        <v/>
      </c>
      <c r="I46" s="11" t="n"/>
      <c r="J46" s="11">
        <f>J45+J42</f>
        <v/>
      </c>
      <c r="K46" s="54" t="n"/>
    </row>
    <row r="47" ht="25.5" customHeight="1">
      <c r="A47" s="149" t="n"/>
      <c r="B47" s="149" t="n"/>
      <c r="C47" s="148" t="inlineStr">
        <is>
          <t>в том числе технологическое оборудование</t>
        </is>
      </c>
      <c r="D47" s="149" t="n"/>
      <c r="E47" s="150" t="n"/>
      <c r="F47" s="151" t="n"/>
      <c r="G47" s="11">
        <f>G46</f>
        <v/>
      </c>
      <c r="H47" s="158">
        <f>G47/$G$46</f>
        <v/>
      </c>
      <c r="I47" s="11" t="n"/>
      <c r="J47" s="11">
        <f>J46</f>
        <v/>
      </c>
      <c r="K47" s="54" t="n"/>
    </row>
    <row r="48" ht="14.25" customFormat="1" customHeight="1" s="1">
      <c r="A48" s="149" t="n"/>
      <c r="B48" s="183" t="inlineStr">
        <is>
          <t>Материалы</t>
        </is>
      </c>
      <c r="J48" s="184" t="n"/>
      <c r="K48" s="54" t="n"/>
    </row>
    <row r="49" ht="14.25" customFormat="1" customHeight="1" s="1">
      <c r="A49" s="149" t="n"/>
      <c r="B49" s="148" t="inlineStr">
        <is>
          <t>Основные материалы</t>
        </is>
      </c>
      <c r="C49" s="177" t="n"/>
      <c r="D49" s="177" t="n"/>
      <c r="E49" s="177" t="n"/>
      <c r="F49" s="177" t="n"/>
      <c r="G49" s="177" t="n"/>
      <c r="H49" s="178" t="n"/>
      <c r="I49" s="158" t="n"/>
      <c r="J49" s="158" t="n"/>
    </row>
    <row r="50" ht="25.5" customFormat="1" customHeight="1" s="1">
      <c r="A50" s="149" t="n">
        <v>22</v>
      </c>
      <c r="B50" s="55" t="inlineStr">
        <is>
          <t>05.1.05.14-0005</t>
        </is>
      </c>
      <c r="C50" s="148" t="inlineStr">
        <is>
          <t>Фундаменты под опоры ВЛ Ф2-А (бетон B30, расход арматуры 231 кг)</t>
        </is>
      </c>
      <c r="D50" s="149" t="inlineStr">
        <is>
          <t>м3</t>
        </is>
      </c>
      <c r="E50" s="102" t="n">
        <v>14.4</v>
      </c>
      <c r="F50" s="166" t="n">
        <v>3183.27</v>
      </c>
      <c r="G50" s="11">
        <f>ROUND(E50*F50,2)</f>
        <v/>
      </c>
      <c r="H50" s="158">
        <f>G50/$G$81</f>
        <v/>
      </c>
      <c r="I50" s="11">
        <f>ROUND(F50*Прил.10!$D$12,2)</f>
        <v/>
      </c>
      <c r="J50" s="11">
        <f>ROUND(I50*E50,2)</f>
        <v/>
      </c>
    </row>
    <row r="51" ht="25.5" customFormat="1" customHeight="1" s="1">
      <c r="A51" s="149" t="n">
        <v>23</v>
      </c>
      <c r="B51" s="55" t="inlineStr">
        <is>
          <t>21.1.06.10-0411</t>
        </is>
      </c>
      <c r="C51" s="148" t="inlineStr">
        <is>
          <t>Кабель силовой с медными жилами ВВГнг(A)-LS 5х16мк(N, РЕ)-1000</t>
        </is>
      </c>
      <c r="D51" s="149" t="inlineStr">
        <is>
          <t>1000 м</t>
        </is>
      </c>
      <c r="E51" s="102" t="n">
        <v>0.132</v>
      </c>
      <c r="F51" s="166" t="n">
        <v>98440.41</v>
      </c>
      <c r="G51" s="11">
        <f>ROUND(E51*F51,2)</f>
        <v/>
      </c>
      <c r="H51" s="158">
        <f>G51/$G$81</f>
        <v/>
      </c>
      <c r="I51" s="11">
        <f>ROUND(F51*Прил.10!$D$12,2)</f>
        <v/>
      </c>
      <c r="J51" s="11">
        <f>ROUND(I51*E51,2)</f>
        <v/>
      </c>
    </row>
    <row r="52" ht="14.25" customFormat="1" customHeight="1" s="1">
      <c r="A52" s="149" t="n">
        <v>24</v>
      </c>
      <c r="B52" s="55" t="inlineStr">
        <is>
          <t>21.1.08.03-0574</t>
        </is>
      </c>
      <c r="C52" s="148" t="inlineStr">
        <is>
          <t>Кабель контрольный КВВГЭнг(А)-LS 4x2,5</t>
        </is>
      </c>
      <c r="D52" s="149" t="inlineStr">
        <is>
          <t>1000 м</t>
        </is>
      </c>
      <c r="E52" s="102" t="n">
        <v>0.216</v>
      </c>
      <c r="F52" s="166" t="n">
        <v>38348.22</v>
      </c>
      <c r="G52" s="11">
        <f>ROUND(E52*F52,2)</f>
        <v/>
      </c>
      <c r="H52" s="158">
        <f>G52/$G$81</f>
        <v/>
      </c>
      <c r="I52" s="11">
        <f>ROUND(F52*Прил.10!$D$12,2)</f>
        <v/>
      </c>
      <c r="J52" s="11">
        <f>ROUND(I52*E52,2)</f>
        <v/>
      </c>
    </row>
    <row r="53" ht="25.5" customFormat="1" customHeight="1" s="1">
      <c r="A53" s="149" t="n">
        <v>25</v>
      </c>
      <c r="B53" s="55" t="inlineStr">
        <is>
          <t>02.2.05.04-1567</t>
        </is>
      </c>
      <c r="C53" s="148" t="inlineStr">
        <is>
          <t>Щебень М 400, фракция 5(3)-10 мм, группа 2</t>
        </is>
      </c>
      <c r="D53" s="149" t="inlineStr">
        <is>
          <t>м3</t>
        </is>
      </c>
      <c r="E53" s="102" t="n">
        <v>21.372</v>
      </c>
      <c r="F53" s="166" t="n">
        <v>131.08</v>
      </c>
      <c r="G53" s="11">
        <f>ROUND(E53*F53,2)</f>
        <v/>
      </c>
      <c r="H53" s="158">
        <f>G53/$G$81</f>
        <v/>
      </c>
      <c r="I53" s="11">
        <f>ROUND(F53*Прил.10!$D$12,2)</f>
        <v/>
      </c>
      <c r="J53" s="11">
        <f>ROUND(I53*E53,2)</f>
        <v/>
      </c>
    </row>
    <row r="54" ht="25.5" customFormat="1" customHeight="1" s="1">
      <c r="A54" s="149" t="n">
        <v>26</v>
      </c>
      <c r="B54" s="55" t="inlineStr">
        <is>
          <t>21.2.01.02-0091</t>
        </is>
      </c>
      <c r="C54" s="148" t="inlineStr">
        <is>
          <t>Провод неизолированный для воздушных линий электропередачи АС 185/24</t>
        </is>
      </c>
      <c r="D54" s="149" t="inlineStr">
        <is>
          <t>т</t>
        </is>
      </c>
      <c r="E54" s="102" t="n">
        <v>0.08459999999999999</v>
      </c>
      <c r="F54" s="166" t="n">
        <v>33046.39</v>
      </c>
      <c r="G54" s="11">
        <f>ROUND(E54*F54,2)</f>
        <v/>
      </c>
      <c r="H54" s="158">
        <f>G54/$G$81</f>
        <v/>
      </c>
      <c r="I54" s="11">
        <f>ROUND(F54*Прил.10!$D$12,2)</f>
        <v/>
      </c>
      <c r="J54" s="11">
        <f>ROUND(I54*E54,2)</f>
        <v/>
      </c>
    </row>
    <row r="55" ht="14.25" customFormat="1" customHeight="1" s="1">
      <c r="A55" s="149" t="n"/>
      <c r="B55" s="149" t="n"/>
      <c r="C55" s="148" t="inlineStr">
        <is>
          <t>Итого основные материалы</t>
        </is>
      </c>
      <c r="D55" s="149" t="n"/>
      <c r="E55" s="102" t="n"/>
      <c r="F55" s="151" t="n"/>
      <c r="G55" s="11">
        <f>SUM(G50:G54)</f>
        <v/>
      </c>
      <c r="H55" s="158">
        <f>G55/$G$81</f>
        <v/>
      </c>
      <c r="I55" s="11" t="n"/>
      <c r="J55" s="11">
        <f>SUM(J50:J54)</f>
        <v/>
      </c>
      <c r="K55" s="54" t="n"/>
    </row>
    <row r="56" outlineLevel="1" ht="25.5" customFormat="1" customHeight="1" s="1">
      <c r="A56" s="149" t="n">
        <v>27</v>
      </c>
      <c r="B56" s="55" t="inlineStr">
        <is>
          <t>01.2.03.07-0001</t>
        </is>
      </c>
      <c r="C56" s="148" t="inlineStr">
        <is>
          <t>Композиция полимерно-битумная Гидроизол</t>
        </is>
      </c>
      <c r="D56" s="149" t="inlineStr">
        <is>
          <t>л</t>
        </is>
      </c>
      <c r="E56" s="102" t="n">
        <v>52.08</v>
      </c>
      <c r="F56" s="166" t="n">
        <v>42.83</v>
      </c>
      <c r="G56" s="11">
        <f>ROUND(F56*E56,2)</f>
        <v/>
      </c>
      <c r="H56" s="158">
        <f>G56/$G$81</f>
        <v/>
      </c>
      <c r="I56" s="11">
        <f>ROUND(F56*Прил.10!$D$12,2)</f>
        <v/>
      </c>
      <c r="J56" s="11">
        <f>ROUND(I56*E56,2)</f>
        <v/>
      </c>
    </row>
    <row r="57" outlineLevel="1" ht="25.5" customFormat="1" customHeight="1" s="1">
      <c r="A57" s="149" t="n">
        <v>28</v>
      </c>
      <c r="B57" s="55" t="inlineStr">
        <is>
          <t>05.1.01.10-0131</t>
        </is>
      </c>
      <c r="C57" s="148" t="inlineStr">
        <is>
          <t>Лотки каналов и тоннелей железобетонные для прокладки коммуникаций</t>
        </is>
      </c>
      <c r="D57" s="149" t="inlineStr">
        <is>
          <t>м3</t>
        </is>
      </c>
      <c r="E57" s="102" t="n">
        <v>1.12</v>
      </c>
      <c r="F57" s="166" t="n">
        <v>1837.28</v>
      </c>
      <c r="G57" s="11">
        <f>ROUND(F57*E57,2)</f>
        <v/>
      </c>
      <c r="H57" s="158">
        <f>G57/$G$81</f>
        <v/>
      </c>
      <c r="I57" s="11">
        <f>ROUND(F57*Прил.10!$D$12,2)</f>
        <v/>
      </c>
      <c r="J57" s="11">
        <f>ROUND(I57*E57,2)</f>
        <v/>
      </c>
    </row>
    <row r="58" outlineLevel="1" ht="25.5" customFormat="1" customHeight="1" s="1">
      <c r="A58" s="149" t="n">
        <v>29</v>
      </c>
      <c r="B58" s="55" t="inlineStr">
        <is>
          <t>20.1.01.02-0067</t>
        </is>
      </c>
      <c r="C58" s="148" t="inlineStr">
        <is>
          <t>Зажим аппаратный прессуемый: А4А-400-2</t>
        </is>
      </c>
      <c r="D58" s="149" t="inlineStr">
        <is>
          <t>100 шт.</t>
        </is>
      </c>
      <c r="E58" s="102" t="n">
        <v>0.24</v>
      </c>
      <c r="F58" s="166" t="n">
        <v>6505</v>
      </c>
      <c r="G58" s="11">
        <f>ROUND(F58*E58,2)</f>
        <v/>
      </c>
      <c r="H58" s="158">
        <f>G58/$G$81</f>
        <v/>
      </c>
      <c r="I58" s="11">
        <f>ROUND(F58*Прил.10!$D$12,2)</f>
        <v/>
      </c>
      <c r="J58" s="11">
        <f>ROUND(I58*E58,2)</f>
        <v/>
      </c>
    </row>
    <row r="59" outlineLevel="1" ht="25.5" customFormat="1" customHeight="1" s="1">
      <c r="A59" s="149" t="n">
        <v>30</v>
      </c>
      <c r="B59" s="55" t="inlineStr">
        <is>
          <t>20.2.10.03-0002</t>
        </is>
      </c>
      <c r="C59" s="148" t="inlineStr">
        <is>
          <t>Наконечники кабельные медные для электротехнических установок</t>
        </is>
      </c>
      <c r="D59" s="149" t="inlineStr">
        <is>
          <t>100 шт.</t>
        </is>
      </c>
      <c r="E59" s="102" t="n">
        <v>0.1632</v>
      </c>
      <c r="F59" s="166" t="n">
        <v>3986</v>
      </c>
      <c r="G59" s="11">
        <f>ROUND(F59*E59,2)</f>
        <v/>
      </c>
      <c r="H59" s="158">
        <f>G59/$G$81</f>
        <v/>
      </c>
      <c r="I59" s="11">
        <f>ROUND(F59*Прил.10!$D$12,2)</f>
        <v/>
      </c>
      <c r="J59" s="11">
        <f>ROUND(I59*E59,2)</f>
        <v/>
      </c>
    </row>
    <row r="60" outlineLevel="1" ht="14.25" customFormat="1" customHeight="1" s="1">
      <c r="A60" s="149" t="n">
        <v>31</v>
      </c>
      <c r="B60" s="55" t="inlineStr">
        <is>
          <t>14.2.01.05-0003</t>
        </is>
      </c>
      <c r="C60" s="148" t="inlineStr">
        <is>
          <t xml:space="preserve">Композиция цинконаполненная </t>
        </is>
      </c>
      <c r="D60" s="149" t="inlineStr">
        <is>
          <t>кг</t>
        </is>
      </c>
      <c r="E60" s="102" t="n">
        <v>5.538</v>
      </c>
      <c r="F60" s="166" t="n">
        <v>114.42</v>
      </c>
      <c r="G60" s="11">
        <f>ROUND(F60*E60,2)</f>
        <v/>
      </c>
      <c r="H60" s="158">
        <f>G60/$G$81</f>
        <v/>
      </c>
      <c r="I60" s="11">
        <f>ROUND(F60*Прил.10!$D$12,2)</f>
        <v/>
      </c>
      <c r="J60" s="11">
        <f>ROUND(I60*E60,2)</f>
        <v/>
      </c>
    </row>
    <row r="61" outlineLevel="1" ht="14.25" customFormat="1" customHeight="1" s="1">
      <c r="A61" s="149" t="n">
        <v>32</v>
      </c>
      <c r="B61" s="55" t="inlineStr">
        <is>
          <t>01.2.03.03-0013</t>
        </is>
      </c>
      <c r="C61" s="148" t="inlineStr">
        <is>
          <t>Мастика битумная кровельная горячая</t>
        </is>
      </c>
      <c r="D61" s="149" t="inlineStr">
        <is>
          <t>т</t>
        </is>
      </c>
      <c r="E61" s="102" t="n">
        <v>0.17856</v>
      </c>
      <c r="F61" s="166" t="n">
        <v>3390</v>
      </c>
      <c r="G61" s="11">
        <f>ROUND(F61*E61,2)</f>
        <v/>
      </c>
      <c r="H61" s="158">
        <f>G61/$G$81</f>
        <v/>
      </c>
      <c r="I61" s="11">
        <f>ROUND(F61*Прил.10!$D$12,2)</f>
        <v/>
      </c>
      <c r="J61" s="11">
        <f>ROUND(I61*E61,2)</f>
        <v/>
      </c>
    </row>
    <row r="62" outlineLevel="1" ht="25.5" customFormat="1" customHeight="1" s="1">
      <c r="A62" s="149" t="n">
        <v>33</v>
      </c>
      <c r="B62" s="55" t="inlineStr">
        <is>
          <t>02.2.05.04-1777</t>
        </is>
      </c>
      <c r="C62" s="148" t="inlineStr">
        <is>
          <t>Щебень М 800, фракция 20-40 мм, группа 2</t>
        </is>
      </c>
      <c r="D62" s="149" t="inlineStr">
        <is>
          <t>м3</t>
        </is>
      </c>
      <c r="E62" s="102" t="n">
        <v>4.8</v>
      </c>
      <c r="F62" s="166" t="n">
        <v>108.4</v>
      </c>
      <c r="G62" s="11">
        <f>ROUND(F62*E62,2)</f>
        <v/>
      </c>
      <c r="H62" s="158">
        <f>G62/$G$81</f>
        <v/>
      </c>
      <c r="I62" s="11">
        <f>ROUND(F62*Прил.10!$D$12,2)</f>
        <v/>
      </c>
      <c r="J62" s="11">
        <f>ROUND(I62*E62,2)</f>
        <v/>
      </c>
    </row>
    <row r="63" outlineLevel="1" ht="14.25" customFormat="1" customHeight="1" s="1">
      <c r="A63" s="149" t="n">
        <v>34</v>
      </c>
      <c r="B63" s="55" t="inlineStr">
        <is>
          <t>01.7.11.07-0032</t>
        </is>
      </c>
      <c r="C63" s="148" t="inlineStr">
        <is>
          <t>Электроды диаметром 4 мм Э42</t>
        </is>
      </c>
      <c r="D63" s="149" t="inlineStr">
        <is>
          <t>т</t>
        </is>
      </c>
      <c r="E63" s="102" t="n">
        <v>0.0275</v>
      </c>
      <c r="F63" s="166" t="n">
        <v>10315.01</v>
      </c>
      <c r="G63" s="11">
        <f>ROUND(F63*E63,2)</f>
        <v/>
      </c>
      <c r="H63" s="158">
        <f>G63/$G$81</f>
        <v/>
      </c>
      <c r="I63" s="11">
        <f>ROUND(F63*Прил.10!$D$12,2)</f>
        <v/>
      </c>
      <c r="J63" s="11">
        <f>ROUND(I63*E63,2)</f>
        <v/>
      </c>
    </row>
    <row r="64" outlineLevel="1" ht="14.25" customFormat="1" customHeight="1" s="1">
      <c r="A64" s="149" t="n">
        <v>35</v>
      </c>
      <c r="B64" s="55" t="inlineStr">
        <is>
          <t>01.7.11.07-0034</t>
        </is>
      </c>
      <c r="C64" s="148" t="inlineStr">
        <is>
          <t>Электроды диаметром 4 мм Э42А</t>
        </is>
      </c>
      <c r="D64" s="149" t="inlineStr">
        <is>
          <t>кг</t>
        </is>
      </c>
      <c r="E64" s="149" t="n">
        <v>24</v>
      </c>
      <c r="F64" s="166" t="n">
        <v>10.57</v>
      </c>
      <c r="G64" s="11">
        <f>ROUND(F64*E64,2)</f>
        <v/>
      </c>
      <c r="H64" s="158">
        <f>G64/$G$81</f>
        <v/>
      </c>
      <c r="I64" s="11">
        <f>ROUND(F64*Прил.10!$D$12,2)</f>
        <v/>
      </c>
      <c r="J64" s="11">
        <f>ROUND(I64*E64,2)</f>
        <v/>
      </c>
    </row>
    <row r="65" outlineLevel="1" ht="14.25" customFormat="1" customHeight="1" s="1">
      <c r="A65" s="149" t="n">
        <v>36</v>
      </c>
      <c r="B65" s="55" t="inlineStr">
        <is>
          <t>14.4.02.09-0001</t>
        </is>
      </c>
      <c r="C65" s="148" t="inlineStr">
        <is>
          <t>Краска</t>
        </is>
      </c>
      <c r="D65" s="149" t="inlineStr">
        <is>
          <t>кг</t>
        </is>
      </c>
      <c r="E65" s="102" t="n">
        <v>7.6</v>
      </c>
      <c r="F65" s="166" t="n">
        <v>28.6</v>
      </c>
      <c r="G65" s="11">
        <f>ROUND(F65*E65,2)</f>
        <v/>
      </c>
      <c r="H65" s="158">
        <f>G65/$G$81</f>
        <v/>
      </c>
      <c r="I65" s="11">
        <f>ROUND(F65*Прил.10!$D$12,2)</f>
        <v/>
      </c>
      <c r="J65" s="11">
        <f>ROUND(I65*E65,2)</f>
        <v/>
      </c>
    </row>
    <row r="66" outlineLevel="1" ht="38.25" customFormat="1" customHeight="1" s="1">
      <c r="A66" s="149" t="n">
        <v>37</v>
      </c>
      <c r="B66" s="55" t="inlineStr">
        <is>
          <t>08.3.07.01-0076</t>
        </is>
      </c>
      <c r="C66" s="148" t="inlineStr">
        <is>
          <t>Прокат полосовой, горячекатаный, марка стали Ст3сп, ширина 50-200 мм, толщина 4-5 мм</t>
        </is>
      </c>
      <c r="D66" s="149" t="inlineStr">
        <is>
          <t>т</t>
        </is>
      </c>
      <c r="E66" s="149" t="n">
        <v>0.04</v>
      </c>
      <c r="F66" s="166" t="n">
        <v>5000</v>
      </c>
      <c r="G66" s="11">
        <f>ROUND(F66*E66,2)</f>
        <v/>
      </c>
      <c r="H66" s="158">
        <f>G66/$G$81</f>
        <v/>
      </c>
      <c r="I66" s="11">
        <f>ROUND(F66*Прил.10!$D$12,2)</f>
        <v/>
      </c>
      <c r="J66" s="11">
        <f>ROUND(I66*E66,2)</f>
        <v/>
      </c>
    </row>
    <row r="67" outlineLevel="1" ht="25.5" customFormat="1" customHeight="1" s="1">
      <c r="A67" s="149" t="n">
        <v>38</v>
      </c>
      <c r="B67" s="55" t="inlineStr">
        <is>
          <t>01.3.01.06-0050</t>
        </is>
      </c>
      <c r="C67" s="148" t="inlineStr">
        <is>
          <t>Смазка универсальная тугоплавкая УТ (консталин жировой)</t>
        </is>
      </c>
      <c r="D67" s="149" t="inlineStr">
        <is>
          <t>т</t>
        </is>
      </c>
      <c r="E67" s="102" t="n">
        <v>0.008</v>
      </c>
      <c r="F67" s="166" t="n">
        <v>17500</v>
      </c>
      <c r="G67" s="11">
        <f>ROUND(F67*E67,2)</f>
        <v/>
      </c>
      <c r="H67" s="158">
        <f>G67/$G$81</f>
        <v/>
      </c>
      <c r="I67" s="11">
        <f>ROUND(F67*Прил.10!$D$12,2)</f>
        <v/>
      </c>
      <c r="J67" s="11">
        <f>ROUND(I67*E67,2)</f>
        <v/>
      </c>
    </row>
    <row r="68" outlineLevel="1" ht="14.25" customFormat="1" customHeight="1" s="1">
      <c r="A68" s="149" t="n">
        <v>39</v>
      </c>
      <c r="B68" s="55" t="inlineStr">
        <is>
          <t>01.7.15.03-0042</t>
        </is>
      </c>
      <c r="C68" s="148" t="inlineStr">
        <is>
          <t>Болты с гайками и шайбами строительные</t>
        </is>
      </c>
      <c r="D68" s="149" t="inlineStr">
        <is>
          <t>кг</t>
        </is>
      </c>
      <c r="E68" s="149" t="n">
        <v>12.96</v>
      </c>
      <c r="F68" s="166" t="n">
        <v>9.039999999999999</v>
      </c>
      <c r="G68" s="11">
        <f>ROUND(F68*E68,2)</f>
        <v/>
      </c>
      <c r="H68" s="158">
        <f>G68/$G$81</f>
        <v/>
      </c>
      <c r="I68" s="11">
        <f>ROUND(F68*Прил.10!$D$12,2)</f>
        <v/>
      </c>
      <c r="J68" s="11">
        <f>ROUND(I68*E68,2)</f>
        <v/>
      </c>
    </row>
    <row r="69" outlineLevel="1" ht="25.5" customFormat="1" customHeight="1" s="1">
      <c r="A69" s="149" t="n">
        <v>40</v>
      </c>
      <c r="B69" s="55" t="inlineStr">
        <is>
          <t>999-9950</t>
        </is>
      </c>
      <c r="C69" s="148" t="inlineStr">
        <is>
          <t>Вспомогательные ненормируемые материалы</t>
        </is>
      </c>
      <c r="D69" s="149" t="inlineStr">
        <is>
          <t>руб</t>
        </is>
      </c>
      <c r="E69" s="149" t="n">
        <v>84.68000000000001</v>
      </c>
      <c r="F69" s="166" t="n">
        <v>1</v>
      </c>
      <c r="G69" s="11">
        <f>ROUND(F69*E69,2)</f>
        <v/>
      </c>
      <c r="H69" s="158">
        <f>G69/$G$81</f>
        <v/>
      </c>
      <c r="I69" s="11">
        <f>ROUND(F69*Прил.10!$D$12,2)</f>
        <v/>
      </c>
      <c r="J69" s="11">
        <f>ROUND(I69*E69,2)</f>
        <v/>
      </c>
    </row>
    <row r="70" outlineLevel="1" ht="25.5" customFormat="1" customHeight="1" s="1">
      <c r="A70" s="149" t="n">
        <v>41</v>
      </c>
      <c r="B70" s="55" t="inlineStr">
        <is>
          <t>14.2.01.05-0001</t>
        </is>
      </c>
      <c r="C70" s="148" t="inlineStr">
        <is>
          <t>Композиция на основе термопластичных полимеров</t>
        </is>
      </c>
      <c r="D70" s="149" t="inlineStr">
        <is>
          <t>кг</t>
        </is>
      </c>
      <c r="E70" s="102" t="n">
        <v>1.349</v>
      </c>
      <c r="F70" s="166" t="n">
        <v>54.99</v>
      </c>
      <c r="G70" s="11">
        <f>ROUND(F70*E70,2)</f>
        <v/>
      </c>
      <c r="H70" s="158">
        <f>G70/$G$81</f>
        <v/>
      </c>
      <c r="I70" s="11">
        <f>ROUND(F70*Прил.10!$D$12,2)</f>
        <v/>
      </c>
      <c r="J70" s="11">
        <f>ROUND(I70*E70,2)</f>
        <v/>
      </c>
    </row>
    <row r="71" outlineLevel="1" ht="14.25" customFormat="1" customHeight="1" s="1">
      <c r="A71" s="149" t="n">
        <v>42</v>
      </c>
      <c r="B71" s="55" t="inlineStr">
        <is>
          <t>01.7.20.08-0031</t>
        </is>
      </c>
      <c r="C71" s="148" t="inlineStr">
        <is>
          <t xml:space="preserve">Бязь суровая </t>
        </is>
      </c>
      <c r="D71" s="149" t="inlineStr">
        <is>
          <t>10 м2</t>
        </is>
      </c>
      <c r="E71" s="149" t="n">
        <v>0.6</v>
      </c>
      <c r="F71" s="166" t="n">
        <v>79.09999999999999</v>
      </c>
      <c r="G71" s="11">
        <f>ROUND(F71*E71,2)</f>
        <v/>
      </c>
      <c r="H71" s="158">
        <f>G71/$G$81</f>
        <v/>
      </c>
      <c r="I71" s="11">
        <f>ROUND(F71*Прил.10!$D$12,2)</f>
        <v/>
      </c>
      <c r="J71" s="11">
        <f>ROUND(I71*E71,2)</f>
        <v/>
      </c>
    </row>
    <row r="72" outlineLevel="1" ht="25.5" customFormat="1" customHeight="1" s="1">
      <c r="A72" s="149" t="n">
        <v>43</v>
      </c>
      <c r="B72" s="55" t="inlineStr">
        <is>
          <t>01.3.01.03-0002</t>
        </is>
      </c>
      <c r="C72" s="148" t="inlineStr">
        <is>
          <t>Керосин для технических целей марок КТ-1, КТ-2</t>
        </is>
      </c>
      <c r="D72" s="149" t="inlineStr">
        <is>
          <t>т</t>
        </is>
      </c>
      <c r="E72" s="102" t="n">
        <v>0.017856</v>
      </c>
      <c r="F72" s="166" t="n">
        <v>2606.9</v>
      </c>
      <c r="G72" s="11">
        <f>ROUND(F72*E72,2)</f>
        <v/>
      </c>
      <c r="H72" s="158">
        <f>G72/$G$81</f>
        <v/>
      </c>
      <c r="I72" s="11">
        <f>ROUND(F72*Прил.10!$D$12,2)</f>
        <v/>
      </c>
      <c r="J72" s="11">
        <f>ROUND(I72*E72,2)</f>
        <v/>
      </c>
    </row>
    <row r="73" outlineLevel="1" ht="14.25" customFormat="1" customHeight="1" s="1">
      <c r="A73" s="149" t="n">
        <v>44</v>
      </c>
      <c r="B73" s="55" t="inlineStr">
        <is>
          <t>20.1.02.23-0082</t>
        </is>
      </c>
      <c r="C73" s="148" t="inlineStr">
        <is>
          <t>Перемычки гибкие, тип ПГС-50</t>
        </is>
      </c>
      <c r="D73" s="149" t="inlineStr">
        <is>
          <t>10 шт.</t>
        </is>
      </c>
      <c r="E73" s="102" t="n">
        <v>0.8</v>
      </c>
      <c r="F73" s="166" t="n">
        <v>39</v>
      </c>
      <c r="G73" s="11">
        <f>ROUND(F73*E73,2)</f>
        <v/>
      </c>
      <c r="H73" s="158">
        <f>G73/$G$81</f>
        <v/>
      </c>
      <c r="I73" s="11">
        <f>ROUND(F73*Прил.10!$D$12,2)</f>
        <v/>
      </c>
      <c r="J73" s="11">
        <f>ROUND(I73*E73,2)</f>
        <v/>
      </c>
    </row>
    <row r="74" outlineLevel="1" ht="14.25" customFormat="1" customHeight="1" s="1">
      <c r="A74" s="149" t="n">
        <v>45</v>
      </c>
      <c r="B74" s="55" t="inlineStr">
        <is>
          <t>01.7.03.01-0001</t>
        </is>
      </c>
      <c r="C74" s="148" t="inlineStr">
        <is>
          <t>Вода</t>
        </is>
      </c>
      <c r="D74" s="149" t="inlineStr">
        <is>
          <t>м3</t>
        </is>
      </c>
      <c r="E74" s="102" t="n">
        <v>2.466</v>
      </c>
      <c r="F74" s="166" t="n">
        <v>2.44</v>
      </c>
      <c r="G74" s="11">
        <f>ROUND(F74*E74,2)</f>
        <v/>
      </c>
      <c r="H74" s="158">
        <f>G74/$G$81</f>
        <v/>
      </c>
      <c r="I74" s="11">
        <f>ROUND(F74*Прил.10!$D$12,2)</f>
        <v/>
      </c>
      <c r="J74" s="11">
        <f>ROUND(I74*E74,2)</f>
        <v/>
      </c>
    </row>
    <row r="75" outlineLevel="1" ht="14.25" customFormat="1" customHeight="1" s="1">
      <c r="A75" s="149" t="n">
        <v>46</v>
      </c>
      <c r="B75" s="55" t="inlineStr">
        <is>
          <t>24.3.01.01-0001</t>
        </is>
      </c>
      <c r="C75" s="148" t="inlineStr">
        <is>
          <t>Трубка поливинилхлоридная ХВТ</t>
        </is>
      </c>
      <c r="D75" s="149" t="inlineStr">
        <is>
          <t>кг</t>
        </is>
      </c>
      <c r="E75" s="102" t="n">
        <v>0.128</v>
      </c>
      <c r="F75" s="166" t="n">
        <v>41.7</v>
      </c>
      <c r="G75" s="11">
        <f>ROUND(F75*E75,2)</f>
        <v/>
      </c>
      <c r="H75" s="158">
        <f>G75/$G$81</f>
        <v/>
      </c>
      <c r="I75" s="11">
        <f>ROUND(F75*Прил.10!$D$12,2)</f>
        <v/>
      </c>
      <c r="J75" s="11">
        <f>ROUND(I75*E75,2)</f>
        <v/>
      </c>
    </row>
    <row r="76" outlineLevel="1" ht="14.25" customFormat="1" customHeight="1" s="1">
      <c r="A76" s="149" t="n">
        <v>47</v>
      </c>
      <c r="B76" s="55" t="inlineStr">
        <is>
          <t>01.7.06.07-0001</t>
        </is>
      </c>
      <c r="C76" s="148" t="inlineStr">
        <is>
          <t>Лента К226</t>
        </is>
      </c>
      <c r="D76" s="149" t="inlineStr">
        <is>
          <t>100 м</t>
        </is>
      </c>
      <c r="E76" s="102" t="n">
        <v>0.0384</v>
      </c>
      <c r="F76" s="166" t="n">
        <v>120</v>
      </c>
      <c r="G76" s="11">
        <f>ROUND(F76*E76,2)</f>
        <v/>
      </c>
      <c r="H76" s="158">
        <f>G76/$G$81</f>
        <v/>
      </c>
      <c r="I76" s="11">
        <f>ROUND(F76*Прил.10!$D$12,2)</f>
        <v/>
      </c>
      <c r="J76" s="11">
        <f>ROUND(I76*E76,2)</f>
        <v/>
      </c>
    </row>
    <row r="77" outlineLevel="1" ht="14.25" customFormat="1" customHeight="1" s="1">
      <c r="A77" s="149" t="n">
        <v>48</v>
      </c>
      <c r="B77" s="55" t="inlineStr">
        <is>
          <t>14.5.09.02-0002</t>
        </is>
      </c>
      <c r="C77" s="148" t="inlineStr">
        <is>
          <t>Ксилол нефтяной марки А</t>
        </is>
      </c>
      <c r="D77" s="149" t="inlineStr">
        <is>
          <t>т</t>
        </is>
      </c>
      <c r="E77" s="102" t="n">
        <v>0.0002343</v>
      </c>
      <c r="F77" s="166" t="n">
        <v>7640</v>
      </c>
      <c r="G77" s="11">
        <f>ROUND(F77*E77,2)</f>
        <v/>
      </c>
      <c r="H77" s="158">
        <f>G77/$G$81</f>
        <v/>
      </c>
      <c r="I77" s="11">
        <f>ROUND(F77*Прил.10!$D$12,2)</f>
        <v/>
      </c>
      <c r="J77" s="11">
        <f>ROUND(I77*E77,2)</f>
        <v/>
      </c>
    </row>
    <row r="78" outlineLevel="1" ht="25.5" customFormat="1" customHeight="1" s="1">
      <c r="A78" s="149" t="n">
        <v>49</v>
      </c>
      <c r="B78" s="55" t="inlineStr">
        <is>
          <t>02.2.05.04-1777</t>
        </is>
      </c>
      <c r="C78" s="148" t="inlineStr">
        <is>
          <t>Щебень М 800, фракция 20-40 мм, группа 2</t>
        </is>
      </c>
      <c r="D78" s="149" t="inlineStr">
        <is>
          <t>м3</t>
        </is>
      </c>
      <c r="E78" s="102" t="n">
        <v>0.00144</v>
      </c>
      <c r="F78" s="166" t="n">
        <v>108.4</v>
      </c>
      <c r="G78" s="11">
        <f>ROUND(F78*E78,2)</f>
        <v/>
      </c>
      <c r="H78" s="158">
        <f>G78/$G$81</f>
        <v/>
      </c>
      <c r="I78" s="11">
        <f>ROUND(F78*Прил.10!$D$12,2)</f>
        <v/>
      </c>
      <c r="J78" s="11">
        <f>ROUND(I78*E78,2)</f>
        <v/>
      </c>
    </row>
    <row r="79" outlineLevel="1" ht="14.25" customFormat="1" customHeight="1" s="1">
      <c r="A79" s="149" t="n">
        <v>50</v>
      </c>
      <c r="B79" s="55" t="inlineStr">
        <is>
          <t>01.7.20.08-0051</t>
        </is>
      </c>
      <c r="C79" s="148" t="inlineStr">
        <is>
          <t>Ветошь</t>
        </is>
      </c>
      <c r="D79" s="149" t="inlineStr">
        <is>
          <t>кг</t>
        </is>
      </c>
      <c r="E79" s="102" t="n">
        <v>0.07439999999999999</v>
      </c>
      <c r="F79" s="166" t="n">
        <v>1.82</v>
      </c>
      <c r="G79" s="11">
        <f>ROUND(F79*E79,2)</f>
        <v/>
      </c>
      <c r="H79" s="158">
        <f>G79/$G$81</f>
        <v/>
      </c>
      <c r="I79" s="11">
        <f>ROUND(F79*Прил.10!$D$12,2)</f>
        <v/>
      </c>
      <c r="J79" s="11">
        <f>ROUND(I79*E79,2)</f>
        <v/>
      </c>
    </row>
    <row r="80" ht="14.25" customFormat="1" customHeight="1" s="1">
      <c r="A80" s="149" t="n"/>
      <c r="B80" s="149" t="n"/>
      <c r="C80" s="148" t="inlineStr">
        <is>
          <t>Итого прочие материалы</t>
        </is>
      </c>
      <c r="D80" s="149" t="n"/>
      <c r="E80" s="150" t="n"/>
      <c r="F80" s="151" t="n"/>
      <c r="G80" s="11">
        <f>SUM(G56:G79)</f>
        <v/>
      </c>
      <c r="H80" s="158">
        <f>G80/G81</f>
        <v/>
      </c>
      <c r="I80" s="11" t="n"/>
      <c r="J80" s="11">
        <f>SUM(J56:J79)</f>
        <v/>
      </c>
    </row>
    <row r="81" ht="14.25" customFormat="1" customHeight="1" s="1">
      <c r="A81" s="149" t="n"/>
      <c r="B81" s="149" t="n"/>
      <c r="C81" s="143" t="inlineStr">
        <is>
          <t>Итого по разделу «Материалы»</t>
        </is>
      </c>
      <c r="D81" s="149" t="n"/>
      <c r="E81" s="150" t="n"/>
      <c r="F81" s="151" t="n"/>
      <c r="G81" s="11">
        <f>G55+G80</f>
        <v/>
      </c>
      <c r="H81" s="158" t="n">
        <v>1</v>
      </c>
      <c r="I81" s="151" t="n"/>
      <c r="J81" s="11">
        <f>J55+J80</f>
        <v/>
      </c>
      <c r="K81" s="54" t="n"/>
    </row>
    <row r="82" ht="14.25" customFormat="1" customHeight="1" s="1">
      <c r="A82" s="149" t="n"/>
      <c r="B82" s="149" t="n"/>
      <c r="C82" s="148" t="inlineStr">
        <is>
          <t>ИТОГО ПО РМ</t>
        </is>
      </c>
      <c r="D82" s="149" t="n"/>
      <c r="E82" s="150" t="n"/>
      <c r="F82" s="151" t="n"/>
      <c r="G82" s="11">
        <f>G14+G37+G81</f>
        <v/>
      </c>
      <c r="H82" s="158" t="n"/>
      <c r="I82" s="151" t="n"/>
      <c r="J82" s="11">
        <f>J14+J37+J81</f>
        <v/>
      </c>
    </row>
    <row r="83" ht="14.25" customFormat="1" customHeight="1" s="1">
      <c r="A83" s="149" t="n"/>
      <c r="B83" s="149" t="n"/>
      <c r="C83" s="148" t="inlineStr">
        <is>
          <t>Накладные расходы</t>
        </is>
      </c>
      <c r="D83" s="149" t="inlineStr">
        <is>
          <t>%</t>
        </is>
      </c>
      <c r="E83" s="109">
        <f>ROUND(G83/(G14+G16),2)</f>
        <v/>
      </c>
      <c r="F83" s="151" t="n"/>
      <c r="G83" s="11" t="n">
        <v>7596.47</v>
      </c>
      <c r="H83" s="158" t="n"/>
      <c r="I83" s="151" t="n"/>
      <c r="J83" s="11">
        <f>ROUND(E83*(J14+J16),2)</f>
        <v/>
      </c>
      <c r="K83" s="56" t="n"/>
    </row>
    <row r="84" ht="14.25" customFormat="1" customHeight="1" s="1">
      <c r="A84" s="149" t="n"/>
      <c r="B84" s="149" t="n"/>
      <c r="C84" s="148" t="inlineStr">
        <is>
          <t>Сметная прибыль</t>
        </is>
      </c>
      <c r="D84" s="149" t="inlineStr">
        <is>
          <t>%</t>
        </is>
      </c>
      <c r="E84" s="109">
        <f>ROUND(G84/(G14+G16),2)</f>
        <v/>
      </c>
      <c r="F84" s="151" t="n"/>
      <c r="G84" s="11" t="n">
        <v>4997.98</v>
      </c>
      <c r="H84" s="158" t="n"/>
      <c r="I84" s="151" t="n"/>
      <c r="J84" s="11">
        <f>ROUND(E84*(J14+J16),2)</f>
        <v/>
      </c>
      <c r="K84" s="56" t="n"/>
    </row>
    <row r="85" ht="14.25" customFormat="1" customHeight="1" s="1">
      <c r="A85" s="149" t="n"/>
      <c r="B85" s="149" t="n"/>
      <c r="C85" s="148" t="inlineStr">
        <is>
          <t>Итого СМР (с НР и СП)</t>
        </is>
      </c>
      <c r="D85" s="149" t="n"/>
      <c r="E85" s="150" t="n"/>
      <c r="F85" s="151" t="n"/>
      <c r="G85" s="11">
        <f>G14+G37+G81+G83+G84</f>
        <v/>
      </c>
      <c r="H85" s="158" t="n"/>
      <c r="I85" s="151" t="n"/>
      <c r="J85" s="11">
        <f>J14+J37+J81+J83+J84</f>
        <v/>
      </c>
      <c r="L85" s="57" t="n"/>
    </row>
    <row r="86" ht="14.25" customFormat="1" customHeight="1" s="1">
      <c r="A86" s="149" t="n"/>
      <c r="B86" s="149" t="n"/>
      <c r="C86" s="148" t="inlineStr">
        <is>
          <t>ВСЕГО СМР + ОБОРУДОВАНИЕ</t>
        </is>
      </c>
      <c r="D86" s="149" t="n"/>
      <c r="E86" s="150" t="n"/>
      <c r="F86" s="151" t="n"/>
      <c r="G86" s="11">
        <f>G85+G46</f>
        <v/>
      </c>
      <c r="H86" s="158" t="n"/>
      <c r="I86" s="151" t="n"/>
      <c r="J86" s="11">
        <f>J85+J46</f>
        <v/>
      </c>
      <c r="L86" s="56" t="n"/>
    </row>
    <row r="87" ht="14.25" customFormat="1" customHeight="1" s="1">
      <c r="A87" s="149" t="n"/>
      <c r="B87" s="149" t="n"/>
      <c r="C87" s="148" t="inlineStr">
        <is>
          <t>ИТОГО ПОКАЗАТЕЛЬ НА ЕД. ИЗМ.</t>
        </is>
      </c>
      <c r="D87" s="149" t="inlineStr">
        <is>
          <t>ед.</t>
        </is>
      </c>
      <c r="E87" s="110">
        <f>'Прил.1 Сравнит табл'!D15</f>
        <v/>
      </c>
      <c r="F87" s="151" t="n"/>
      <c r="G87" s="11">
        <f>G86/E87</f>
        <v/>
      </c>
      <c r="H87" s="158" t="n"/>
      <c r="I87" s="151" t="n"/>
      <c r="J87" s="11">
        <f>J86/E87</f>
        <v/>
      </c>
      <c r="L87" s="56" t="n"/>
    </row>
    <row r="89" ht="14.25" customFormat="1" customHeight="1" s="1">
      <c r="A89" s="9" t="n"/>
    </row>
    <row r="90" ht="14.25" customFormat="1" customHeight="1" s="1">
      <c r="A90" s="6" t="inlineStr">
        <is>
          <t>Составил ______________________        Е. М. Добровольская</t>
        </is>
      </c>
    </row>
    <row r="91" ht="14.25" customFormat="1" customHeight="1" s="1">
      <c r="A91" s="88" t="inlineStr">
        <is>
          <t xml:space="preserve">                         (подпись, инициалы, фамилия)</t>
        </is>
      </c>
    </row>
    <row r="92" ht="14.25" customFormat="1" customHeight="1" s="1">
      <c r="A92" s="6" t="n"/>
    </row>
    <row r="93" ht="14.25" customFormat="1" customHeight="1" s="1">
      <c r="A93" s="6" t="inlineStr">
        <is>
          <t>Проверил ______________________        А.В. Костянецкая</t>
        </is>
      </c>
    </row>
    <row r="94" ht="14.25" customFormat="1" customHeight="1" s="1">
      <c r="A94" s="88" t="inlineStr">
        <is>
          <t xml:space="preserve">                        (подпись, инициалы, фамилия)</t>
        </is>
      </c>
    </row>
  </sheetData>
  <mergeCells count="20">
    <mergeCell ref="H9:H10"/>
    <mergeCell ref="B49:H49"/>
    <mergeCell ref="B15:H15"/>
    <mergeCell ref="B38:J38"/>
    <mergeCell ref="C9:C10"/>
    <mergeCell ref="E9:E10"/>
    <mergeCell ref="A7:H7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A6:C6"/>
    <mergeCell ref="B39:J39"/>
    <mergeCell ref="I9:J9"/>
    <mergeCell ref="B48:J48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16" workbookViewId="0">
      <selection activeCell="D21" sqref="D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8" t="inlineStr">
        <is>
          <t>Приложение №6</t>
        </is>
      </c>
    </row>
    <row r="2" ht="21.75" customHeight="1">
      <c r="A2" s="168" t="n"/>
      <c r="B2" s="168" t="n"/>
      <c r="C2" s="168" t="n"/>
      <c r="D2" s="168" t="n"/>
      <c r="E2" s="168" t="n"/>
      <c r="F2" s="168" t="n"/>
      <c r="G2" s="168" t="n"/>
    </row>
    <row r="3">
      <c r="A3" s="145" t="inlineStr">
        <is>
          <t>Расчет стоимости оборудования</t>
        </is>
      </c>
    </row>
    <row r="4" ht="25.5" customHeight="1">
      <c r="A4" s="167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9" t="inlineStr">
        <is>
          <t>№ пп.</t>
        </is>
      </c>
      <c r="B6" s="169" t="inlineStr">
        <is>
          <t>Код ресурса</t>
        </is>
      </c>
      <c r="C6" s="169" t="inlineStr">
        <is>
          <t>Наименование</t>
        </is>
      </c>
      <c r="D6" s="169" t="inlineStr">
        <is>
          <t>Ед. изм.</t>
        </is>
      </c>
      <c r="E6" s="149" t="inlineStr">
        <is>
          <t>Кол-во единиц по проектным данным</t>
        </is>
      </c>
      <c r="F6" s="169" t="inlineStr">
        <is>
          <t>Сметная стоимость в ценах на 01.01.2000 (руб.)</t>
        </is>
      </c>
      <c r="G6" s="178" t="n"/>
    </row>
    <row r="7">
      <c r="A7" s="180" t="n"/>
      <c r="B7" s="180" t="n"/>
      <c r="C7" s="180" t="n"/>
      <c r="D7" s="180" t="n"/>
      <c r="E7" s="180" t="n"/>
      <c r="F7" s="149" t="inlineStr">
        <is>
          <t>на ед. изм.</t>
        </is>
      </c>
      <c r="G7" s="149" t="inlineStr">
        <is>
          <t>общая</t>
        </is>
      </c>
    </row>
    <row r="8">
      <c r="A8" s="149" t="n">
        <v>1</v>
      </c>
      <c r="B8" s="149" t="n">
        <v>2</v>
      </c>
      <c r="C8" s="149" t="n">
        <v>3</v>
      </c>
      <c r="D8" s="149" t="n">
        <v>4</v>
      </c>
      <c r="E8" s="149" t="n">
        <v>5</v>
      </c>
      <c r="F8" s="149" t="n">
        <v>6</v>
      </c>
      <c r="G8" s="149" t="n">
        <v>7</v>
      </c>
    </row>
    <row r="9" ht="15" customHeight="1">
      <c r="A9" s="7" t="n"/>
      <c r="B9" s="148" t="inlineStr">
        <is>
          <t>ИНЖЕНЕРНОЕ ОБОРУДОВАНИЕ</t>
        </is>
      </c>
      <c r="C9" s="177" t="n"/>
      <c r="D9" s="177" t="n"/>
      <c r="E9" s="177" t="n"/>
      <c r="F9" s="177" t="n"/>
      <c r="G9" s="178" t="n"/>
    </row>
    <row r="10" ht="27" customHeight="1">
      <c r="A10" s="149" t="n"/>
      <c r="B10" s="143" t="n"/>
      <c r="C10" s="148" t="inlineStr">
        <is>
          <t>ИТОГО ИНЖЕНЕРНОЕ ОБОРУДОВАНИЕ</t>
        </is>
      </c>
      <c r="D10" s="143" t="n"/>
      <c r="E10" s="111" t="n"/>
      <c r="F10" s="151" t="n"/>
      <c r="G10" s="151" t="n">
        <v>0</v>
      </c>
    </row>
    <row r="11">
      <c r="A11" s="149" t="n"/>
      <c r="B11" s="148" t="inlineStr">
        <is>
          <t>ТЕХНОЛОГИЧЕСКОЕ ОБОРУДОВАНИЕ</t>
        </is>
      </c>
      <c r="C11" s="177" t="n"/>
      <c r="D11" s="177" t="n"/>
      <c r="E11" s="177" t="n"/>
      <c r="F11" s="177" t="n"/>
      <c r="G11" s="178" t="n"/>
    </row>
    <row r="12" ht="89.25" customHeight="1">
      <c r="A12" s="149" t="n">
        <v>1</v>
      </c>
      <c r="B12" s="129">
        <f>'Прил.5 Расчет СМР и ОБ'!B40</f>
        <v/>
      </c>
      <c r="C12" s="129">
        <f>'Прил.5 Расчет СМР и ОБ'!C40</f>
        <v/>
      </c>
      <c r="D12" s="11">
        <f>'Прил.5 Расчет СМР и ОБ'!D40</f>
        <v/>
      </c>
      <c r="E12" s="11">
        <f>'Прил.5 Расчет СМР и ОБ'!E40</f>
        <v/>
      </c>
      <c r="F12" s="11">
        <f>'Прил.5 Расчет СМР и ОБ'!F40</f>
        <v/>
      </c>
      <c r="G12" s="11">
        <f>ROUND(E12*F12,2)</f>
        <v/>
      </c>
    </row>
    <row r="13" ht="89.25" customHeight="1">
      <c r="A13" s="149">
        <f>A12+1</f>
        <v/>
      </c>
      <c r="B13" s="129">
        <f>'Прил.5 Расчет СМР и ОБ'!B41</f>
        <v/>
      </c>
      <c r="C13" s="129">
        <f>'Прил.5 Расчет СМР и ОБ'!C41</f>
        <v/>
      </c>
      <c r="D13" s="11">
        <f>'Прил.5 Расчет СМР и ОБ'!D41</f>
        <v/>
      </c>
      <c r="E13" s="11">
        <f>'Прил.5 Расчет СМР и ОБ'!E41</f>
        <v/>
      </c>
      <c r="F13" s="11">
        <f>'Прил.5 Расчет СМР и ОБ'!F41</f>
        <v/>
      </c>
      <c r="G13" s="11">
        <f>ROUND(E13*F13,2)</f>
        <v/>
      </c>
    </row>
    <row r="14" ht="89.25" customHeight="1">
      <c r="A14" s="149" t="n">
        <v>3</v>
      </c>
      <c r="B14" s="129">
        <f>'Прил.5 Расчет СМР и ОБ'!B43</f>
        <v/>
      </c>
      <c r="C14" s="129">
        <f>'Прил.5 Расчет СМР и ОБ'!C43</f>
        <v/>
      </c>
      <c r="D14" s="11">
        <f>'Прил.5 Расчет СМР и ОБ'!D43</f>
        <v/>
      </c>
      <c r="E14" s="11">
        <f>'Прил.5 Расчет СМР и ОБ'!E43</f>
        <v/>
      </c>
      <c r="F14" s="11">
        <f>'Прил.5 Расчет СМР и ОБ'!F43</f>
        <v/>
      </c>
      <c r="G14" s="11">
        <f>ROUND(E14*F14,2)</f>
        <v/>
      </c>
    </row>
    <row r="15" ht="25.5" customHeight="1">
      <c r="A15" s="149" t="n">
        <v>4</v>
      </c>
      <c r="B15" s="112" t="n"/>
      <c r="C15" s="112" t="inlineStr">
        <is>
          <t>ИТОГО ТЕХНОЛОГИЧЕСКОЕ ОБОРУДОВАНИЕ</t>
        </is>
      </c>
      <c r="D15" s="112" t="n"/>
      <c r="E15" s="113" t="n"/>
      <c r="F15" s="151" t="n"/>
      <c r="G15" s="11">
        <f>SUM(G12:G14)</f>
        <v/>
      </c>
    </row>
    <row r="16" ht="19.5" customHeight="1">
      <c r="A16" s="149" t="n">
        <v>5</v>
      </c>
      <c r="B16" s="148" t="n"/>
      <c r="C16" s="148" t="inlineStr">
        <is>
          <t>Всего по разделу «Оборудование»</t>
        </is>
      </c>
      <c r="D16" s="148" t="n"/>
      <c r="E16" s="166" t="n"/>
      <c r="F16" s="151" t="n"/>
      <c r="G16" s="11">
        <f>G10+G15</f>
        <v/>
      </c>
    </row>
    <row r="17">
      <c r="A17" s="9" t="n"/>
      <c r="B17" s="10" t="n"/>
      <c r="C17" s="9" t="n"/>
      <c r="D17" s="9" t="n"/>
      <c r="E17" s="9" t="n"/>
      <c r="F17" s="9" t="n"/>
      <c r="G17" s="9" t="n"/>
    </row>
    <row r="18">
      <c r="A18" s="6" t="inlineStr">
        <is>
          <t>Составил ______________________        Е. М. Добровольская</t>
        </is>
      </c>
      <c r="B18" s="1" t="n"/>
      <c r="C18" s="1" t="n"/>
      <c r="D18" s="9" t="n"/>
      <c r="E18" s="9" t="n"/>
      <c r="F18" s="9" t="n"/>
      <c r="G18" s="9" t="n"/>
    </row>
    <row r="19">
      <c r="A19" s="88" t="inlineStr">
        <is>
          <t xml:space="preserve">                         (подпись, инициалы, фамилия)</t>
        </is>
      </c>
      <c r="B19" s="1" t="n"/>
      <c r="C19" s="1" t="n"/>
      <c r="D19" s="9" t="n"/>
      <c r="E19" s="9" t="n"/>
      <c r="F19" s="9" t="n"/>
      <c r="G19" s="9" t="n"/>
    </row>
    <row r="20">
      <c r="A20" s="6" t="n"/>
      <c r="B20" s="1" t="n"/>
      <c r="C20" s="1" t="n"/>
      <c r="D20" s="9" t="n"/>
      <c r="E20" s="9" t="n"/>
      <c r="F20" s="9" t="n"/>
      <c r="G20" s="9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9" t="n"/>
      <c r="E21" s="9" t="n"/>
      <c r="F21" s="9" t="n"/>
      <c r="G21" s="9" t="n"/>
    </row>
    <row r="22">
      <c r="A22" s="88" t="inlineStr">
        <is>
          <t xml:space="preserve">                        (подпись, инициалы, фамилия)</t>
        </is>
      </c>
      <c r="B22" s="1" t="n"/>
      <c r="C22" s="1" t="n"/>
      <c r="D22" s="9" t="n"/>
      <c r="E22" s="9" t="n"/>
      <c r="F22" s="9" t="n"/>
      <c r="G22" s="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tabSelected="1"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6" t="n"/>
      <c r="C1" s="6" t="n"/>
      <c r="D1" s="168" t="inlineStr">
        <is>
          <t>Приложение №7</t>
        </is>
      </c>
    </row>
    <row r="2">
      <c r="A2" s="168" t="n"/>
      <c r="B2" s="168" t="n"/>
      <c r="C2" s="168" t="n"/>
      <c r="D2" s="168" t="n"/>
    </row>
    <row r="3" ht="24.75" customHeight="1">
      <c r="A3" s="145" t="inlineStr">
        <is>
          <t>Расчет показателя УНЦ</t>
        </is>
      </c>
    </row>
    <row r="4" ht="24.75" customHeight="1">
      <c r="A4" s="145" t="n"/>
      <c r="B4" s="145" t="n"/>
      <c r="C4" s="145" t="n"/>
      <c r="D4" s="145" t="n"/>
    </row>
    <row r="5" ht="63" customHeight="1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9.9" customHeight="1">
      <c r="A6" s="170" t="inlineStr">
        <is>
          <t>Единица измерения  — 1 ед</t>
        </is>
      </c>
      <c r="D6" s="170" t="n"/>
    </row>
    <row r="7">
      <c r="A7" s="122" t="n"/>
      <c r="B7" s="122" t="n"/>
      <c r="C7" s="122" t="n"/>
      <c r="D7" s="122" t="n"/>
    </row>
    <row r="8" ht="14.45" customHeight="1">
      <c r="A8" s="171" t="inlineStr">
        <is>
          <t>Код показателя</t>
        </is>
      </c>
      <c r="B8" s="171" t="inlineStr">
        <is>
          <t>Наименование показателя</t>
        </is>
      </c>
      <c r="C8" s="171" t="inlineStr">
        <is>
          <t>Наименование РМ, входящих в состав показателя</t>
        </is>
      </c>
      <c r="D8" s="171" t="inlineStr">
        <is>
          <t>Норматив цены на 01.01.2023, тыс.руб.</t>
        </is>
      </c>
    </row>
    <row r="9" ht="15" customHeight="1">
      <c r="A9" s="180" t="n"/>
      <c r="B9" s="180" t="n"/>
      <c r="C9" s="180" t="n"/>
      <c r="D9" s="180" t="n"/>
    </row>
    <row r="10">
      <c r="A10" s="123" t="n">
        <v>1</v>
      </c>
      <c r="B10" s="123" t="n">
        <v>2</v>
      </c>
      <c r="C10" s="123" t="n">
        <v>3</v>
      </c>
      <c r="D10" s="123" t="n">
        <v>4</v>
      </c>
    </row>
    <row r="11" ht="41.45" customHeight="1">
      <c r="A11" s="123" t="inlineStr">
        <is>
          <t>И5-06-4</t>
        </is>
      </c>
      <c r="B11" s="123" t="inlineStr">
        <is>
          <t xml:space="preserve">УНЦ элементов ПС с устройством фундаментов </t>
        </is>
      </c>
      <c r="C11" s="124">
        <f>D5</f>
        <v/>
      </c>
      <c r="D11" s="125">
        <f>'Прил.4 РМ'!C41/1000</f>
        <v/>
      </c>
      <c r="E11" s="16" t="n"/>
    </row>
    <row r="12">
      <c r="A12" s="126" t="n"/>
      <c r="B12" s="127" t="n"/>
      <c r="C12" s="126" t="n"/>
      <c r="D12" s="126" t="n"/>
    </row>
    <row r="13">
      <c r="A13" s="122" t="inlineStr">
        <is>
          <t>Составил ______________________      Е. М. Добровольская</t>
        </is>
      </c>
      <c r="B13" s="128" t="n"/>
      <c r="C13" s="128" t="n"/>
      <c r="D13" s="126" t="n"/>
    </row>
    <row r="14">
      <c r="A14" s="88" t="inlineStr">
        <is>
          <t xml:space="preserve">                         (подпись, инициалы, фамилия)</t>
        </is>
      </c>
      <c r="B14" s="1" t="n"/>
      <c r="C14" s="1" t="n"/>
      <c r="D14" s="9" t="n"/>
    </row>
    <row r="15">
      <c r="A15" s="6" t="n"/>
      <c r="B15" s="1" t="n"/>
      <c r="C15" s="1" t="n"/>
      <c r="D15" s="9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9" t="n"/>
    </row>
    <row r="17">
      <c r="A17" s="88" t="inlineStr">
        <is>
          <t xml:space="preserve">                        (подпись, инициалы, фамилия)</t>
        </is>
      </c>
      <c r="B17" s="1" t="n"/>
      <c r="C17" s="1" t="n"/>
      <c r="D17" s="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4" zoomScale="60" zoomScaleNormal="100" workbookViewId="0">
      <selection activeCell="C21" sqref="C21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1" t="inlineStr">
        <is>
          <t>Приложение № 10</t>
        </is>
      </c>
    </row>
    <row r="5" ht="18.75" customHeight="1">
      <c r="B5" s="32" t="n"/>
    </row>
    <row r="6" ht="15.75" customHeight="1">
      <c r="B6" s="138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3" t="n"/>
    </row>
    <row r="8" ht="47.25" customHeight="1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>
      <c r="B9" s="136" t="n">
        <v>1</v>
      </c>
      <c r="C9" s="136" t="n">
        <v>2</v>
      </c>
      <c r="D9" s="136" t="n">
        <v>3</v>
      </c>
    </row>
    <row r="10" ht="45" customHeight="1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29.25" customHeight="1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29.25" customHeight="1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0.75" customHeight="1">
      <c r="B13" s="136" t="inlineStr">
        <is>
          <t>Индекс изменения сметной стоимости на 1 квартал 2023 года. ОБ</t>
        </is>
      </c>
      <c r="C13" s="35" t="inlineStr">
        <is>
          <t>Письмо Минстроя России от 23.02.2023г. №9791-ИФ/09 прил.6</t>
        </is>
      </c>
      <c r="D13" s="136" t="n">
        <v>6.26</v>
      </c>
    </row>
    <row r="14" ht="89.25" customHeight="1">
      <c r="B14" s="136" t="inlineStr">
        <is>
          <t>Временные здания и сооружения</t>
        </is>
      </c>
      <c r="C14" s="1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9" t="n">
        <v>0.039</v>
      </c>
    </row>
    <row r="15" ht="78.75" customHeight="1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0.021</v>
      </c>
    </row>
    <row r="16" ht="34.5" customHeight="1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39" t="n">
        <v>0.0214</v>
      </c>
    </row>
    <row r="18" ht="31.5" customHeight="1">
      <c r="B18" s="136" t="inlineStr">
        <is>
          <t>Авторский надзор - 0,2%</t>
        </is>
      </c>
      <c r="C18" s="136" t="inlineStr">
        <is>
          <t>Приказ от 4.08.2020 № 421/пр п.173</t>
        </is>
      </c>
      <c r="D18" s="39" t="n">
        <v>0.002</v>
      </c>
    </row>
    <row r="19" ht="24" customHeight="1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39" t="n">
        <v>0.03</v>
      </c>
    </row>
    <row r="20" ht="18.75" customHeight="1">
      <c r="B20" s="33" t="n"/>
    </row>
    <row r="21" ht="18.75" customHeight="1">
      <c r="B21" s="33" t="n"/>
    </row>
    <row r="22" ht="18.75" customHeight="1">
      <c r="B22" s="33" t="n"/>
    </row>
    <row r="23" ht="18.75" customHeight="1">
      <c r="B23" s="33" t="n"/>
    </row>
    <row r="26">
      <c r="B26" s="6" t="inlineStr">
        <is>
          <t>Составил ______________________        Е. М. Добровольская</t>
        </is>
      </c>
      <c r="C26" s="1" t="n"/>
    </row>
    <row r="27">
      <c r="B27" s="88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88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A12" sqref="C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</row>
    <row r="5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</row>
    <row r="6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</row>
    <row r="7" ht="105" customHeight="1">
      <c r="A7" s="19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" t="inlineStr">
        <is>
          <t>С1ср</t>
        </is>
      </c>
      <c r="D7" s="20" t="inlineStr">
        <is>
          <t>-</t>
        </is>
      </c>
      <c r="E7" s="22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19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20" t="inlineStr">
        <is>
          <t>tср</t>
        </is>
      </c>
      <c r="D8" s="20" t="inlineStr">
        <is>
          <t>1973ч/12мес.</t>
        </is>
      </c>
      <c r="E8" s="22">
        <f>1973/12</f>
        <v/>
      </c>
      <c r="F8" s="21" t="inlineStr">
        <is>
          <t>Производственный календарь 2023 год
(40-часов.неделя)</t>
        </is>
      </c>
      <c r="G8" s="23" t="n"/>
    </row>
    <row r="9">
      <c r="A9" s="19" t="inlineStr">
        <is>
          <t>1.3</t>
        </is>
      </c>
      <c r="B9" s="21" t="inlineStr">
        <is>
          <t>Коэффициент увеличения</t>
        </is>
      </c>
      <c r="C9" s="20" t="inlineStr">
        <is>
          <t>Кув</t>
        </is>
      </c>
      <c r="D9" s="20" t="inlineStr">
        <is>
          <t>-</t>
        </is>
      </c>
      <c r="E9" s="22" t="n">
        <v>1</v>
      </c>
      <c r="F9" s="21" t="n"/>
      <c r="G9" s="24" t="n"/>
    </row>
    <row r="10">
      <c r="A10" s="19" t="inlineStr">
        <is>
          <t>1.4</t>
        </is>
      </c>
      <c r="B10" s="21" t="inlineStr">
        <is>
          <t>Средний разряд работ</t>
        </is>
      </c>
      <c r="C10" s="20" t="n"/>
      <c r="D10" s="20" t="n"/>
      <c r="E10" s="25" t="n">
        <v>3.8</v>
      </c>
      <c r="F10" s="21" t="inlineStr">
        <is>
          <t>РТМ</t>
        </is>
      </c>
      <c r="G10" s="24" t="n"/>
    </row>
    <row r="11" ht="75" customHeight="1">
      <c r="A11" s="19" t="inlineStr">
        <is>
          <t>1.5</t>
        </is>
      </c>
      <c r="B11" s="21" t="inlineStr">
        <is>
          <t>Тарифный коэффициент среднего разряда работ</t>
        </is>
      </c>
      <c r="C11" s="20" t="inlineStr">
        <is>
          <t>КТ</t>
        </is>
      </c>
      <c r="D11" s="20" t="inlineStr">
        <is>
          <t>-</t>
        </is>
      </c>
      <c r="E11" s="26" t="n">
        <v>1.308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9" t="inlineStr">
        <is>
          <t>1.6</t>
        </is>
      </c>
      <c r="B12" s="27" t="inlineStr">
        <is>
          <t>Коэффициент инфляции, определяемый поквартально</t>
        </is>
      </c>
      <c r="C12" s="20" t="inlineStr">
        <is>
          <t>Кинф</t>
        </is>
      </c>
      <c r="D12" s="20" t="inlineStr">
        <is>
          <t>-</t>
        </is>
      </c>
      <c r="E12" s="28" t="n">
        <v>1.139</v>
      </c>
      <c r="F12" s="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9" t="inlineStr">
        <is>
          <t>1.7</t>
        </is>
      </c>
      <c r="B13" s="30" t="inlineStr">
        <is>
          <t>Размер средств на оплату труда рабочих-строителей в текущем уровне цен (ФОТр.тек.), руб/чел.-ч</t>
        </is>
      </c>
      <c r="C13" s="20" t="inlineStr">
        <is>
          <t>ФОТр.тек.</t>
        </is>
      </c>
      <c r="D13" s="20" t="inlineStr">
        <is>
          <t>(С1ср/tср*КТ*Т*Кув)*Кинф</t>
        </is>
      </c>
      <c r="E13" s="31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2025-01-24T12:02:19Z</dcterms:modified>
  <cp:lastModifiedBy>Danil</cp:lastModifiedBy>
  <cp:lastPrinted>2023-11-28T07:22:12Z</cp:lastPrinted>
</cp:coreProperties>
</file>