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3'!$A$1:$H$110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ОБ'!$A$1:$J$119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</numFmts>
  <fonts count="36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imes New Roman"/>
      <charset val="204"/>
      <family val="1"/>
      <color rgb="FF000000"/>
      <sz val="10"/>
      <vertAlign val="subscript"/>
    </font>
    <font>
      <name val="Times New Roman"/>
      <charset val="204"/>
      <family val="1"/>
      <b val="1"/>
      <color rgb="FF000000"/>
      <sz val="10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2" fillId="0" borderId="1" applyAlignment="1" pivotButton="0" quotePrefix="0" xfId="0">
      <alignment vertical="center" wrapText="1"/>
    </xf>
    <xf numFmtId="171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/>
    </xf>
    <xf numFmtId="2" fontId="1" fillId="0" borderId="1" applyAlignment="1" pivotButton="0" quotePrefix="0" xfId="0">
      <alignment horizontal="right" vertical="top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3" fillId="0" borderId="1" applyAlignment="1" pivotButton="0" quotePrefix="0" xfId="0">
      <alignment horizontal="center" vertical="top" wrapText="1"/>
    </xf>
    <xf numFmtId="4" fontId="17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0" fontId="23" fillId="0" borderId="0" pivotButton="0" quotePrefix="0" xfId="0"/>
    <xf numFmtId="0" fontId="23" fillId="0" borderId="0" applyAlignment="1" pivotButton="0" quotePrefix="0" xfId="0">
      <alignment vertical="center"/>
    </xf>
    <xf numFmtId="49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center" vertical="center" wrapText="1"/>
    </xf>
    <xf numFmtId="4" fontId="23" fillId="0" borderId="1" applyAlignment="1" pivotButton="0" quotePrefix="0" xfId="0">
      <alignment horizontal="center" vertical="center"/>
    </xf>
    <xf numFmtId="166" fontId="23" fillId="0" borderId="1" applyAlignment="1" pivotButton="0" quotePrefix="0" xfId="0">
      <alignment horizontal="center" vertical="center"/>
    </xf>
    <xf numFmtId="167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vertical="center" wrapText="1"/>
    </xf>
    <xf numFmtId="168" fontId="23" fillId="4" borderId="1" applyAlignment="1" pivotButton="0" quotePrefix="0" xfId="0">
      <alignment horizontal="center" vertical="center"/>
    </xf>
    <xf numFmtId="0" fontId="23" fillId="0" borderId="1" applyAlignment="1" pivotButton="0" quotePrefix="0" xfId="0">
      <alignment wrapText="1"/>
    </xf>
    <xf numFmtId="0" fontId="24" fillId="0" borderId="1" applyAlignment="1" pivotButton="0" quotePrefix="0" xfId="0">
      <alignment vertical="center" wrapText="1"/>
    </xf>
    <xf numFmtId="4" fontId="24" fillId="0" borderId="1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17" fillId="0" borderId="5" applyAlignment="1" pivotButton="0" quotePrefix="0" xfId="0">
      <alignment vertical="center" wrapText="1"/>
    </xf>
    <xf numFmtId="2" fontId="19" fillId="0" borderId="6" applyAlignment="1" pivotButton="0" quotePrefix="0" xfId="0">
      <alignment vertical="center" wrapText="1"/>
    </xf>
    <xf numFmtId="49" fontId="17" fillId="0" borderId="5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9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6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9" zoomScale="70" zoomScaleNormal="70" workbookViewId="0">
      <selection activeCell="D26" sqref="D26"/>
    </sheetView>
  </sheetViews>
  <sheetFormatPr baseColWidth="8" defaultRowHeight="15"/>
  <cols>
    <col width="36.85546875" customWidth="1" min="3" max="3"/>
    <col width="43.85546875" customWidth="1" style="278" min="4" max="4"/>
  </cols>
  <sheetData>
    <row r="3" ht="15.75" customHeight="1">
      <c r="B3" s="237" t="inlineStr">
        <is>
          <t>Приложение № 1</t>
        </is>
      </c>
    </row>
    <row r="4" ht="18.75" customHeight="1">
      <c r="B4" s="238" t="inlineStr">
        <is>
          <t>Сравнительная таблица отбора объекта-представителя</t>
        </is>
      </c>
    </row>
    <row r="5" ht="84" customHeight="1">
      <c r="B5" s="2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6" t="inlineStr">
        <is>
          <t>Наименование разрабатываемого показателя УНЦ - Цифровой ТТ на три фазы с устройством фундамента напряжение 220 кВ</t>
        </is>
      </c>
    </row>
    <row r="8" ht="31.5" customHeight="1">
      <c r="B8" s="236" t="inlineStr">
        <is>
          <t>Сопоставимый уровень цен: 3 кв. 2016 г.</t>
        </is>
      </c>
    </row>
    <row r="9" ht="15.75" customHeight="1">
      <c r="B9" s="236" t="inlineStr">
        <is>
          <t>Единица измерения  — 1 ед</t>
        </is>
      </c>
    </row>
    <row r="10" ht="18.75" customHeight="1">
      <c r="B10" s="117" t="n"/>
    </row>
    <row r="11" ht="15.75" customHeight="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>Объект-представитель</t>
        </is>
      </c>
    </row>
    <row r="12" ht="41.25" customHeight="1">
      <c r="B12" s="243" t="n">
        <v>1</v>
      </c>
      <c r="C12" s="222" t="inlineStr">
        <is>
          <t>Наименование объекта-представителя</t>
        </is>
      </c>
      <c r="D12" s="243" t="inlineStr">
        <is>
          <t>ПС 220 кВ Надым</t>
        </is>
      </c>
    </row>
    <row r="13" ht="31.5" customHeight="1">
      <c r="B13" s="243" t="n">
        <v>2</v>
      </c>
      <c r="C13" s="222" t="inlineStr">
        <is>
          <t>Наименование субъекта Российской Федерации</t>
        </is>
      </c>
      <c r="D13" s="243" t="inlineStr">
        <is>
          <t>Надымский район, Ямало-Ненецкий автономный округ</t>
        </is>
      </c>
    </row>
    <row r="14" ht="15.75" customHeight="1">
      <c r="B14" s="243" t="n">
        <v>3</v>
      </c>
      <c r="C14" s="222" t="inlineStr">
        <is>
          <t>Климатический район и подрайон</t>
        </is>
      </c>
      <c r="D14" s="243" t="inlineStr">
        <is>
          <t>IIВ</t>
        </is>
      </c>
    </row>
    <row r="15" ht="15.75" customHeight="1">
      <c r="B15" s="243" t="n">
        <v>4</v>
      </c>
      <c r="C15" s="222" t="inlineStr">
        <is>
          <t>Мощность объекта</t>
        </is>
      </c>
      <c r="D15" s="243" t="inlineStr">
        <is>
          <t>Трансформатор - 2 компл</t>
        </is>
      </c>
    </row>
    <row r="16" ht="107.25" customHeight="1">
      <c r="B16" s="243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3" t="inlineStr">
        <is>
          <t>Оптический трансформатор тока 220 кВ</t>
        </is>
      </c>
    </row>
    <row r="17" ht="95.25" customHeight="1">
      <c r="B17" s="243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SUM(D18:D21)</f>
        <v/>
      </c>
    </row>
    <row r="18" ht="15.75" customHeight="1">
      <c r="B18" s="121" t="inlineStr">
        <is>
          <t>6.1</t>
        </is>
      </c>
      <c r="C18" s="222" t="inlineStr">
        <is>
          <t>строительно-монтажные работы</t>
        </is>
      </c>
      <c r="D18" s="197" t="n">
        <v>50.32</v>
      </c>
    </row>
    <row r="19" ht="15.75" customHeight="1">
      <c r="B19" s="121" t="inlineStr">
        <is>
          <t>6.2</t>
        </is>
      </c>
      <c r="C19" s="222" t="inlineStr">
        <is>
          <t>оборудование и инвентарь</t>
        </is>
      </c>
      <c r="D19" s="197" t="n">
        <v>3984.08</v>
      </c>
    </row>
    <row r="20" ht="15.75" customHeight="1">
      <c r="B20" s="121" t="inlineStr">
        <is>
          <t>6.3</t>
        </is>
      </c>
      <c r="C20" s="222" t="inlineStr">
        <is>
          <t>пусконаладочные работы</t>
        </is>
      </c>
      <c r="D20" s="197">
        <f>D19*0.8*7%</f>
        <v/>
      </c>
    </row>
    <row r="21" ht="31.5" customHeight="1">
      <c r="B21" s="121" t="inlineStr">
        <is>
          <t>6.4</t>
        </is>
      </c>
      <c r="C21" s="222" t="inlineStr">
        <is>
          <t>прочие и лимитированные затраты</t>
        </is>
      </c>
      <c r="D21" s="197">
        <f>D18*3.9%*0.8+(D18+D18*3.9%*0.8)*4.73</f>
        <v/>
      </c>
    </row>
    <row r="22" ht="15.75" customHeight="1">
      <c r="B22" s="243" t="n">
        <v>7</v>
      </c>
      <c r="C22" s="222" t="inlineStr">
        <is>
          <t>Сопоставимый уровень цен</t>
        </is>
      </c>
      <c r="D22" s="121" t="inlineStr">
        <is>
          <t>3 кв. 2016 г.</t>
        </is>
      </c>
    </row>
    <row r="23" ht="110.25" customHeight="1">
      <c r="B23" s="243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</row>
    <row r="24" ht="61.5" customHeight="1">
      <c r="B24" s="243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197">
        <f>D23/2</f>
        <v/>
      </c>
    </row>
    <row r="25" ht="37.5" customHeight="1">
      <c r="B25" s="122" t="n"/>
      <c r="C25" s="123" t="n"/>
      <c r="D25" s="198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3" t="n"/>
      <c r="C31" s="123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G17" sqref="G17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37" t="inlineStr">
        <is>
          <t>Приложение № 2</t>
        </is>
      </c>
    </row>
    <row r="4" ht="15.75" customHeight="1">
      <c r="B4" s="242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>
      <c r="B6" s="236" t="inlineStr">
        <is>
          <t>Наименование разрабатываемого показателя УНЦ - Цифровой ТТ на три фазы с устройством фундамента напряжение 220 кВ</t>
        </is>
      </c>
    </row>
    <row r="7" ht="15.75" customHeight="1">
      <c r="B7" s="236" t="inlineStr">
        <is>
          <t>Единица измерения  — 1 ед</t>
        </is>
      </c>
    </row>
    <row r="8" ht="18.75" customHeight="1">
      <c r="B8" s="117" t="n"/>
    </row>
    <row r="9" ht="15.75" customHeight="1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22" t="n"/>
      <c r="F9" s="322" t="n"/>
      <c r="G9" s="322" t="n"/>
      <c r="H9" s="322" t="n"/>
      <c r="I9" s="322" t="n"/>
      <c r="J9" s="323" t="n"/>
    </row>
    <row r="10" ht="15.75" customHeight="1">
      <c r="B10" s="324" t="n"/>
      <c r="C10" s="324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3 кв. 2016г., тыс. руб.</t>
        </is>
      </c>
      <c r="G10" s="322" t="n"/>
      <c r="H10" s="322" t="n"/>
      <c r="I10" s="322" t="n"/>
      <c r="J10" s="323" t="n"/>
    </row>
    <row r="11" ht="31.5" customHeight="1">
      <c r="B11" s="325" t="n"/>
      <c r="C11" s="325" t="n"/>
      <c r="D11" s="325" t="n"/>
      <c r="E11" s="325" t="n"/>
      <c r="F11" s="244" t="inlineStr">
        <is>
          <t>Строительные работы</t>
        </is>
      </c>
      <c r="G11" s="244" t="inlineStr">
        <is>
          <t>Монтажные работы</t>
        </is>
      </c>
      <c r="H11" s="244" t="inlineStr">
        <is>
          <t>Оборудование</t>
        </is>
      </c>
      <c r="I11" s="244" t="inlineStr">
        <is>
          <t>Прочее</t>
        </is>
      </c>
      <c r="J11" s="244" t="inlineStr">
        <is>
          <t>Всего</t>
        </is>
      </c>
    </row>
    <row r="12" ht="76.15000000000001" customHeight="1">
      <c r="B12" s="226" t="n">
        <v>1</v>
      </c>
      <c r="C12" s="226" t="inlineStr">
        <is>
          <t>Оптический трансформатор тока 220 кВ</t>
        </is>
      </c>
      <c r="D12" s="228" t="inlineStr">
        <is>
          <t>02-03-01</t>
        </is>
      </c>
      <c r="E12" s="226" t="inlineStr">
        <is>
          <t>Электромонтажные работы  ПС 220 кВ Надым Первый этап</t>
        </is>
      </c>
      <c r="F12" s="222" t="n"/>
      <c r="G12" s="223">
        <f>5511.5*9.13/1000</f>
        <v/>
      </c>
      <c r="H12" s="223">
        <f>930860.4*4.28/1000</f>
        <v/>
      </c>
      <c r="I12" s="223" t="n"/>
      <c r="J12" s="223">
        <f>SUM(F12:I12)</f>
        <v/>
      </c>
    </row>
    <row r="13" ht="15.75" customHeight="1">
      <c r="B13" s="240" t="inlineStr">
        <is>
          <t>Всего по объекту:</t>
        </is>
      </c>
      <c r="C13" s="322" t="n"/>
      <c r="D13" s="322" t="n"/>
      <c r="E13" s="323" t="n"/>
      <c r="F13" s="227" t="n"/>
      <c r="G13" s="224">
        <f>G12</f>
        <v/>
      </c>
      <c r="H13" s="224">
        <f>H12</f>
        <v/>
      </c>
      <c r="I13" s="224" t="n"/>
      <c r="J13" s="223">
        <f>SUM(F13:I13)</f>
        <v/>
      </c>
    </row>
    <row r="14" ht="28.5" customHeight="1">
      <c r="B14" s="241" t="inlineStr">
        <is>
          <t>Всего по объекту в сопоставимом уровне цен 3 кв. 2016г:</t>
        </is>
      </c>
      <c r="C14" s="326" t="n"/>
      <c r="D14" s="326" t="n"/>
      <c r="E14" s="327" t="n"/>
      <c r="F14" s="225" t="n"/>
      <c r="G14" s="225">
        <f>G13</f>
        <v/>
      </c>
      <c r="H14" s="225">
        <f>H13</f>
        <v/>
      </c>
      <c r="I14" s="225" t="n"/>
      <c r="J14" s="223">
        <f>SUM(F14:I14)</f>
        <v/>
      </c>
    </row>
    <row r="15" ht="18.75" customHeight="1">
      <c r="B15" s="117" t="n"/>
    </row>
    <row r="18">
      <c r="C18" s="4" t="inlineStr">
        <is>
          <t>Составил ______________________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08"/>
  <sheetViews>
    <sheetView view="pageBreakPreview" topLeftCell="A91" zoomScale="70" workbookViewId="0">
      <selection activeCell="D103" sqref="D103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67" min="8" max="8"/>
    <col width="10.140625" customWidth="1" min="9" max="9"/>
  </cols>
  <sheetData>
    <row r="2" ht="15.75" customHeight="1">
      <c r="A2" s="237" t="inlineStr">
        <is>
          <t xml:space="preserve">Приложение № 3 </t>
        </is>
      </c>
      <c r="I2" s="122" t="n"/>
    </row>
    <row r="3" ht="18.75" customHeight="1">
      <c r="A3" s="238" t="inlineStr">
        <is>
          <t>Объектная ресурсная ведомость</t>
        </is>
      </c>
    </row>
    <row r="4" ht="25.5" customHeight="1">
      <c r="B4" s="166" t="n"/>
      <c r="C4" s="254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46" t="n"/>
      <c r="D5" s="146" t="n"/>
      <c r="E5" s="146" t="n"/>
      <c r="F5" s="146" t="n"/>
      <c r="G5" s="146" t="n"/>
      <c r="H5" s="147" t="n"/>
    </row>
    <row r="6" ht="15" customHeight="1">
      <c r="A6" s="252" t="inlineStr">
        <is>
          <t>Наименование разрабатываемого показателя УНЦ - Цифровой ТТ на три фазы с устройством фундамента напряжение 220 кВ</t>
        </is>
      </c>
      <c r="G6" s="148" t="n"/>
      <c r="H6" s="149" t="n"/>
    </row>
    <row r="7" ht="14.25" customHeight="1">
      <c r="G7" s="148" t="n"/>
      <c r="H7" s="149" t="n"/>
    </row>
    <row r="8" ht="15.75" customHeight="1">
      <c r="C8" s="150" t="n"/>
      <c r="D8" s="151" t="n"/>
      <c r="E8" s="152" t="n"/>
      <c r="F8" s="153" t="n"/>
      <c r="G8" s="154" t="n"/>
      <c r="H8" s="155" t="n"/>
    </row>
    <row r="9" ht="38.25" customHeight="1">
      <c r="A9" s="243" t="inlineStr">
        <is>
          <t>п/п</t>
        </is>
      </c>
      <c r="B9" s="243" t="inlineStr">
        <is>
          <t>№ЛСР</t>
        </is>
      </c>
      <c r="C9" s="243" t="inlineStr">
        <is>
          <t>Код ресурса</t>
        </is>
      </c>
      <c r="D9" s="243" t="inlineStr">
        <is>
          <t>Наименование ресурса</t>
        </is>
      </c>
      <c r="E9" s="243" t="inlineStr">
        <is>
          <t>Ед. изм.</t>
        </is>
      </c>
      <c r="F9" s="243" t="inlineStr">
        <is>
          <t>Кол-во единиц по данным объекта-представителя</t>
        </is>
      </c>
      <c r="G9" s="243" t="inlineStr">
        <is>
          <t>Сметная стоимость в ценах на 01.01.2000 (руб.)</t>
        </is>
      </c>
      <c r="H9" s="323" t="n"/>
    </row>
    <row r="10" ht="40.5" customHeight="1">
      <c r="A10" s="325" t="n"/>
      <c r="B10" s="325" t="n"/>
      <c r="C10" s="325" t="n"/>
      <c r="D10" s="325" t="n"/>
      <c r="E10" s="325" t="n"/>
      <c r="F10" s="325" t="n"/>
      <c r="G10" s="243" t="inlineStr">
        <is>
          <t>на ед.изм.</t>
        </is>
      </c>
      <c r="H10" s="243" t="inlineStr">
        <is>
          <t>общая</t>
        </is>
      </c>
    </row>
    <row r="11" ht="15.75" customHeight="1">
      <c r="A11" s="243" t="n">
        <v>1</v>
      </c>
      <c r="B11" s="156" t="n"/>
      <c r="C11" s="243" t="n">
        <v>2</v>
      </c>
      <c r="D11" s="243" t="inlineStr">
        <is>
          <t>З</t>
        </is>
      </c>
      <c r="E11" s="243" t="n">
        <v>4</v>
      </c>
      <c r="F11" s="243" t="n">
        <v>5</v>
      </c>
      <c r="G11" s="156" t="n">
        <v>6</v>
      </c>
      <c r="H11" s="156" t="n">
        <v>7</v>
      </c>
    </row>
    <row r="12" ht="15" customHeight="1">
      <c r="A12" s="250" t="inlineStr">
        <is>
          <t>Затраты труда рабочих</t>
        </is>
      </c>
      <c r="B12" s="322" t="n"/>
      <c r="C12" s="322" t="n"/>
      <c r="D12" s="323" t="n"/>
      <c r="E12" s="157" t="n"/>
      <c r="F12" s="173">
        <f>SUM(F13:F22)</f>
        <v/>
      </c>
      <c r="G12" s="157" t="n"/>
      <c r="H12" s="174">
        <f>SUM(H13:H22)</f>
        <v/>
      </c>
    </row>
    <row r="13">
      <c r="A13" s="170" t="inlineStr">
        <is>
          <t>1</t>
        </is>
      </c>
      <c r="B13" s="170" t="n"/>
      <c r="C13" s="170" t="inlineStr">
        <is>
          <t>10-30-1</t>
        </is>
      </c>
      <c r="D13" s="179" t="inlineStr">
        <is>
          <t>Инженер I категории</t>
        </is>
      </c>
      <c r="E13" s="7" t="inlineStr">
        <is>
          <t>чел.час</t>
        </is>
      </c>
      <c r="F13" s="7" t="n">
        <v>344.42857142857</v>
      </c>
      <c r="G13" s="180" t="n">
        <v>15.49</v>
      </c>
      <c r="H13" s="181">
        <f>ROUND(F13*G13,2)</f>
        <v/>
      </c>
      <c r="J13" s="160" t="n"/>
      <c r="K13" s="159" t="n"/>
      <c r="L13" s="159" t="n"/>
    </row>
    <row r="14">
      <c r="A14" s="170" t="inlineStr">
        <is>
          <t>2</t>
        </is>
      </c>
      <c r="B14" s="170" t="n"/>
      <c r="C14" s="170" t="inlineStr">
        <is>
          <t>10-30-2</t>
        </is>
      </c>
      <c r="D14" s="179" t="inlineStr">
        <is>
          <t>Инженер II категории</t>
        </is>
      </c>
      <c r="E14" s="7" t="inlineStr">
        <is>
          <t>чел.час</t>
        </is>
      </c>
      <c r="F14" s="7" t="n">
        <v>344.42857142857</v>
      </c>
      <c r="G14" s="180" t="n">
        <v>14.09</v>
      </c>
      <c r="H14" s="181">
        <f>ROUND(F14*G14,2)</f>
        <v/>
      </c>
      <c r="J14" s="160" t="n"/>
      <c r="K14" s="159" t="n"/>
      <c r="L14" s="159" t="n"/>
    </row>
    <row r="15">
      <c r="A15" s="170" t="inlineStr">
        <is>
          <t>3</t>
        </is>
      </c>
      <c r="B15" s="170" t="n"/>
      <c r="C15" s="162" t="inlineStr">
        <is>
          <t>1-4-0</t>
        </is>
      </c>
      <c r="D15" s="179" t="inlineStr">
        <is>
          <t>Затраты труда рабочих (средний разряд работы 4,0)</t>
        </is>
      </c>
      <c r="E15" s="7" t="inlineStr">
        <is>
          <t>чел.час</t>
        </is>
      </c>
      <c r="F15" s="178" t="n">
        <v>118.6310584</v>
      </c>
      <c r="G15" s="180" t="n">
        <v>9.619999999999999</v>
      </c>
      <c r="H15" s="181">
        <f>ROUND(F15*G15,2)</f>
        <v/>
      </c>
      <c r="J15" s="160" t="n"/>
      <c r="K15" s="159" t="n"/>
      <c r="L15" s="159" t="n"/>
    </row>
    <row r="16">
      <c r="A16" s="170" t="inlineStr">
        <is>
          <t>4</t>
        </is>
      </c>
      <c r="B16" s="170" t="n"/>
      <c r="C16" s="162" t="inlineStr">
        <is>
          <t>1-4-2</t>
        </is>
      </c>
      <c r="D16" s="179" t="inlineStr">
        <is>
          <t>Затраты труда рабочих (средний разряд работы 4,2)</t>
        </is>
      </c>
      <c r="E16" s="7" t="inlineStr">
        <is>
          <t>чел.час</t>
        </is>
      </c>
      <c r="F16" s="178" t="n">
        <v>40.16642134</v>
      </c>
      <c r="G16" s="180" t="n">
        <v>9.92</v>
      </c>
      <c r="H16" s="181">
        <f>ROUND(F16*G16,2)</f>
        <v/>
      </c>
      <c r="J16" s="160" t="n"/>
      <c r="K16" s="159" t="n"/>
      <c r="L16" s="159" t="n"/>
    </row>
    <row r="17">
      <c r="A17" s="170" t="inlineStr">
        <is>
          <t>5</t>
        </is>
      </c>
      <c r="B17" s="170" t="n"/>
      <c r="C17" s="162" t="inlineStr">
        <is>
          <t>1-4-6</t>
        </is>
      </c>
      <c r="D17" s="179" t="inlineStr">
        <is>
          <t>Затраты труда рабочих (средний разряд работы 4,6)</t>
        </is>
      </c>
      <c r="E17" s="7" t="inlineStr">
        <is>
          <t>чел.час</t>
        </is>
      </c>
      <c r="F17" s="178" t="n">
        <v>12.82</v>
      </c>
      <c r="G17" s="180" t="n">
        <v>10.5</v>
      </c>
      <c r="H17" s="181">
        <f>ROUND(F17*G17,2)</f>
        <v/>
      </c>
      <c r="J17" s="160" t="n"/>
      <c r="K17" s="159" t="n"/>
      <c r="L17" s="159" t="n"/>
    </row>
    <row r="18">
      <c r="A18" s="170" t="inlineStr">
        <is>
          <t>6</t>
        </is>
      </c>
      <c r="B18" s="170" t="n"/>
      <c r="C18" s="162" t="inlineStr">
        <is>
          <t>1-4-1</t>
        </is>
      </c>
      <c r="D18" s="179" t="inlineStr">
        <is>
          <t>Затраты труда рабочих (средний разряд работы 4,1)</t>
        </is>
      </c>
      <c r="E18" s="7" t="inlineStr">
        <is>
          <t>чел.час</t>
        </is>
      </c>
      <c r="F18" s="178" t="n">
        <v>13.182287</v>
      </c>
      <c r="G18" s="180" t="n">
        <v>9.76</v>
      </c>
      <c r="H18" s="181">
        <f>ROUND(F18*G18,2)</f>
        <v/>
      </c>
      <c r="J18" s="160" t="n"/>
      <c r="K18" s="159" t="n"/>
      <c r="L18" s="159" t="n"/>
    </row>
    <row r="19">
      <c r="A19" s="170" t="inlineStr">
        <is>
          <t>7</t>
        </is>
      </c>
      <c r="B19" s="170" t="n"/>
      <c r="C19" s="162" t="inlineStr">
        <is>
          <t>1-2-5</t>
        </is>
      </c>
      <c r="D19" s="179" t="inlineStr">
        <is>
          <t>Затраты труда рабочих (средний разряд работы 2,5)</t>
        </is>
      </c>
      <c r="E19" s="7" t="inlineStr">
        <is>
          <t>чел.час</t>
        </is>
      </c>
      <c r="F19" s="178" t="n">
        <v>9.055078</v>
      </c>
      <c r="G19" s="180" t="n">
        <v>8.17</v>
      </c>
      <c r="H19" s="181">
        <f>ROUND(F19*G19,2)</f>
        <v/>
      </c>
      <c r="J19" s="160" t="n"/>
      <c r="K19" s="159" t="n"/>
      <c r="L19" s="159" t="n"/>
    </row>
    <row r="20">
      <c r="A20" s="170" t="inlineStr">
        <is>
          <t>8</t>
        </is>
      </c>
      <c r="B20" s="170" t="n"/>
      <c r="C20" s="162" t="inlineStr">
        <is>
          <t>1-2-0</t>
        </is>
      </c>
      <c r="D20" s="179" t="inlineStr">
        <is>
          <t>Затраты труда рабочих (средний разряд работы 2,0)</t>
        </is>
      </c>
      <c r="E20" s="7" t="inlineStr">
        <is>
          <t>чел.час</t>
        </is>
      </c>
      <c r="F20" s="178" t="n">
        <v>4.0700194</v>
      </c>
      <c r="G20" s="180" t="n">
        <v>7.8</v>
      </c>
      <c r="H20" s="181">
        <f>ROUND(F20*G20,2)</f>
        <v/>
      </c>
      <c r="J20" s="160" t="n"/>
      <c r="K20" s="159" t="n"/>
      <c r="L20" s="159" t="n"/>
    </row>
    <row r="21">
      <c r="A21" s="170" t="inlineStr">
        <is>
          <t>9</t>
        </is>
      </c>
      <c r="B21" s="170" t="n"/>
      <c r="C21" s="162" t="inlineStr">
        <is>
          <t>1-3-8</t>
        </is>
      </c>
      <c r="D21" s="179" t="inlineStr">
        <is>
          <t>Затраты труда рабочих (средний разряд работы 3,8)</t>
        </is>
      </c>
      <c r="E21" s="7" t="inlineStr">
        <is>
          <t>чел.час</t>
        </is>
      </c>
      <c r="F21" s="178" t="n">
        <v>3.1645116</v>
      </c>
      <c r="G21" s="180" t="n">
        <v>9.4</v>
      </c>
      <c r="H21" s="181">
        <f>ROUND(F21*G21,2)</f>
        <v/>
      </c>
      <c r="J21" s="160" t="n"/>
      <c r="K21" s="159" t="n"/>
      <c r="L21" s="159" t="n"/>
    </row>
    <row r="22">
      <c r="A22" s="170" t="inlineStr">
        <is>
          <t>10</t>
        </is>
      </c>
      <c r="B22" s="170" t="n"/>
      <c r="C22" s="162" t="inlineStr">
        <is>
          <t>1-3-0</t>
        </is>
      </c>
      <c r="D22" s="179" t="inlineStr">
        <is>
          <t>Затраты труда рабочих (средний разряд работы 3,0)</t>
        </is>
      </c>
      <c r="E22" s="7" t="inlineStr">
        <is>
          <t>чел.час</t>
        </is>
      </c>
      <c r="F22" s="178" t="n">
        <v>3.202638246</v>
      </c>
      <c r="G22" s="180" t="n">
        <v>8.529999999999999</v>
      </c>
      <c r="H22" s="181">
        <f>ROUND(F22*G22,2)</f>
        <v/>
      </c>
      <c r="J22" s="160" t="n"/>
      <c r="K22" s="159" t="n"/>
      <c r="L22" s="159" t="n"/>
    </row>
    <row r="23">
      <c r="A23" s="328" t="inlineStr">
        <is>
          <t>Затраты труда машинистов</t>
        </is>
      </c>
      <c r="B23" s="326" t="n"/>
      <c r="C23" s="326" t="n"/>
      <c r="D23" s="327" t="n"/>
      <c r="E23" s="275" t="n"/>
      <c r="F23" s="162" t="n"/>
      <c r="G23" s="158" t="n"/>
      <c r="H23" s="175">
        <f>H24</f>
        <v/>
      </c>
      <c r="L23" s="159" t="n"/>
    </row>
    <row r="24">
      <c r="A24" s="170" t="inlineStr">
        <is>
          <t>11</t>
        </is>
      </c>
      <c r="B24" s="172" t="n"/>
      <c r="C24" s="170" t="n">
        <v>2</v>
      </c>
      <c r="D24" s="265" t="inlineStr">
        <is>
          <t>Затраты труда машинистов</t>
        </is>
      </c>
      <c r="E24" s="262" t="inlineStr">
        <is>
          <t>чел.час</t>
        </is>
      </c>
      <c r="F24" s="177" t="n">
        <v>63.393</v>
      </c>
      <c r="G24" s="274" t="n"/>
      <c r="H24" s="32" t="n">
        <v>780.847944</v>
      </c>
    </row>
    <row r="25" ht="15" customHeight="1">
      <c r="A25" s="250" t="inlineStr">
        <is>
          <t>Машины и механизмы</t>
        </is>
      </c>
      <c r="B25" s="322" t="n"/>
      <c r="C25" s="322" t="n"/>
      <c r="D25" s="323" t="n"/>
      <c r="E25" s="157" t="n"/>
      <c r="F25" s="157" t="n"/>
      <c r="G25" s="157" t="n"/>
      <c r="H25" s="176">
        <f>SUM(H26:H52)</f>
        <v/>
      </c>
      <c r="K25" s="159" t="n"/>
    </row>
    <row r="26">
      <c r="A26" s="262">
        <f>A24+1</f>
        <v/>
      </c>
      <c r="B26" s="170" t="n"/>
      <c r="C26" s="170" t="inlineStr">
        <is>
          <t>91.14.03-002</t>
        </is>
      </c>
      <c r="D26" s="265" t="inlineStr">
        <is>
          <t>Автомобили-самосвалы, грузоподъемность до 10 т</t>
        </is>
      </c>
      <c r="E26" s="262" t="inlineStr">
        <is>
          <t>маш.час</t>
        </is>
      </c>
      <c r="F26" s="262" t="n">
        <v>56.89</v>
      </c>
      <c r="G26" s="267" t="n">
        <v>87.48999999999999</v>
      </c>
      <c r="H26" s="32">
        <f>ROUND(F26*G26,2)</f>
        <v/>
      </c>
      <c r="I26" s="163" t="n"/>
    </row>
    <row r="27" ht="25.5" customHeight="1">
      <c r="A27" s="262">
        <f>A26+1</f>
        <v/>
      </c>
      <c r="B27" s="170" t="n"/>
      <c r="C27" s="170" t="inlineStr">
        <is>
          <t>91.05.05-014</t>
        </is>
      </c>
      <c r="D27" s="265" t="inlineStr">
        <is>
          <t>Краны на автомобильном ходу, грузоподъемность 10 т</t>
        </is>
      </c>
      <c r="E27" s="262" t="inlineStr">
        <is>
          <t>маш.час</t>
        </is>
      </c>
      <c r="F27" s="262" t="n">
        <v>12.87</v>
      </c>
      <c r="G27" s="267" t="n">
        <v>111.99</v>
      </c>
      <c r="H27" s="32">
        <f>ROUND(F27*G27,2)</f>
        <v/>
      </c>
      <c r="I27" s="163" t="n"/>
    </row>
    <row r="28" ht="25.5" customHeight="1">
      <c r="A28" s="262">
        <f>A27+1</f>
        <v/>
      </c>
      <c r="B28" s="170" t="n"/>
      <c r="C28" s="170" t="inlineStr">
        <is>
          <t>91.05.08-007</t>
        </is>
      </c>
      <c r="D28" s="265" t="inlineStr">
        <is>
          <t>Краны на пневмоколесном ходу, грузоподъемность 25 т</t>
        </is>
      </c>
      <c r="E28" s="262" t="inlineStr">
        <is>
          <t>маш.час</t>
        </is>
      </c>
      <c r="F28" s="262" t="n">
        <v>11.61</v>
      </c>
      <c r="G28" s="267" t="n">
        <v>102.51</v>
      </c>
      <c r="H28" s="32">
        <f>ROUND(F28*G28,2)</f>
        <v/>
      </c>
      <c r="I28" s="163" t="n"/>
    </row>
    <row r="29" ht="25.5" customHeight="1">
      <c r="A29" s="262">
        <f>A28+1</f>
        <v/>
      </c>
      <c r="B29" s="170" t="n"/>
      <c r="C29" s="170" t="inlineStr">
        <is>
          <t>91.01.05-086</t>
        </is>
      </c>
      <c r="D29" s="265" t="inlineStr">
        <is>
          <t>Экскаваторы одноковшовые дизельные на гусеничном ходу, емкость ковша 0,65 м3</t>
        </is>
      </c>
      <c r="E29" s="262" t="inlineStr">
        <is>
          <t>маш.час</t>
        </is>
      </c>
      <c r="F29" s="262" t="n">
        <v>3.98</v>
      </c>
      <c r="G29" s="267" t="n">
        <v>115.27</v>
      </c>
      <c r="H29" s="32">
        <f>ROUND(F29*G29,2)</f>
        <v/>
      </c>
      <c r="I29" s="163" t="n"/>
    </row>
    <row r="30">
      <c r="A30" s="262">
        <f>A29+1</f>
        <v/>
      </c>
      <c r="B30" s="170" t="n"/>
      <c r="C30" s="170" t="inlineStr">
        <is>
          <t>91.14.02-001</t>
        </is>
      </c>
      <c r="D30" s="265" t="inlineStr">
        <is>
          <t>Автомобили бортовые, грузоподъемность: до 5 т</t>
        </is>
      </c>
      <c r="E30" s="262" t="inlineStr">
        <is>
          <t>маш.час</t>
        </is>
      </c>
      <c r="F30" s="262" t="n">
        <v>6.87</v>
      </c>
      <c r="G30" s="267" t="n">
        <v>65.70999999999999</v>
      </c>
      <c r="H30" s="32">
        <f>ROUND(F30*G30,2)</f>
        <v/>
      </c>
      <c r="I30" s="163" t="n"/>
    </row>
    <row r="31">
      <c r="A31" s="262">
        <f>A30+1</f>
        <v/>
      </c>
      <c r="B31" s="170" t="n"/>
      <c r="C31" s="170" t="inlineStr">
        <is>
          <t>91.06.06-042</t>
        </is>
      </c>
      <c r="D31" s="265" t="inlineStr">
        <is>
          <t>Подъемники гидравлические высотой подъема: 10 м</t>
        </is>
      </c>
      <c r="E31" s="262" t="inlineStr">
        <is>
          <t>маш.час</t>
        </is>
      </c>
      <c r="F31" s="262" t="n">
        <v>13.36</v>
      </c>
      <c r="G31" s="267" t="n">
        <v>29.6</v>
      </c>
      <c r="H31" s="32">
        <f>ROUND(F31*G31,2)</f>
        <v/>
      </c>
      <c r="I31" s="163" t="n"/>
    </row>
    <row r="32">
      <c r="A32" s="262">
        <f>A31+1</f>
        <v/>
      </c>
      <c r="B32" s="170" t="n"/>
      <c r="C32" s="170" t="inlineStr">
        <is>
          <t>91.16.01-001</t>
        </is>
      </c>
      <c r="D32" s="265" t="inlineStr">
        <is>
          <t>Электростанции передвижные, мощность 2 кВт</t>
        </is>
      </c>
      <c r="E32" s="262" t="inlineStr">
        <is>
          <t>маш.час</t>
        </is>
      </c>
      <c r="F32" s="262" t="n">
        <v>9.44</v>
      </c>
      <c r="G32" s="267" t="n">
        <v>22.29</v>
      </c>
      <c r="H32" s="32">
        <f>ROUND(F32*G32,2)</f>
        <v/>
      </c>
      <c r="I32" s="163" t="n"/>
    </row>
    <row r="33" ht="38.25" customHeight="1">
      <c r="A33" s="262">
        <f>A32+1</f>
        <v/>
      </c>
      <c r="B33" s="170" t="n"/>
      <c r="C33" s="170" t="inlineStr">
        <is>
          <t>91.18.01-007</t>
        </is>
      </c>
      <c r="D33" s="26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3" s="262" t="inlineStr">
        <is>
          <t>маш.час</t>
        </is>
      </c>
      <c r="F33" s="262" t="n">
        <v>1.59</v>
      </c>
      <c r="G33" s="267" t="n">
        <v>90</v>
      </c>
      <c r="H33" s="32">
        <f>ROUND(F33*G33,2)</f>
        <v/>
      </c>
      <c r="I33" s="163" t="n"/>
    </row>
    <row r="34" ht="25.5" customHeight="1">
      <c r="A34" s="262">
        <f>A33+1</f>
        <v/>
      </c>
      <c r="B34" s="170" t="n"/>
      <c r="C34" s="170" t="inlineStr">
        <is>
          <t>91.17.04-036</t>
        </is>
      </c>
      <c r="D34" s="265" t="inlineStr">
        <is>
          <t>Агрегаты сварочные передвижные номинальным сварочным током 250-400 А: с дизельным двигателем</t>
        </is>
      </c>
      <c r="E34" s="262" t="inlineStr">
        <is>
          <t>маш.час</t>
        </is>
      </c>
      <c r="F34" s="262" t="n">
        <v>5.79</v>
      </c>
      <c r="G34" s="267" t="n">
        <v>14</v>
      </c>
      <c r="H34" s="32">
        <f>ROUND(F34*G34,2)</f>
        <v/>
      </c>
      <c r="I34" s="163" t="n"/>
    </row>
    <row r="35" ht="25.5" customHeight="1">
      <c r="A35" s="262">
        <f>A34+1</f>
        <v/>
      </c>
      <c r="B35" s="170" t="n"/>
      <c r="C35" s="170" t="inlineStr">
        <is>
          <t>91.01.04-003</t>
        </is>
      </c>
      <c r="D35" s="265" t="inlineStr">
        <is>
          <t>Установки однобаровые на тракторе, мощность 79 кВт (108 л.с.), ширина щели 14 см</t>
        </is>
      </c>
      <c r="E35" s="262" t="inlineStr">
        <is>
          <t>маш.час</t>
        </is>
      </c>
      <c r="F35" s="262" t="n">
        <v>0.48</v>
      </c>
      <c r="G35" s="267" t="n">
        <v>127.95</v>
      </c>
      <c r="H35" s="32">
        <f>ROUND(F35*G35,2)</f>
        <v/>
      </c>
      <c r="I35" s="163" t="n"/>
    </row>
    <row r="36">
      <c r="A36" s="262">
        <f>A35+1</f>
        <v/>
      </c>
      <c r="B36" s="170" t="n"/>
      <c r="C36" s="170" t="inlineStr">
        <is>
          <t>91.01.01-035</t>
        </is>
      </c>
      <c r="D36" s="265" t="inlineStr">
        <is>
          <t>Бульдозеры, мощность 79 кВт (108 л.с.)</t>
        </is>
      </c>
      <c r="E36" s="262" t="inlineStr">
        <is>
          <t>маш.час</t>
        </is>
      </c>
      <c r="F36" s="262" t="n">
        <v>0.6899999999999999</v>
      </c>
      <c r="G36" s="267" t="n">
        <v>79.06999999999999</v>
      </c>
      <c r="H36" s="32">
        <f>ROUND(F36*G36,2)</f>
        <v/>
      </c>
      <c r="I36" s="163" t="n"/>
    </row>
    <row r="37" ht="38.25" customHeight="1">
      <c r="A37" s="262">
        <f>A36+1</f>
        <v/>
      </c>
      <c r="B37" s="170" t="n"/>
      <c r="C37" s="170" t="inlineStr">
        <is>
          <t>91.21.01-014</t>
        </is>
      </c>
      <c r="D37" s="265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37" s="262" t="inlineStr">
        <is>
          <t>маш.час</t>
        </is>
      </c>
      <c r="F37" s="262" t="n">
        <v>9.44</v>
      </c>
      <c r="G37" s="267" t="n">
        <v>5.59</v>
      </c>
      <c r="H37" s="32">
        <f>ROUND(F37*G37,2)</f>
        <v/>
      </c>
      <c r="I37" s="163" t="n"/>
    </row>
    <row r="38">
      <c r="A38" s="262">
        <f>A37+1</f>
        <v/>
      </c>
      <c r="B38" s="170" t="n"/>
      <c r="C38" s="170" t="inlineStr">
        <is>
          <t>91.14.02-002</t>
        </is>
      </c>
      <c r="D38" s="265" t="inlineStr">
        <is>
          <t>Автомобили бортовые, грузоподъемность: до 8 т</t>
        </is>
      </c>
      <c r="E38" s="262" t="inlineStr">
        <is>
          <t>маш.час</t>
        </is>
      </c>
      <c r="F38" s="262" t="n">
        <v>0.5</v>
      </c>
      <c r="G38" s="267" t="n">
        <v>85.84</v>
      </c>
      <c r="H38" s="32">
        <f>ROUND(F38*G38,2)</f>
        <v/>
      </c>
      <c r="I38" s="163" t="n"/>
    </row>
    <row r="39" ht="38.25" customHeight="1">
      <c r="A39" s="262">
        <f>A38+1</f>
        <v/>
      </c>
      <c r="B39" s="170" t="n"/>
      <c r="C39" s="170" t="inlineStr">
        <is>
          <t>91.18.01-011</t>
        </is>
      </c>
      <c r="D39" s="265" t="inlineStr">
        <is>
          <t>Компрессоры передвижные с электродвигателем давлением 600 кПа (6 ат), производительность: 0,5 м3/мин</t>
        </is>
      </c>
      <c r="E39" s="262" t="inlineStr">
        <is>
          <t>маш.час</t>
        </is>
      </c>
      <c r="F39" s="262" t="n">
        <v>9.44</v>
      </c>
      <c r="G39" s="267" t="n">
        <v>3.7</v>
      </c>
      <c r="H39" s="32">
        <f>ROUND(F39*G39,2)</f>
        <v/>
      </c>
      <c r="I39" s="163" t="n"/>
    </row>
    <row r="40" ht="25.5" customHeight="1">
      <c r="A40" s="262">
        <f>A39+1</f>
        <v/>
      </c>
      <c r="B40" s="170" t="n"/>
      <c r="C40" s="170" t="inlineStr">
        <is>
          <t>91.17.04-233</t>
        </is>
      </c>
      <c r="D40" s="265" t="inlineStr">
        <is>
          <t>Установки для сварки: ручной дуговой (постоянного тока)</t>
        </is>
      </c>
      <c r="E40" s="262" t="inlineStr">
        <is>
          <t>маш.час</t>
        </is>
      </c>
      <c r="F40" s="262" t="n">
        <v>3.73</v>
      </c>
      <c r="G40" s="267" t="n">
        <v>8.1</v>
      </c>
      <c r="H40" s="32">
        <f>ROUND(F40*G40,2)</f>
        <v/>
      </c>
      <c r="I40" s="163" t="n"/>
    </row>
    <row r="41" ht="25.5" customHeight="1">
      <c r="A41" s="262">
        <f>A40+1</f>
        <v/>
      </c>
      <c r="B41" s="170" t="n"/>
      <c r="C41" s="170" t="inlineStr">
        <is>
          <t>91.06.05-057</t>
        </is>
      </c>
      <c r="D41" s="265" t="inlineStr">
        <is>
          <t>Погрузчики одноковшовые универсальные фронтальные пневмоколесные, грузоподъемность 3 т</t>
        </is>
      </c>
      <c r="E41" s="262" t="inlineStr">
        <is>
          <t>маш.час</t>
        </is>
      </c>
      <c r="F41" s="262" t="n">
        <v>0.32</v>
      </c>
      <c r="G41" s="267" t="n">
        <v>90.40000000000001</v>
      </c>
      <c r="H41" s="32">
        <f>ROUND(F41*G41,2)</f>
        <v/>
      </c>
      <c r="I41" s="163" t="n"/>
    </row>
    <row r="42" ht="25.5" customHeight="1">
      <c r="A42" s="262">
        <f>A41+1</f>
        <v/>
      </c>
      <c r="B42" s="170" t="n"/>
      <c r="C42" s="170" t="inlineStr">
        <is>
          <t>91.13.03-111</t>
        </is>
      </c>
      <c r="D42" s="265" t="inlineStr">
        <is>
          <t>Спецавтомашины, грузоподъемность до 8 т, вездеходы</t>
        </is>
      </c>
      <c r="E42" s="262" t="inlineStr">
        <is>
          <t>маш.час</t>
        </is>
      </c>
      <c r="F42" s="262" t="n">
        <v>0.13</v>
      </c>
      <c r="G42" s="267" t="n">
        <v>189.95</v>
      </c>
      <c r="H42" s="32">
        <f>ROUND(F42*G42,2)</f>
        <v/>
      </c>
      <c r="I42" s="163" t="n"/>
    </row>
    <row r="43">
      <c r="A43" s="262">
        <f>A42+1</f>
        <v/>
      </c>
      <c r="B43" s="170" t="n"/>
      <c r="C43" s="170" t="inlineStr">
        <is>
          <t>91.08.04-021</t>
        </is>
      </c>
      <c r="D43" s="265" t="inlineStr">
        <is>
          <t>Котлы битумные: передвижные 400 л</t>
        </is>
      </c>
      <c r="E43" s="262" t="inlineStr">
        <is>
          <t>маш.час</t>
        </is>
      </c>
      <c r="F43" s="262" t="n">
        <v>0.57</v>
      </c>
      <c r="G43" s="267" t="n">
        <v>30</v>
      </c>
      <c r="H43" s="32">
        <f>ROUND(F43*G43,2)</f>
        <v/>
      </c>
      <c r="I43" s="163" t="n"/>
    </row>
    <row r="44">
      <c r="A44" s="262">
        <f>A43+1</f>
        <v/>
      </c>
      <c r="B44" s="170" t="n"/>
      <c r="C44" s="170" t="inlineStr">
        <is>
          <t>91.05.01-017</t>
        </is>
      </c>
      <c r="D44" s="265" t="inlineStr">
        <is>
          <t>Краны башенные, грузоподъемность 8 т</t>
        </is>
      </c>
      <c r="E44" s="262" t="inlineStr">
        <is>
          <t>маш.час</t>
        </is>
      </c>
      <c r="F44" s="262" t="n">
        <v>0.18</v>
      </c>
      <c r="G44" s="267" t="n">
        <v>86.40000000000001</v>
      </c>
      <c r="H44" s="32">
        <f>ROUND(F44*G44,2)</f>
        <v/>
      </c>
      <c r="I44" s="163" t="n"/>
    </row>
    <row r="45" ht="25.5" customHeight="1">
      <c r="A45" s="262">
        <f>A44+1</f>
        <v/>
      </c>
      <c r="B45" s="170" t="n"/>
      <c r="C45" s="170" t="inlineStr">
        <is>
          <t>91.21.01-012</t>
        </is>
      </c>
      <c r="D45" s="265" t="inlineStr">
        <is>
          <t>Агрегаты окрасочные высокого давления для окраски поверхностей конструкций, мощность 1 кВт</t>
        </is>
      </c>
      <c r="E45" s="262" t="inlineStr">
        <is>
          <t>маш.час</t>
        </is>
      </c>
      <c r="F45" s="262" t="n">
        <v>2.03</v>
      </c>
      <c r="G45" s="267" t="n">
        <v>6.82</v>
      </c>
      <c r="H45" s="32">
        <f>ROUND(F45*G45,2)</f>
        <v/>
      </c>
      <c r="I45" s="163" t="n"/>
    </row>
    <row r="46">
      <c r="A46" s="262">
        <f>A45+1</f>
        <v/>
      </c>
      <c r="B46" s="170" t="n"/>
      <c r="C46" s="170" t="inlineStr">
        <is>
          <t>91.01.01-034</t>
        </is>
      </c>
      <c r="D46" s="265" t="inlineStr">
        <is>
          <t>Бульдозеры, мощность 59 кВт (80 л.с.)</t>
        </is>
      </c>
      <c r="E46" s="262" t="inlineStr">
        <is>
          <t>маш.час</t>
        </is>
      </c>
      <c r="F46" s="262" t="n">
        <v>0.09</v>
      </c>
      <c r="G46" s="267" t="n">
        <v>59.47</v>
      </c>
      <c r="H46" s="32">
        <f>ROUND(F46*G46,2)</f>
        <v/>
      </c>
      <c r="I46" s="163" t="n"/>
    </row>
    <row r="47" ht="25.5" customHeight="1">
      <c r="A47" s="262">
        <f>A46+1</f>
        <v/>
      </c>
      <c r="B47" s="170" t="n"/>
      <c r="C47" s="170" t="inlineStr">
        <is>
          <t>91.06.01-003</t>
        </is>
      </c>
      <c r="D47" s="265" t="inlineStr">
        <is>
          <t>Домкраты гидравлические, грузоподъемность 63-100 т</t>
        </is>
      </c>
      <c r="E47" s="262" t="inlineStr">
        <is>
          <t>маш.час</t>
        </is>
      </c>
      <c r="F47" s="262" t="n">
        <v>5.88</v>
      </c>
      <c r="G47" s="267" t="n">
        <v>0.9</v>
      </c>
      <c r="H47" s="32">
        <f>ROUND(F47*G47,2)</f>
        <v/>
      </c>
      <c r="I47" s="163" t="n"/>
    </row>
    <row r="48">
      <c r="A48" s="262">
        <f>A47+1</f>
        <v/>
      </c>
      <c r="B48" s="170" t="n"/>
      <c r="C48" s="170" t="inlineStr">
        <is>
          <t>91.06.05-011</t>
        </is>
      </c>
      <c r="D48" s="265" t="inlineStr">
        <is>
          <t>Погрузчик, грузоподъемность 5 т</t>
        </is>
      </c>
      <c r="E48" s="262" t="inlineStr">
        <is>
          <t>маш.час</t>
        </is>
      </c>
      <c r="F48" s="262" t="n">
        <v>0.02</v>
      </c>
      <c r="G48" s="267" t="n">
        <v>89.98999999999999</v>
      </c>
      <c r="H48" s="32">
        <f>ROUND(F48*G48,2)</f>
        <v/>
      </c>
      <c r="I48" s="163" t="n"/>
    </row>
    <row r="49" ht="25.5" customHeight="1">
      <c r="A49" s="262">
        <f>A48+1</f>
        <v/>
      </c>
      <c r="B49" s="170" t="n"/>
      <c r="C49" s="170" t="inlineStr">
        <is>
          <t>91.08.09-023</t>
        </is>
      </c>
      <c r="D49" s="265" t="inlineStr">
        <is>
          <t>Трамбовки пневматические при работе от: передвижных компрессорных станций</t>
        </is>
      </c>
      <c r="E49" s="262" t="inlineStr">
        <is>
          <t>маш.час</t>
        </is>
      </c>
      <c r="F49" s="262" t="n">
        <v>3.18</v>
      </c>
      <c r="G49" s="267" t="n">
        <v>0.55</v>
      </c>
      <c r="H49" s="32">
        <f>ROUND(F49*G49,2)</f>
        <v/>
      </c>
      <c r="I49" s="163" t="n"/>
    </row>
    <row r="50">
      <c r="A50" s="262">
        <f>A49+1</f>
        <v/>
      </c>
      <c r="B50" s="170" t="n"/>
      <c r="C50" s="170" t="inlineStr">
        <is>
          <t>91.14.03-001</t>
        </is>
      </c>
      <c r="D50" s="265" t="inlineStr">
        <is>
          <t>Автомобиль-самосвал, грузоподъемность: до 7 т</t>
        </is>
      </c>
      <c r="E50" s="262" t="inlineStr">
        <is>
          <t>маш.час</t>
        </is>
      </c>
      <c r="F50" s="262" t="n">
        <v>0.01</v>
      </c>
      <c r="G50" s="267" t="n">
        <v>89.54000000000001</v>
      </c>
      <c r="H50" s="32">
        <f>ROUND(F50*G50,2)</f>
        <v/>
      </c>
      <c r="I50" s="163" t="n"/>
    </row>
    <row r="51">
      <c r="A51" s="262">
        <f>A50+1</f>
        <v/>
      </c>
      <c r="B51" s="170" t="n"/>
      <c r="C51" s="170" t="inlineStr">
        <is>
          <t>91.07.04-002</t>
        </is>
      </c>
      <c r="D51" s="265" t="inlineStr">
        <is>
          <t>Вибратор поверхностный</t>
        </is>
      </c>
      <c r="E51" s="262" t="inlineStr">
        <is>
          <t>маш.час</t>
        </is>
      </c>
      <c r="F51" s="262" t="n">
        <v>0.48</v>
      </c>
      <c r="G51" s="267" t="n">
        <v>0.5</v>
      </c>
      <c r="H51" s="32">
        <f>ROUND(F51*G51,2)</f>
        <v/>
      </c>
      <c r="I51" s="163" t="n"/>
    </row>
    <row r="52" ht="25.5" customHeight="1">
      <c r="A52" s="262">
        <f>A51+1</f>
        <v/>
      </c>
      <c r="B52" s="170" t="n"/>
      <c r="C52" s="170" t="inlineStr">
        <is>
          <t>91.06.03-060</t>
        </is>
      </c>
      <c r="D52" s="265" t="inlineStr">
        <is>
          <t>Лебедки электрические тяговым усилием: до 5,79 кН (0,59 т)</t>
        </is>
      </c>
      <c r="E52" s="262" t="inlineStr">
        <is>
          <t>маш.час</t>
        </is>
      </c>
      <c r="F52" s="262" t="n">
        <v>0.02</v>
      </c>
      <c r="G52" s="267" t="n">
        <v>1.7</v>
      </c>
      <c r="H52" s="32">
        <f>ROUND(F52*G52,2)</f>
        <v/>
      </c>
      <c r="I52" s="163" t="n"/>
    </row>
    <row r="53" ht="15" customHeight="1">
      <c r="A53" s="251" t="inlineStr">
        <is>
          <t>Оборудование</t>
        </is>
      </c>
      <c r="B53" s="322" t="n"/>
      <c r="C53" s="322" t="n"/>
      <c r="D53" s="323" t="n"/>
      <c r="E53" s="164" t="n"/>
      <c r="F53" s="165" t="n"/>
      <c r="G53" s="158" t="n"/>
      <c r="H53" s="32">
        <f>SUM(H54:H54)</f>
        <v/>
      </c>
      <c r="I53" s="163" t="n"/>
    </row>
    <row r="54">
      <c r="A54" s="262">
        <f>A52+1</f>
        <v/>
      </c>
      <c r="B54" s="170" t="n"/>
      <c r="C54" s="170" t="inlineStr">
        <is>
          <t>Прайс из СД ОП</t>
        </is>
      </c>
      <c r="D54" s="265" t="inlineStr">
        <is>
          <t>Оптический трансформатор тока 220 кВ</t>
        </is>
      </c>
      <c r="E54" s="262" t="inlineStr">
        <is>
          <t>шт.</t>
        </is>
      </c>
      <c r="F54" s="262" t="inlineStr">
        <is>
          <t>6</t>
        </is>
      </c>
      <c r="G54" s="267" t="n">
        <v>124396.31</v>
      </c>
      <c r="H54" s="32" t="n">
        <v>746377.86</v>
      </c>
      <c r="I54" s="163" t="n"/>
    </row>
    <row r="55" ht="15" customHeight="1">
      <c r="A55" s="250" t="inlineStr">
        <is>
          <t>Материалы</t>
        </is>
      </c>
      <c r="B55" s="322" t="n"/>
      <c r="C55" s="322" t="n"/>
      <c r="D55" s="323" t="n"/>
      <c r="E55" s="171" t="n"/>
      <c r="F55" s="171" t="n"/>
      <c r="G55" s="157" t="n"/>
      <c r="H55" s="176">
        <f>SUM(H56:H100)</f>
        <v/>
      </c>
    </row>
    <row r="56" ht="25.5" customHeight="1">
      <c r="A56" s="262">
        <f>A54+1</f>
        <v/>
      </c>
      <c r="B56" s="170" t="n"/>
      <c r="C56" s="170" t="inlineStr">
        <is>
          <t>Прайс из СД ОП</t>
        </is>
      </c>
      <c r="D56" s="265" t="inlineStr">
        <is>
          <t>Фундаменты столчатые монолитные ФМ-1 (1200х1200х1800)</t>
        </is>
      </c>
      <c r="E56" s="262" t="inlineStr">
        <is>
          <t>шт</t>
        </is>
      </c>
      <c r="F56" s="262" t="n">
        <v>6</v>
      </c>
      <c r="G56" s="267" t="n">
        <v>8040</v>
      </c>
      <c r="H56" s="32">
        <f>ROUND(F56*G56,2)</f>
        <v/>
      </c>
      <c r="I56" s="163" t="n"/>
    </row>
    <row r="57">
      <c r="A57" s="262">
        <f>A56+1</f>
        <v/>
      </c>
      <c r="B57" s="170" t="n"/>
      <c r="C57" s="170" t="inlineStr">
        <is>
          <t>07.3.02.11-0061</t>
        </is>
      </c>
      <c r="D57" s="265" t="inlineStr">
        <is>
          <t>Опоры из труб</t>
        </is>
      </c>
      <c r="E57" s="262" t="inlineStr">
        <is>
          <t>т</t>
        </is>
      </c>
      <c r="F57" s="262" t="n">
        <v>1.4841</v>
      </c>
      <c r="G57" s="267" t="n">
        <v>20919.87</v>
      </c>
      <c r="H57" s="32">
        <f>ROUND(F57*G57,2)</f>
        <v/>
      </c>
      <c r="I57" s="163" t="n"/>
    </row>
    <row r="58" ht="25.5" customHeight="1">
      <c r="A58" s="262">
        <f>A57+1</f>
        <v/>
      </c>
      <c r="B58" s="170" t="n"/>
      <c r="C58" s="170" t="inlineStr">
        <is>
          <t>20.2.10.03-0006</t>
        </is>
      </c>
      <c r="D58" s="265" t="inlineStr">
        <is>
          <t>Наконечники кабельные: медные соединительные (ТМЛ 10-5-5)</t>
        </is>
      </c>
      <c r="E58" s="262" t="inlineStr">
        <is>
          <t>100 шт.</t>
        </is>
      </c>
      <c r="F58" s="262" t="n">
        <v>50</v>
      </c>
      <c r="G58" s="267" t="n">
        <v>365</v>
      </c>
      <c r="H58" s="32">
        <f>ROUND(F58*G58,2)</f>
        <v/>
      </c>
      <c r="I58" s="163" t="n"/>
    </row>
    <row r="59" ht="25.5" customHeight="1">
      <c r="A59" s="262">
        <f>A58+1</f>
        <v/>
      </c>
      <c r="B59" s="170" t="n"/>
      <c r="C59" s="170" t="inlineStr">
        <is>
          <t>21.1.06.10-0411</t>
        </is>
      </c>
      <c r="D59" s="265" t="inlineStr">
        <is>
          <t>Кабель силовой с медными жилами ВВГнг(A)-LS 5х16мк(N, РЕ)-1000</t>
        </is>
      </c>
      <c r="E59" s="262" t="inlineStr">
        <is>
          <t>1000 м</t>
        </is>
      </c>
      <c r="F59" s="262">
        <f>0.011*3*2</f>
        <v/>
      </c>
      <c r="G59" s="267" t="n">
        <v>98440.41</v>
      </c>
      <c r="H59" s="32">
        <f>ROUND(F59*G59,2)</f>
        <v/>
      </c>
      <c r="I59" s="163" t="n"/>
    </row>
    <row r="60" ht="51" customHeight="1">
      <c r="A60" s="262">
        <f>A59+1</f>
        <v/>
      </c>
      <c r="B60" s="170" t="n"/>
      <c r="C60" s="170" t="inlineStr">
        <is>
          <t>21.2.01.02-0094</t>
        </is>
      </c>
      <c r="D60" s="26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E60" s="262" t="inlineStr">
        <is>
          <t>т</t>
        </is>
      </c>
      <c r="F60" s="262" t="n">
        <v>0.14751</v>
      </c>
      <c r="G60" s="267" t="n">
        <v>32758.86</v>
      </c>
      <c r="H60" s="32">
        <f>ROUND(F60*G60,2)</f>
        <v/>
      </c>
      <c r="I60" s="163" t="n"/>
    </row>
    <row r="61">
      <c r="A61" s="262">
        <f>A60+1</f>
        <v/>
      </c>
      <c r="B61" s="170" t="n"/>
      <c r="C61" s="170" t="inlineStr">
        <is>
          <t>21.1.08.03-0574</t>
        </is>
      </c>
      <c r="D61" s="265" t="inlineStr">
        <is>
          <t>Кабель контрольный КВВГЭнг(А)-LS 4x2,5</t>
        </is>
      </c>
      <c r="E61" s="262" t="inlineStr">
        <is>
          <t>1000 м</t>
        </is>
      </c>
      <c r="F61" s="262">
        <f>0.018*3*2</f>
        <v/>
      </c>
      <c r="G61" s="267" t="n">
        <v>38348.22</v>
      </c>
      <c r="H61" s="32">
        <f>F61*G61</f>
        <v/>
      </c>
      <c r="I61" s="163" t="n"/>
    </row>
    <row r="62">
      <c r="A62" s="262">
        <f>A61+1</f>
        <v/>
      </c>
      <c r="B62" s="170" t="n"/>
      <c r="C62" s="170" t="inlineStr">
        <is>
          <t>20.5.04.06-0003</t>
        </is>
      </c>
      <c r="D62" s="265" t="inlineStr">
        <is>
          <t>Зажим разъемный ответвительный РОА-300-1</t>
        </is>
      </c>
      <c r="E62" s="262" t="inlineStr">
        <is>
          <t>шт.</t>
        </is>
      </c>
      <c r="F62" s="262" t="n">
        <v>9</v>
      </c>
      <c r="G62" s="267" t="n">
        <v>143.88</v>
      </c>
      <c r="H62" s="32">
        <f>ROUND(F62*G62,2)</f>
        <v/>
      </c>
      <c r="I62" s="163" t="n"/>
    </row>
    <row r="63" ht="25.5" customHeight="1">
      <c r="A63" s="262">
        <f>A62+1</f>
        <v/>
      </c>
      <c r="B63" s="170" t="n"/>
      <c r="C63" s="170" t="inlineStr">
        <is>
          <t>05.1.01.10-0131</t>
        </is>
      </c>
      <c r="D63" s="265" t="inlineStr">
        <is>
          <t>Лотки каналов и тоннелей железобетонные для прокладки коммуникаций</t>
        </is>
      </c>
      <c r="E63" s="262" t="inlineStr">
        <is>
          <t>м3</t>
        </is>
      </c>
      <c r="F63" s="262">
        <f>0.28*2</f>
        <v/>
      </c>
      <c r="G63" s="267" t="n">
        <v>1837.28</v>
      </c>
      <c r="H63" s="32">
        <f>F63*G63</f>
        <v/>
      </c>
      <c r="I63" s="163" t="n"/>
    </row>
    <row r="64">
      <c r="A64" s="262">
        <f>A63+1</f>
        <v/>
      </c>
      <c r="B64" s="170" t="n"/>
      <c r="C64" s="170" t="inlineStr">
        <is>
          <t>20.1.01.02-0066</t>
        </is>
      </c>
      <c r="D64" s="265" t="inlineStr">
        <is>
          <t>Зажим аппаратный прессуемый: А4А-300-2</t>
        </is>
      </c>
      <c r="E64" s="262" t="inlineStr">
        <is>
          <t>100 шт.</t>
        </is>
      </c>
      <c r="F64" s="262" t="n">
        <v>0.15</v>
      </c>
      <c r="G64" s="267" t="n">
        <v>6080</v>
      </c>
      <c r="H64" s="32">
        <f>ROUND(F64*G64,2)</f>
        <v/>
      </c>
      <c r="I64" s="163" t="n"/>
    </row>
    <row r="65">
      <c r="A65" s="262">
        <f>A64+1</f>
        <v/>
      </c>
      <c r="B65" s="170" t="n"/>
      <c r="C65" s="170" t="inlineStr">
        <is>
          <t>01.7.15.03-0041</t>
        </is>
      </c>
      <c r="D65" s="265" t="inlineStr">
        <is>
          <t>Болты с гайками и шайбами строительные</t>
        </is>
      </c>
      <c r="E65" s="262" t="inlineStr">
        <is>
          <t>т</t>
        </is>
      </c>
      <c r="F65" s="262" t="n">
        <v>0.09973799999999999</v>
      </c>
      <c r="G65" s="267" t="n">
        <v>9040.01</v>
      </c>
      <c r="H65" s="32">
        <f>ROUND(F65*G65,2)</f>
        <v/>
      </c>
      <c r="I65" s="163" t="n"/>
    </row>
    <row r="66" ht="25.5" customHeight="1">
      <c r="A66" s="262">
        <f>A65+1</f>
        <v/>
      </c>
      <c r="B66" s="170" t="n"/>
      <c r="C66" s="170" t="inlineStr">
        <is>
          <t>04.1.02.05-0045</t>
        </is>
      </c>
      <c r="D66" s="265" t="inlineStr">
        <is>
          <t>Бетон тяжелый, крупность заполнителя: 20 мм, класс В22,5 (М300)</t>
        </is>
      </c>
      <c r="E66" s="262" t="inlineStr">
        <is>
          <t>м3</t>
        </is>
      </c>
      <c r="F66" s="262" t="n">
        <v>1.02</v>
      </c>
      <c r="G66" s="267" t="n">
        <v>668.28</v>
      </c>
      <c r="H66" s="32">
        <f>ROUND(F66*G66,2)</f>
        <v/>
      </c>
      <c r="I66" s="163" t="n"/>
    </row>
    <row r="67" ht="25.5" customHeight="1">
      <c r="A67" s="262">
        <f>A66+1</f>
        <v/>
      </c>
      <c r="B67" s="170" t="n"/>
      <c r="C67" s="170" t="inlineStr">
        <is>
          <t>08.3.08.01-0026</t>
        </is>
      </c>
      <c r="D67" s="265" t="inlineStr">
        <is>
          <t>Сталь угловая неравнополочная, марка стали: 18сп, ширина большей полки 63-160 мм</t>
        </is>
      </c>
      <c r="E67" s="262" t="inlineStr">
        <is>
          <t>т</t>
        </is>
      </c>
      <c r="F67" s="262" t="n">
        <v>0.1068</v>
      </c>
      <c r="G67" s="267" t="n">
        <v>5443.44</v>
      </c>
      <c r="H67" s="32">
        <f>ROUND(F67*G67,2)</f>
        <v/>
      </c>
      <c r="I67" s="163" t="n"/>
    </row>
    <row r="68">
      <c r="A68" s="262">
        <f>A67+1</f>
        <v/>
      </c>
      <c r="B68" s="170" t="n"/>
      <c r="C68" s="170" t="inlineStr">
        <is>
          <t>01.2.03.02-0011</t>
        </is>
      </c>
      <c r="D68" s="265" t="inlineStr">
        <is>
          <t>Грунтовка: ГТ-752</t>
        </is>
      </c>
      <c r="E68" s="262" t="inlineStr">
        <is>
          <t>т</t>
        </is>
      </c>
      <c r="F68" s="262" t="n">
        <v>0.02</v>
      </c>
      <c r="G68" s="267" t="n">
        <v>23152.8</v>
      </c>
      <c r="H68" s="32">
        <f>ROUND(F68*G68,2)</f>
        <v/>
      </c>
      <c r="I68" s="163" t="n"/>
    </row>
    <row r="69">
      <c r="A69" s="262">
        <f>A68+1</f>
        <v/>
      </c>
      <c r="B69" s="170" t="n"/>
      <c r="C69" s="170" t="inlineStr">
        <is>
          <t>01.2.03.03-0011</t>
        </is>
      </c>
      <c r="D69" s="265" t="inlineStr">
        <is>
          <t>Мастика битумная гидроизоляционная МГ-1</t>
        </is>
      </c>
      <c r="E69" s="262" t="inlineStr">
        <is>
          <t>т</t>
        </is>
      </c>
      <c r="F69" s="262" t="n">
        <v>0.06</v>
      </c>
      <c r="G69" s="267" t="n">
        <v>7669.69</v>
      </c>
      <c r="H69" s="32">
        <f>ROUND(F69*G69,2)</f>
        <v/>
      </c>
      <c r="I69" s="163" t="n"/>
    </row>
    <row r="70" ht="25.5" customHeight="1">
      <c r="A70" s="262">
        <f>A69+1</f>
        <v/>
      </c>
      <c r="B70" s="170" t="n"/>
      <c r="C70" s="170" t="inlineStr">
        <is>
          <t>08.3.07.01-0076</t>
        </is>
      </c>
      <c r="D70" s="265" t="inlineStr">
        <is>
          <t>Сталь полосовая, марка стали: Ст3сп шириной 50-200 мм толщиной 4-5 мм</t>
        </is>
      </c>
      <c r="E70" s="262" t="inlineStr">
        <is>
          <t>т</t>
        </is>
      </c>
      <c r="F70" s="262" t="n">
        <v>0.092</v>
      </c>
      <c r="G70" s="267" t="n">
        <v>5000</v>
      </c>
      <c r="H70" s="32">
        <f>ROUND(F70*G70,2)</f>
        <v/>
      </c>
      <c r="I70" s="163" t="n"/>
    </row>
    <row r="71" ht="25.5" customHeight="1">
      <c r="A71" s="262">
        <f>A70+1</f>
        <v/>
      </c>
      <c r="B71" s="170" t="n"/>
      <c r="C71" s="170" t="inlineStr">
        <is>
          <t>02.2.05.04-0047</t>
        </is>
      </c>
      <c r="D71" s="265" t="inlineStr">
        <is>
          <t>Щебень из гравия для строительных работ марка 600, фракция 20-40 мм</t>
        </is>
      </c>
      <c r="E71" s="262" t="inlineStr">
        <is>
          <t>м3</t>
        </is>
      </c>
      <c r="F71" s="262" t="n">
        <v>3.9</v>
      </c>
      <c r="G71" s="267" t="n">
        <v>114.13</v>
      </c>
      <c r="H71" s="32">
        <f>ROUND(F71*G71,2)</f>
        <v/>
      </c>
      <c r="I71" s="163" t="n"/>
    </row>
    <row r="72">
      <c r="A72" s="262">
        <f>A71+1</f>
        <v/>
      </c>
      <c r="B72" s="170" t="n"/>
      <c r="C72" s="170" t="inlineStr">
        <is>
          <t>01.7.17.11-0001</t>
        </is>
      </c>
      <c r="D72" s="265" t="inlineStr">
        <is>
          <t>Бумага шлифовальная</t>
        </is>
      </c>
      <c r="E72" s="262" t="inlineStr">
        <is>
          <t>кг</t>
        </is>
      </c>
      <c r="F72" s="262" t="n">
        <v>8</v>
      </c>
      <c r="G72" s="267" t="n">
        <v>50</v>
      </c>
      <c r="H72" s="32">
        <f>ROUND(F72*G72,2)</f>
        <v/>
      </c>
      <c r="I72" s="163" t="n"/>
    </row>
    <row r="73" ht="25.5" customHeight="1">
      <c r="A73" s="262">
        <f>A72+1</f>
        <v/>
      </c>
      <c r="B73" s="170" t="n"/>
      <c r="C73" s="170" t="inlineStr">
        <is>
          <t>01.7.15.03-0034</t>
        </is>
      </c>
      <c r="D73" s="265" t="inlineStr">
        <is>
          <t>Болты с гайками и шайбами оцинкованные, диаметр: 12 мм</t>
        </is>
      </c>
      <c r="E73" s="262" t="inlineStr">
        <is>
          <t>кг</t>
        </is>
      </c>
      <c r="F73" s="262" t="n">
        <v>12.02624</v>
      </c>
      <c r="G73" s="267" t="n">
        <v>25.76</v>
      </c>
      <c r="H73" s="32">
        <f>ROUND(F73*G73,2)</f>
        <v/>
      </c>
      <c r="I73" s="163" t="n"/>
    </row>
    <row r="74" ht="25.5" customHeight="1">
      <c r="A74" s="262">
        <f>A73+1</f>
        <v/>
      </c>
      <c r="B74" s="170" t="n"/>
      <c r="C74" s="170" t="inlineStr">
        <is>
          <t>08.3.07.01-0064</t>
        </is>
      </c>
      <c r="D74" s="265" t="inlineStr">
        <is>
          <t>Сталь полосовая: горячекатаная, марки Ст3, толщина 2-6 мм, ширина 30-40 мм, перфорированная</t>
        </is>
      </c>
      <c r="E74" s="262" t="inlineStr">
        <is>
          <t>м</t>
        </is>
      </c>
      <c r="F74" s="262" t="n">
        <v>25</v>
      </c>
      <c r="G74" s="267" t="n">
        <v>12.37</v>
      </c>
      <c r="H74" s="32">
        <f>ROUND(F74*G74,2)</f>
        <v/>
      </c>
      <c r="I74" s="163" t="n"/>
    </row>
    <row r="75">
      <c r="A75" s="262">
        <f>A74+1</f>
        <v/>
      </c>
      <c r="B75" s="170" t="n"/>
      <c r="C75" s="170" t="inlineStr">
        <is>
          <t>02.2.05.04-1777</t>
        </is>
      </c>
      <c r="D75" s="265" t="inlineStr">
        <is>
          <t>Щебень М 800, фракция 20-40 мм, группа 2</t>
        </is>
      </c>
      <c r="E75" s="262" t="inlineStr">
        <is>
          <t>м3</t>
        </is>
      </c>
      <c r="F75" s="262">
        <f>1.2*1*2</f>
        <v/>
      </c>
      <c r="G75" s="267" t="n">
        <v>108.4</v>
      </c>
      <c r="H75" s="32">
        <f>F75*G75</f>
        <v/>
      </c>
      <c r="I75" s="163" t="n"/>
    </row>
    <row r="76">
      <c r="A76" s="262">
        <f>A75+1</f>
        <v/>
      </c>
      <c r="B76" s="170" t="n"/>
      <c r="C76" s="170" t="inlineStr">
        <is>
          <t>08.3.11.01-0048</t>
        </is>
      </c>
      <c r="D76" s="265" t="inlineStr">
        <is>
          <t>Швеллеры: № 10 сталь марки ВСт3пс5</t>
        </is>
      </c>
      <c r="E76" s="262" t="inlineStr">
        <is>
          <t>т</t>
        </is>
      </c>
      <c r="F76" s="262" t="n">
        <v>0.0516</v>
      </c>
      <c r="G76" s="267" t="n">
        <v>4642.28</v>
      </c>
      <c r="H76" s="32">
        <f>ROUND(F76*G76,2)</f>
        <v/>
      </c>
      <c r="I76" s="163" t="n"/>
    </row>
    <row r="77">
      <c r="A77" s="262">
        <f>A76+1</f>
        <v/>
      </c>
      <c r="B77" s="170" t="n"/>
      <c r="C77" s="170" t="inlineStr">
        <is>
          <t>14.5.09.11-0101</t>
        </is>
      </c>
      <c r="D77" s="265" t="inlineStr">
        <is>
          <t>Уайт-спирит</t>
        </is>
      </c>
      <c r="E77" s="262" t="inlineStr">
        <is>
          <t>т</t>
        </is>
      </c>
      <c r="F77" s="262" t="n">
        <v>0.0299</v>
      </c>
      <c r="G77" s="267" t="n">
        <v>6667</v>
      </c>
      <c r="H77" s="32">
        <f>ROUND(F77*G77,2)</f>
        <v/>
      </c>
      <c r="I77" s="163" t="n"/>
    </row>
    <row r="78">
      <c r="A78" s="262">
        <f>A77+1</f>
        <v/>
      </c>
      <c r="B78" s="170" t="n"/>
      <c r="C78" s="170" t="inlineStr">
        <is>
          <t>04.3.01.09-0011</t>
        </is>
      </c>
      <c r="D78" s="265" t="inlineStr">
        <is>
          <t>Раствор готовый кладочный цементный марки: 25</t>
        </is>
      </c>
      <c r="E78" s="262" t="inlineStr">
        <is>
          <t>м3</t>
        </is>
      </c>
      <c r="F78" s="262" t="n">
        <v>0.4175</v>
      </c>
      <c r="G78" s="267" t="n">
        <v>463.3</v>
      </c>
      <c r="H78" s="32">
        <f>ROUND(F78*G78,2)</f>
        <v/>
      </c>
      <c r="I78" s="163" t="n"/>
    </row>
    <row r="79" ht="25.5" customHeight="1">
      <c r="A79" s="262">
        <f>A78+1</f>
        <v/>
      </c>
      <c r="B79" s="170" t="n"/>
      <c r="C79" s="170" t="inlineStr">
        <is>
          <t>14.4.02.04-0175</t>
        </is>
      </c>
      <c r="D79" s="265" t="inlineStr">
        <is>
          <t>Краски масляные и алкидные земляные, готовые к применению: сурик железный МА-15, ПФ-14</t>
        </is>
      </c>
      <c r="E79" s="262" t="inlineStr">
        <is>
          <t>т</t>
        </is>
      </c>
      <c r="F79" s="262" t="n">
        <v>0.0107</v>
      </c>
      <c r="G79" s="267" t="n">
        <v>15584</v>
      </c>
      <c r="H79" s="32">
        <f>ROUND(F79*G79,2)</f>
        <v/>
      </c>
      <c r="I79" s="163" t="n"/>
    </row>
    <row r="80">
      <c r="A80" s="262">
        <f>A79+1</f>
        <v/>
      </c>
      <c r="B80" s="170" t="n"/>
      <c r="C80" s="170" t="inlineStr">
        <is>
          <t>01.7.15.03-0042</t>
        </is>
      </c>
      <c r="D80" s="265" t="inlineStr">
        <is>
          <t>Болты с гайками и шайбами строительные</t>
        </is>
      </c>
      <c r="E80" s="262" t="inlineStr">
        <is>
          <t>кг</t>
        </is>
      </c>
      <c r="F80" s="262" t="n">
        <v>15.22</v>
      </c>
      <c r="G80" s="267" t="n">
        <v>9.039999999999999</v>
      </c>
      <c r="H80" s="32">
        <f>ROUND(F80*G80,2)</f>
        <v/>
      </c>
      <c r="I80" s="163" t="n"/>
    </row>
    <row r="81" ht="25.5" customHeight="1">
      <c r="A81" s="262">
        <f>A80+1</f>
        <v/>
      </c>
      <c r="B81" s="170" t="n"/>
      <c r="C81" s="170" t="inlineStr">
        <is>
          <t>08.4.03.02-0004</t>
        </is>
      </c>
      <c r="D81" s="265" t="inlineStr">
        <is>
          <t>Горячекатаная арматурная сталь гладкая класса А-I, диаметром: 12 мм</t>
        </is>
      </c>
      <c r="E81" s="262" t="inlineStr">
        <is>
          <t>т</t>
        </is>
      </c>
      <c r="F81" s="262" t="n">
        <v>0.018</v>
      </c>
      <c r="G81" s="267" t="n">
        <v>6508.75</v>
      </c>
      <c r="H81" s="32">
        <f>ROUND(F81*G81,2)</f>
        <v/>
      </c>
      <c r="I81" s="163" t="n"/>
    </row>
    <row r="82">
      <c r="A82" s="262">
        <f>A81+1</f>
        <v/>
      </c>
      <c r="B82" s="170" t="n"/>
      <c r="C82" s="170" t="inlineStr">
        <is>
          <t>01.7.11.07-0032</t>
        </is>
      </c>
      <c r="D82" s="265" t="inlineStr">
        <is>
          <t>Электроды диаметром: 4 мм Э42</t>
        </is>
      </c>
      <c r="E82" s="262" t="inlineStr">
        <is>
          <t>т</t>
        </is>
      </c>
      <c r="F82" s="262" t="n">
        <v>0.0101</v>
      </c>
      <c r="G82" s="267" t="n">
        <v>10315.01</v>
      </c>
      <c r="H82" s="32">
        <f>ROUND(F82*G82,2)</f>
        <v/>
      </c>
      <c r="I82" s="163" t="n"/>
    </row>
    <row r="83">
      <c r="A83" s="262">
        <f>A82+1</f>
        <v/>
      </c>
      <c r="B83" s="170" t="n"/>
      <c r="C83" s="170" t="inlineStr">
        <is>
          <t>14.4.02.09-0001</t>
        </is>
      </c>
      <c r="D83" s="265" t="inlineStr">
        <is>
          <t>Краска</t>
        </is>
      </c>
      <c r="E83" s="262" t="inlineStr">
        <is>
          <t>кг</t>
        </is>
      </c>
      <c r="F83" s="262" t="n">
        <v>3.6</v>
      </c>
      <c r="G83" s="267" t="n">
        <v>28.6</v>
      </c>
      <c r="H83" s="32">
        <f>ROUND(F83*G83,2)</f>
        <v/>
      </c>
      <c r="I83" s="163" t="n"/>
    </row>
    <row r="84">
      <c r="A84" s="262">
        <f>A83+1</f>
        <v/>
      </c>
      <c r="B84" s="170" t="n"/>
      <c r="C84" s="170" t="inlineStr">
        <is>
          <t>14.5.05.01-0012</t>
        </is>
      </c>
      <c r="D84" s="265" t="inlineStr">
        <is>
          <t>Олифа комбинированная, марки: К-3</t>
        </is>
      </c>
      <c r="E84" s="262" t="inlineStr">
        <is>
          <t>т</t>
        </is>
      </c>
      <c r="F84" s="262" t="n">
        <v>0.0057</v>
      </c>
      <c r="G84" s="267" t="n">
        <v>16950</v>
      </c>
      <c r="H84" s="32">
        <f>ROUND(F84*G84,2)</f>
        <v/>
      </c>
      <c r="I84" s="163" t="n"/>
    </row>
    <row r="85">
      <c r="A85" s="262">
        <f>A84+1</f>
        <v/>
      </c>
      <c r="B85" s="170" t="n"/>
      <c r="C85" s="170" t="inlineStr">
        <is>
          <t>02.3.01.02-0015</t>
        </is>
      </c>
      <c r="D85" s="265" t="inlineStr">
        <is>
          <t>Песок природный для строительных: работ средний</t>
        </is>
      </c>
      <c r="E85" s="262" t="inlineStr">
        <is>
          <t>м3</t>
        </is>
      </c>
      <c r="F85" s="262" t="n">
        <v>1.2</v>
      </c>
      <c r="G85" s="267" t="n">
        <v>55.26</v>
      </c>
      <c r="H85" s="32">
        <f>ROUND(F85*G85,2)</f>
        <v/>
      </c>
      <c r="I85" s="163" t="n"/>
    </row>
    <row r="86">
      <c r="A86" s="262">
        <f>A85+1</f>
        <v/>
      </c>
      <c r="B86" s="170" t="n"/>
      <c r="C86" s="170" t="inlineStr">
        <is>
          <t>01.7.20.08-0031</t>
        </is>
      </c>
      <c r="D86" s="265" t="inlineStr">
        <is>
          <t>Бязь суровая арт. 6804</t>
        </is>
      </c>
      <c r="E86" s="262" t="inlineStr">
        <is>
          <t>10 м2</t>
        </is>
      </c>
      <c r="F86" s="262" t="n">
        <v>0.78</v>
      </c>
      <c r="G86" s="267" t="n">
        <v>79.09999999999999</v>
      </c>
      <c r="H86" s="32">
        <f>ROUND(F86*G86,2)</f>
        <v/>
      </c>
      <c r="I86" s="163" t="n"/>
    </row>
    <row r="87" ht="25.5" customHeight="1">
      <c r="A87" s="262">
        <f>A86+1</f>
        <v/>
      </c>
      <c r="B87" s="170" t="n"/>
      <c r="C87" s="170" t="inlineStr">
        <is>
          <t>01.3.01.06-0050</t>
        </is>
      </c>
      <c r="D87" s="265" t="inlineStr">
        <is>
          <t>Смазка универсальная тугоплавкая УТ (консталин жировой)</t>
        </is>
      </c>
      <c r="E87" s="262" t="inlineStr">
        <is>
          <t>т</t>
        </is>
      </c>
      <c r="F87" s="262" t="n">
        <v>0.0034</v>
      </c>
      <c r="G87" s="267" t="n">
        <v>17500</v>
      </c>
      <c r="H87" s="32">
        <f>ROUND(F87*G87,2)</f>
        <v/>
      </c>
      <c r="I87" s="163" t="n"/>
    </row>
    <row r="88" ht="25.5" customHeight="1">
      <c r="A88" s="262">
        <f>A87+1</f>
        <v/>
      </c>
      <c r="B88" s="170" t="n"/>
      <c r="C88" s="170" t="inlineStr">
        <is>
          <t>21.2.03.09-0003</t>
        </is>
      </c>
      <c r="D88" s="265" t="inlineStr">
        <is>
          <t>Провод медный для заземления (ПВ-3 10мм2-135гр/м)</t>
        </is>
      </c>
      <c r="E88" s="262" t="inlineStr">
        <is>
          <t>кг</t>
        </is>
      </c>
      <c r="F88" s="262" t="n">
        <v>0.945</v>
      </c>
      <c r="G88" s="267" t="n">
        <v>39.7</v>
      </c>
      <c r="H88" s="32">
        <f>ROUND(F88*G88,2)</f>
        <v/>
      </c>
      <c r="I88" s="163" t="n"/>
    </row>
    <row r="89">
      <c r="A89" s="262">
        <f>A88+1</f>
        <v/>
      </c>
      <c r="B89" s="170" t="n"/>
      <c r="C89" s="170" t="inlineStr">
        <is>
          <t>01.7.11.07-0034</t>
        </is>
      </c>
      <c r="D89" s="265" t="inlineStr">
        <is>
          <t>Электроды диаметром: 4 мм Э42А</t>
        </is>
      </c>
      <c r="E89" s="262" t="inlineStr">
        <is>
          <t>кг</t>
        </is>
      </c>
      <c r="F89" s="262" t="n">
        <v>3.065</v>
      </c>
      <c r="G89" s="267" t="n">
        <v>10.57</v>
      </c>
      <c r="H89" s="32">
        <f>ROUND(F89*G89,2)</f>
        <v/>
      </c>
      <c r="I89" s="163" t="n"/>
    </row>
    <row r="90">
      <c r="A90" s="262">
        <f>A89+1</f>
        <v/>
      </c>
      <c r="B90" s="170" t="n"/>
      <c r="C90" s="170" t="inlineStr">
        <is>
          <t>14.4.02.09-0301</t>
        </is>
      </c>
      <c r="D90" s="265" t="inlineStr">
        <is>
          <t>Краска "Цинол"</t>
        </is>
      </c>
      <c r="E90" s="262" t="inlineStr">
        <is>
          <t>кг</t>
        </is>
      </c>
      <c r="F90" s="262" t="n">
        <v>0.115</v>
      </c>
      <c r="G90" s="267" t="n">
        <v>238.48</v>
      </c>
      <c r="H90" s="32">
        <f>ROUND(F90*G90,2)</f>
        <v/>
      </c>
      <c r="I90" s="163" t="n"/>
    </row>
    <row r="91" ht="25.5" customHeight="1">
      <c r="A91" s="262">
        <f>A90+1</f>
        <v/>
      </c>
      <c r="B91" s="170" t="n"/>
      <c r="C91" s="170" t="inlineStr">
        <is>
          <t>999-9950</t>
        </is>
      </c>
      <c r="D91" s="265" t="inlineStr">
        <is>
          <t>Вспомогательные ненормируемые ресурсы (2% от Оплаты труда рабочих)</t>
        </is>
      </c>
      <c r="E91" s="262" t="inlineStr">
        <is>
          <t>руб</t>
        </is>
      </c>
      <c r="F91" s="262" t="n">
        <v>21.0035</v>
      </c>
      <c r="G91" s="267" t="n">
        <v>1</v>
      </c>
      <c r="H91" s="32">
        <f>ROUND(F91*G91,2)</f>
        <v/>
      </c>
      <c r="I91" s="163" t="n"/>
    </row>
    <row r="92" ht="25.5" customHeight="1">
      <c r="A92" s="262">
        <f>A91+1</f>
        <v/>
      </c>
      <c r="B92" s="170" t="n"/>
      <c r="C92" s="170" t="inlineStr">
        <is>
          <t>01.7.15.03-0031</t>
        </is>
      </c>
      <c r="D92" s="265" t="inlineStr">
        <is>
          <t>Болты с гайками и шайбами оцинкованные, диаметр: 6 мм (М5)</t>
        </is>
      </c>
      <c r="E92" s="262" t="inlineStr">
        <is>
          <t>кг</t>
        </is>
      </c>
      <c r="F92" s="262" t="n">
        <v>0.63735</v>
      </c>
      <c r="G92" s="267" t="n">
        <v>28.22</v>
      </c>
      <c r="H92" s="32">
        <f>ROUND(F92*G92,2)</f>
        <v/>
      </c>
      <c r="I92" s="163" t="n"/>
    </row>
    <row r="93">
      <c r="A93" s="262">
        <f>A92+1</f>
        <v/>
      </c>
      <c r="B93" s="170" t="n"/>
      <c r="C93" s="170" t="inlineStr">
        <is>
          <t>01.7.15.07-0014</t>
        </is>
      </c>
      <c r="D93" s="265" t="inlineStr">
        <is>
          <t>Дюбели распорные полипропиленовые</t>
        </is>
      </c>
      <c r="E93" s="262" t="inlineStr">
        <is>
          <t>100 шт.</t>
        </is>
      </c>
      <c r="F93" s="262" t="n">
        <v>0.1428</v>
      </c>
      <c r="G93" s="267" t="n">
        <v>86</v>
      </c>
      <c r="H93" s="32">
        <f>ROUND(F93*G93,2)</f>
        <v/>
      </c>
      <c r="I93" s="163" t="n"/>
    </row>
    <row r="94">
      <c r="A94" s="262">
        <f>A93+1</f>
        <v/>
      </c>
      <c r="B94" s="170" t="n"/>
      <c r="C94" s="170" t="inlineStr">
        <is>
          <t>01.3.01.03-0002</t>
        </is>
      </c>
      <c r="D94" s="265" t="inlineStr">
        <is>
          <t>Керосин для технических целей марок КТ-1, КТ-2</t>
        </is>
      </c>
      <c r="E94" s="262" t="inlineStr">
        <is>
          <t>т</t>
        </is>
      </c>
      <c r="F94" s="262" t="n">
        <v>0.004</v>
      </c>
      <c r="G94" s="267" t="n">
        <v>2606.9</v>
      </c>
      <c r="H94" s="32">
        <f>ROUND(F94*G94,2)</f>
        <v/>
      </c>
      <c r="I94" s="163" t="n"/>
    </row>
    <row r="95">
      <c r="A95" s="262">
        <f>A94+1</f>
        <v/>
      </c>
      <c r="B95" s="170" t="n"/>
      <c r="C95" s="170" t="inlineStr">
        <is>
          <t>01.7.07.12-0024</t>
        </is>
      </c>
      <c r="D95" s="265" t="inlineStr">
        <is>
          <t>Пленка полиэтиленовая толщиной: 0,15 мм</t>
        </is>
      </c>
      <c r="E95" s="262" t="inlineStr">
        <is>
          <t>м2</t>
        </is>
      </c>
      <c r="F95" s="262" t="n">
        <v>2.5</v>
      </c>
      <c r="G95" s="267" t="n">
        <v>3.62</v>
      </c>
      <c r="H95" s="32">
        <f>ROUND(F95*G95,2)</f>
        <v/>
      </c>
      <c r="I95" s="163" t="n"/>
    </row>
    <row r="96">
      <c r="A96" s="262">
        <f>A95+1</f>
        <v/>
      </c>
      <c r="B96" s="170" t="n"/>
      <c r="C96" s="170" t="inlineStr">
        <is>
          <t>01.2.01.02-0054</t>
        </is>
      </c>
      <c r="D96" s="265" t="inlineStr">
        <is>
          <t>Битумы нефтяные строительные марки: БН-90/10</t>
        </is>
      </c>
      <c r="E96" s="262" t="inlineStr">
        <is>
          <t>т</t>
        </is>
      </c>
      <c r="F96" s="262" t="n">
        <v>0.0027</v>
      </c>
      <c r="G96" s="267" t="n">
        <v>1383.1</v>
      </c>
      <c r="H96" s="32">
        <f>ROUND(F96*G96,2)</f>
        <v/>
      </c>
      <c r="I96" s="163" t="n"/>
    </row>
    <row r="97">
      <c r="A97" s="262">
        <f>A96+1</f>
        <v/>
      </c>
      <c r="B97" s="170" t="n"/>
      <c r="C97" s="170" t="inlineStr">
        <is>
          <t>01.7.03.01-0001</t>
        </is>
      </c>
      <c r="D97" s="265" t="inlineStr">
        <is>
          <t>Вода</t>
        </is>
      </c>
      <c r="E97" s="262" t="inlineStr">
        <is>
          <t>м3</t>
        </is>
      </c>
      <c r="F97" s="262" t="n">
        <v>0.602</v>
      </c>
      <c r="G97" s="267" t="n">
        <v>2.44</v>
      </c>
      <c r="H97" s="32">
        <f>ROUND(F97*G97,2)</f>
        <v/>
      </c>
      <c r="I97" s="163" t="n"/>
    </row>
    <row r="98" ht="25.5" customHeight="1">
      <c r="A98" s="262">
        <f>A97+1</f>
        <v/>
      </c>
      <c r="B98" s="170" t="n"/>
      <c r="C98" s="170" t="inlineStr">
        <is>
          <t>08.3.05.02-0101</t>
        </is>
      </c>
      <c r="D98" s="265" t="inlineStr">
        <is>
          <t>Сталь листовая углеродистая обыкновенного качества марки ВСт3пс5 толщиной: 4-6 мм</t>
        </is>
      </c>
      <c r="E98" s="262" t="inlineStr">
        <is>
          <t>т</t>
        </is>
      </c>
      <c r="F98" s="262" t="n">
        <v>0.0002</v>
      </c>
      <c r="G98" s="267" t="n">
        <v>5763</v>
      </c>
      <c r="H98" s="32">
        <f>ROUND(F98*G98,2)</f>
        <v/>
      </c>
      <c r="I98" s="163" t="n"/>
    </row>
    <row r="99" ht="25.5" customHeight="1">
      <c r="A99" s="262">
        <f>A98+1</f>
        <v/>
      </c>
      <c r="B99" s="170" t="n"/>
      <c r="C99" s="170" t="inlineStr">
        <is>
          <t>02.2.05.04-0093</t>
        </is>
      </c>
      <c r="D99" s="265" t="inlineStr">
        <is>
          <t>Щебень из природного камня для строительных работ марка: 800, фракция 20-40 мм</t>
        </is>
      </c>
      <c r="E99" s="262" t="inlineStr">
        <is>
          <t>м3</t>
        </is>
      </c>
      <c r="F99" s="262" t="n">
        <v>0.007</v>
      </c>
      <c r="G99" s="267" t="n">
        <v>108.4</v>
      </c>
      <c r="H99" s="32">
        <f>ROUND(F99*G99,2)</f>
        <v/>
      </c>
      <c r="I99" s="163" t="n"/>
    </row>
    <row r="100">
      <c r="A100" s="262">
        <f>A99+1</f>
        <v/>
      </c>
      <c r="B100" s="170" t="n"/>
      <c r="C100" s="170" t="inlineStr">
        <is>
          <t>01.7.15.14-0043</t>
        </is>
      </c>
      <c r="D100" s="265" t="inlineStr">
        <is>
          <t>Шуруп самонарезающий: (LN) 3,5/11 мм</t>
        </is>
      </c>
      <c r="E100" s="262" t="inlineStr">
        <is>
          <t>100 шт.</t>
        </is>
      </c>
      <c r="F100" s="262" t="n">
        <v>0.1428</v>
      </c>
      <c r="G100" s="267" t="n">
        <v>2</v>
      </c>
      <c r="H100" s="32">
        <f>ROUND(F100*G100,2)</f>
        <v/>
      </c>
      <c r="I100" s="163" t="n"/>
    </row>
    <row r="101">
      <c r="C101" s="153" t="n"/>
      <c r="D101" s="151" t="n"/>
      <c r="E101" s="152" t="n"/>
      <c r="F101" s="152" t="n"/>
      <c r="G101" s="154" t="n"/>
      <c r="H101" s="169" t="n"/>
    </row>
    <row r="102" ht="25.5" customHeight="1">
      <c r="B102" s="166" t="inlineStr">
        <is>
          <t xml:space="preserve">Примечание: </t>
        </is>
      </c>
      <c r="C102" s="245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04" ht="14.25" customFormat="1" customHeight="1" s="12">
      <c r="A104" s="4" t="inlineStr">
        <is>
          <t>Составил ______________________    Е. М. Добровольская</t>
        </is>
      </c>
    </row>
    <row r="105" ht="14.25" customFormat="1" customHeight="1" s="12">
      <c r="A105" s="33" t="inlineStr">
        <is>
          <t xml:space="preserve">                         (подпись, инициалы, фамилия)</t>
        </is>
      </c>
    </row>
    <row r="106" ht="14.25" customFormat="1" customHeight="1" s="12">
      <c r="A106" s="4" t="n"/>
    </row>
    <row r="107" ht="14.25" customFormat="1" customHeight="1" s="12">
      <c r="A107" s="4" t="inlineStr">
        <is>
          <t>Проверил ______________________        А.В. Костянецкая</t>
        </is>
      </c>
    </row>
    <row r="108" ht="14.25" customFormat="1" customHeight="1" s="12">
      <c r="A108" s="33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53:D53"/>
    <mergeCell ref="A9:A10"/>
    <mergeCell ref="A12:D12"/>
    <mergeCell ref="A2:H2"/>
    <mergeCell ref="C102:H102"/>
    <mergeCell ref="A55:D55"/>
    <mergeCell ref="A25:D25"/>
    <mergeCell ref="C4:H4"/>
    <mergeCell ref="A3:I3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7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zoomScale="85" workbookViewId="0">
      <selection activeCell="D45" sqref="D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hidden="1"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7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9" t="inlineStr">
        <is>
          <t>Ресурсная модель</t>
        </is>
      </c>
    </row>
    <row r="6">
      <c r="B6" s="140" t="n"/>
      <c r="C6" s="4" t="n"/>
      <c r="D6" s="4" t="n"/>
      <c r="E6" s="4" t="n"/>
    </row>
    <row r="7" ht="25.5" customHeight="1">
      <c r="B7" s="257" t="inlineStr">
        <is>
          <t>Наименование разрабатываемого показателя УНЦ - Цифровой ТТ на три фазы с устройством фундамента напряжение 220 кВ</t>
        </is>
      </c>
    </row>
    <row r="8">
      <c r="B8" s="258" t="inlineStr">
        <is>
          <t>Единица измерения  — 1 ед</t>
        </is>
      </c>
    </row>
    <row r="9">
      <c r="B9" s="140" t="n"/>
      <c r="C9" s="4" t="n"/>
      <c r="D9" s="4" t="n"/>
      <c r="E9" s="4" t="n"/>
    </row>
    <row r="10" ht="51" customHeight="1">
      <c r="B10" s="262" t="inlineStr">
        <is>
          <t>Наименование</t>
        </is>
      </c>
      <c r="C10" s="262" t="inlineStr">
        <is>
          <t>Сметная стоимость в ценах на 01.01.2023
 (руб.)</t>
        </is>
      </c>
      <c r="D10" s="262" t="inlineStr">
        <is>
          <t>Удельный вес, 
(в СМР)</t>
        </is>
      </c>
      <c r="E10" s="26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84">
        <f>'Прил.5 Расчет СМР и ОБ'!J16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84">
        <f>'Прил.5 Расчет СМР и ОБ'!J26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84">
        <f>'Прил.5 Расчет СМР и ОБ'!J49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8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84">
        <f>'Прил.5 Расчет СМР и ОБ'!J18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84">
        <f>'Прил.5 Расчет СМР и ОБ'!J65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84">
        <f>'Прил.5 Расчет СМР и ОБ'!J106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8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8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8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ОБ'!D110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8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ОБ'!D109</f>
        <v/>
      </c>
      <c r="D23" s="27" t="n"/>
      <c r="E23" s="25" t="n"/>
    </row>
    <row r="24">
      <c r="B24" s="25" t="inlineStr">
        <is>
          <t>ВСЕГО СМР с НР и СП</t>
        </is>
      </c>
      <c r="C24" s="184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84">
        <f>'Прил.5 Расчет СМР и ОБ'!J56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84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221731.56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38.25" customHeight="1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5" t="n"/>
      <c r="L36" s="142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42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84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8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8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84">
        <f>C40/'Прил.5 Расчет СМР и ОБ'!E113</f>
        <v/>
      </c>
      <c r="D41" s="25" t="n"/>
      <c r="E41" s="25" t="n"/>
    </row>
    <row r="42">
      <c r="B42" s="143" t="n"/>
      <c r="C42" s="4" t="n"/>
      <c r="D42" s="4" t="n"/>
      <c r="E42" s="4" t="n"/>
    </row>
    <row r="43">
      <c r="B43" s="143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4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3" t="n"/>
      <c r="C45" s="4" t="n"/>
      <c r="D45" s="4" t="n"/>
      <c r="E45" s="4" t="n"/>
    </row>
    <row r="46">
      <c r="B46" s="14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19"/>
  <sheetViews>
    <sheetView view="pageBreakPreview" topLeftCell="A58" zoomScale="85" workbookViewId="0">
      <selection activeCell="C117" sqref="C11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9" t="inlineStr">
        <is>
          <t>Расчет стоимости СМР и оборудования</t>
        </is>
      </c>
    </row>
    <row r="5" ht="12.75" customFormat="1" customHeight="1" s="4">
      <c r="A5" s="229" t="n"/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4">
      <c r="A6" s="183" t="inlineStr">
        <is>
          <t>Наименование разрабатываемого показателя УНЦ</t>
        </is>
      </c>
      <c r="B6" s="183" t="n"/>
      <c r="C6" s="183" t="n"/>
      <c r="D6" s="183" t="inlineStr">
        <is>
          <t>Цифровой ТТ на три фазы с устройством фундамента напряжение 220 кВ</t>
        </is>
      </c>
      <c r="E6" s="182" t="n"/>
      <c r="F6" s="182" t="n"/>
      <c r="G6" s="182" t="n"/>
      <c r="H6" s="182" t="n"/>
      <c r="I6" s="145" t="n"/>
      <c r="J6" s="145" t="n"/>
    </row>
    <row r="7" ht="12.75" customFormat="1" customHeight="1" s="4">
      <c r="A7" s="232" t="inlineStr">
        <is>
          <t>Единица измерения  — 1 ед.</t>
        </is>
      </c>
      <c r="I7" s="257" t="n"/>
      <c r="J7" s="257" t="n"/>
    </row>
    <row r="8" ht="13.5" customFormat="1" customHeight="1" s="4">
      <c r="A8" s="232" t="n"/>
    </row>
    <row r="9" ht="27" customHeight="1">
      <c r="A9" s="262" t="inlineStr">
        <is>
          <t>№ пп.</t>
        </is>
      </c>
      <c r="B9" s="262" t="inlineStr">
        <is>
          <t>Код ресурса</t>
        </is>
      </c>
      <c r="C9" s="262" t="inlineStr">
        <is>
          <t>Наименование</t>
        </is>
      </c>
      <c r="D9" s="262" t="inlineStr">
        <is>
          <t>Ед. изм.</t>
        </is>
      </c>
      <c r="E9" s="262" t="inlineStr">
        <is>
          <t>Кол-во единиц по проектным данным</t>
        </is>
      </c>
      <c r="F9" s="262" t="inlineStr">
        <is>
          <t>Сметная стоимость в ценах на 01.01.2000 (руб.)</t>
        </is>
      </c>
      <c r="G9" s="323" t="n"/>
      <c r="H9" s="262" t="inlineStr">
        <is>
          <t>Удельный вес, %</t>
        </is>
      </c>
      <c r="I9" s="262" t="inlineStr">
        <is>
          <t>Сметная стоимость в ценах на 01.01.2023 (руб.)</t>
        </is>
      </c>
      <c r="J9" s="323" t="n"/>
      <c r="M9" s="12" t="n"/>
      <c r="N9" s="12" t="n"/>
    </row>
    <row r="10" ht="28.5" customHeight="1">
      <c r="A10" s="325" t="n"/>
      <c r="B10" s="325" t="n"/>
      <c r="C10" s="325" t="n"/>
      <c r="D10" s="325" t="n"/>
      <c r="E10" s="325" t="n"/>
      <c r="F10" s="262" t="inlineStr">
        <is>
          <t>на ед. изм.</t>
        </is>
      </c>
      <c r="G10" s="262" t="inlineStr">
        <is>
          <t>общая</t>
        </is>
      </c>
      <c r="H10" s="325" t="n"/>
      <c r="I10" s="262" t="inlineStr">
        <is>
          <t>на ед. изм.</t>
        </is>
      </c>
      <c r="J10" s="262" t="inlineStr">
        <is>
          <t>общая</t>
        </is>
      </c>
      <c r="M10" s="12" t="n"/>
      <c r="N10" s="12" t="n"/>
    </row>
    <row r="11">
      <c r="A11" s="262" t="n">
        <v>1</v>
      </c>
      <c r="B11" s="262" t="n">
        <v>2</v>
      </c>
      <c r="C11" s="262" t="n">
        <v>3</v>
      </c>
      <c r="D11" s="262" t="n">
        <v>4</v>
      </c>
      <c r="E11" s="262" t="n">
        <v>5</v>
      </c>
      <c r="F11" s="262" t="n">
        <v>6</v>
      </c>
      <c r="G11" s="262" t="n">
        <v>7</v>
      </c>
      <c r="H11" s="262" t="n">
        <v>8</v>
      </c>
      <c r="I11" s="263" t="n">
        <v>9</v>
      </c>
      <c r="J11" s="263" t="n">
        <v>10</v>
      </c>
      <c r="M11" s="12" t="n"/>
      <c r="N11" s="12" t="n"/>
    </row>
    <row r="12">
      <c r="A12" s="262" t="n"/>
      <c r="B12" s="269" t="inlineStr">
        <is>
          <t>Затраты труда рабочих-строителей</t>
        </is>
      </c>
      <c r="C12" s="322" t="n"/>
      <c r="D12" s="322" t="n"/>
      <c r="E12" s="322" t="n"/>
      <c r="F12" s="322" t="n"/>
      <c r="G12" s="322" t="n"/>
      <c r="H12" s="323" t="n"/>
      <c r="I12" s="188" t="n"/>
      <c r="J12" s="188" t="n"/>
    </row>
    <row r="13" ht="25.5" customHeight="1">
      <c r="A13" s="262" t="n">
        <v>1</v>
      </c>
      <c r="B13" s="170" t="inlineStr">
        <is>
          <t>1-4-0</t>
        </is>
      </c>
      <c r="C13" s="265" t="inlineStr">
        <is>
          <t>Затраты труда рабочих-строителей среднего разряда (4,0)</t>
        </is>
      </c>
      <c r="D13" s="262" t="inlineStr">
        <is>
          <t>чел.-ч.</t>
        </is>
      </c>
      <c r="E13" s="177" t="n">
        <v>204.33991683992</v>
      </c>
      <c r="F13" s="32" t="n">
        <v>9.619999999999999</v>
      </c>
      <c r="G13" s="32" t="n">
        <v>1965.75</v>
      </c>
      <c r="H13" s="189">
        <f>G13/G16</f>
        <v/>
      </c>
      <c r="I13" s="32">
        <f>ФОТр.тек.!E13</f>
        <v/>
      </c>
      <c r="J13" s="32">
        <f>ROUND(I13*E13,2)</f>
        <v/>
      </c>
    </row>
    <row r="14">
      <c r="A14" s="262" t="n">
        <v>2</v>
      </c>
      <c r="B14" s="170" t="inlineStr">
        <is>
          <t>10-30-1</t>
        </is>
      </c>
      <c r="C14" s="265" t="inlineStr">
        <is>
          <t>Инженер I категории</t>
        </is>
      </c>
      <c r="D14" s="262" t="inlineStr">
        <is>
          <t>чел.-ч.</t>
        </is>
      </c>
      <c r="E14" s="177" t="n">
        <v>344.42857142857</v>
      </c>
      <c r="F14" s="32" t="n">
        <v>15.49</v>
      </c>
      <c r="G14" s="32" t="n">
        <v>5335.2</v>
      </c>
      <c r="H14" s="189">
        <f>G14/G16</f>
        <v/>
      </c>
      <c r="I14" s="32">
        <f>ФОТр.тек.!E21</f>
        <v/>
      </c>
      <c r="J14" s="32">
        <f>ROUND(I14*E14,2)</f>
        <v/>
      </c>
    </row>
    <row r="15">
      <c r="A15" s="262" t="n">
        <v>3</v>
      </c>
      <c r="B15" s="170" t="inlineStr">
        <is>
          <t>10-30-2</t>
        </is>
      </c>
      <c r="C15" s="265" t="inlineStr">
        <is>
          <t>Инженер II категории</t>
        </is>
      </c>
      <c r="D15" s="262" t="inlineStr">
        <is>
          <t>чел.-ч.</t>
        </is>
      </c>
      <c r="E15" s="177" t="n">
        <v>344.42857142857</v>
      </c>
      <c r="F15" s="32" t="n">
        <v>14.09</v>
      </c>
      <c r="G15" s="32" t="n">
        <v>4853</v>
      </c>
      <c r="H15" s="189">
        <f>G15/G16</f>
        <v/>
      </c>
      <c r="I15" s="32">
        <f>ФОТр.тек.!E29</f>
        <v/>
      </c>
      <c r="J15" s="32">
        <f>ROUND(I15*E15,2)</f>
        <v/>
      </c>
    </row>
    <row r="16" ht="25.5" customFormat="1" customHeight="1" s="12">
      <c r="A16" s="262" t="n"/>
      <c r="B16" s="262" t="n"/>
      <c r="C16" s="269" t="inlineStr">
        <is>
          <t>Итого по разделу "Затраты труда рабочих-строителей"</t>
        </is>
      </c>
      <c r="D16" s="262" t="inlineStr">
        <is>
          <t>чел.-ч.</t>
        </is>
      </c>
      <c r="E16" s="177">
        <f>SUM(E13:E15)</f>
        <v/>
      </c>
      <c r="F16" s="32" t="n"/>
      <c r="G16" s="32">
        <f>SUM(G13:G15)</f>
        <v/>
      </c>
      <c r="H16" s="268" t="n">
        <v>1</v>
      </c>
      <c r="I16" s="188" t="n"/>
      <c r="J16" s="32">
        <f>SUM(J13:J15)</f>
        <v/>
      </c>
    </row>
    <row r="17" ht="14.25" customFormat="1" customHeight="1" s="12">
      <c r="A17" s="262" t="n"/>
      <c r="B17" s="265" t="inlineStr">
        <is>
          <t>Затраты труда машинистов</t>
        </is>
      </c>
      <c r="C17" s="322" t="n"/>
      <c r="D17" s="322" t="n"/>
      <c r="E17" s="322" t="n"/>
      <c r="F17" s="322" t="n"/>
      <c r="G17" s="322" t="n"/>
      <c r="H17" s="323" t="n"/>
      <c r="I17" s="188" t="n"/>
      <c r="J17" s="188" t="n"/>
    </row>
    <row r="18" ht="14.25" customFormat="1" customHeight="1" s="12">
      <c r="A18" s="262" t="n">
        <v>4</v>
      </c>
      <c r="B18" s="262" t="n">
        <v>2</v>
      </c>
      <c r="C18" s="265" t="inlineStr">
        <is>
          <t>Затраты труда машинистов</t>
        </is>
      </c>
      <c r="D18" s="262" t="inlineStr">
        <is>
          <t>чел.-ч.</t>
        </is>
      </c>
      <c r="E18" s="177" t="n">
        <v>63.393</v>
      </c>
      <c r="F18" s="32">
        <f>G18/E18</f>
        <v/>
      </c>
      <c r="G18" s="32">
        <f>'Прил. 3'!H24</f>
        <v/>
      </c>
      <c r="H18" s="268" t="n">
        <v>1</v>
      </c>
      <c r="I18" s="32">
        <f>ROUND(F18*'Прил. 10'!D11,2)</f>
        <v/>
      </c>
      <c r="J18" s="32">
        <f>ROUND(I18*E18,2)</f>
        <v/>
      </c>
    </row>
    <row r="19" ht="14.25" customFormat="1" customHeight="1" s="12">
      <c r="A19" s="262" t="n"/>
      <c r="B19" s="269" t="inlineStr">
        <is>
          <t>Машины и механизмы</t>
        </is>
      </c>
      <c r="C19" s="322" t="n"/>
      <c r="D19" s="322" t="n"/>
      <c r="E19" s="322" t="n"/>
      <c r="F19" s="322" t="n"/>
      <c r="G19" s="322" t="n"/>
      <c r="H19" s="323" t="n"/>
      <c r="I19" s="188" t="n"/>
      <c r="J19" s="188" t="n"/>
    </row>
    <row r="20" ht="14.25" customFormat="1" customHeight="1" s="12">
      <c r="A20" s="262" t="n"/>
      <c r="B20" s="265" t="inlineStr">
        <is>
          <t>Основные машины и механизмы</t>
        </is>
      </c>
      <c r="C20" s="322" t="n"/>
      <c r="D20" s="322" t="n"/>
      <c r="E20" s="322" t="n"/>
      <c r="F20" s="322" t="n"/>
      <c r="G20" s="322" t="n"/>
      <c r="H20" s="323" t="n"/>
      <c r="I20" s="188" t="n"/>
      <c r="J20" s="188" t="n"/>
    </row>
    <row r="21" ht="25.5" customFormat="1" customHeight="1" s="12">
      <c r="A21" s="262" t="n">
        <v>5</v>
      </c>
      <c r="B21" s="170" t="inlineStr">
        <is>
          <t>91.14.03-002</t>
        </is>
      </c>
      <c r="C21" s="265" t="inlineStr">
        <is>
          <t>Автомобили-самосвалы, грузоподъемность до 10 т</t>
        </is>
      </c>
      <c r="D21" s="262" t="inlineStr">
        <is>
          <t>маш.час</t>
        </is>
      </c>
      <c r="E21" s="177" t="n">
        <v>56.89</v>
      </c>
      <c r="F21" s="267" t="n">
        <v>87.48999999999999</v>
      </c>
      <c r="G21" s="32">
        <f>ROUND(E21*F21,2)</f>
        <v/>
      </c>
      <c r="H21" s="189">
        <f>G21/$G$50</f>
        <v/>
      </c>
      <c r="I21" s="32">
        <f>ROUND(F21*'Прил. 10'!D12,2)</f>
        <v/>
      </c>
      <c r="J21" s="32">
        <f>ROUND(I21*E21,2)</f>
        <v/>
      </c>
    </row>
    <row r="22" ht="25.5" customFormat="1" customHeight="1" s="12">
      <c r="A22" s="262" t="n">
        <v>6</v>
      </c>
      <c r="B22" s="170" t="inlineStr">
        <is>
          <t>91.05.05-014</t>
        </is>
      </c>
      <c r="C22" s="265" t="inlineStr">
        <is>
          <t>Краны на автомобильном ходу, грузоподъемность 10 т</t>
        </is>
      </c>
      <c r="D22" s="262" t="inlineStr">
        <is>
          <t>маш.час</t>
        </is>
      </c>
      <c r="E22" s="177" t="n">
        <v>12.87</v>
      </c>
      <c r="F22" s="267" t="n">
        <v>111.99</v>
      </c>
      <c r="G22" s="32">
        <f>ROUND(E22*F22,2)</f>
        <v/>
      </c>
      <c r="H22" s="189">
        <f>G22/$G$50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62" t="n">
        <v>7</v>
      </c>
      <c r="B23" s="170" t="inlineStr">
        <is>
          <t>91.05.08-007</t>
        </is>
      </c>
      <c r="C23" s="265" t="inlineStr">
        <is>
          <t>Краны на пневмоколесном ходу, грузоподъемность 25 т</t>
        </is>
      </c>
      <c r="D23" s="262" t="inlineStr">
        <is>
          <t>маш.час</t>
        </is>
      </c>
      <c r="E23" s="177" t="n">
        <v>11.61</v>
      </c>
      <c r="F23" s="267" t="n">
        <v>102.51</v>
      </c>
      <c r="G23" s="32">
        <f>ROUND(E23*F23,2)</f>
        <v/>
      </c>
      <c r="H23" s="189">
        <f>G23/$G$50</f>
        <v/>
      </c>
      <c r="I23" s="32">
        <f>ROUND(F23*'Прил. 10'!$D$12,2)</f>
        <v/>
      </c>
      <c r="J23" s="32">
        <f>ROUND(I23*E23,2)</f>
        <v/>
      </c>
    </row>
    <row r="24" ht="38.25" customFormat="1" customHeight="1" s="12">
      <c r="A24" s="262" t="n">
        <v>8</v>
      </c>
      <c r="B24" s="170" t="inlineStr">
        <is>
          <t>91.01.05-086</t>
        </is>
      </c>
      <c r="C24" s="265" t="inlineStr">
        <is>
          <t>Экскаваторы одноковшовые дизельные на гусеничном ходу, емкость ковша 0,65 м3</t>
        </is>
      </c>
      <c r="D24" s="262" t="inlineStr">
        <is>
          <t>маш.час</t>
        </is>
      </c>
      <c r="E24" s="177" t="n">
        <v>3.98</v>
      </c>
      <c r="F24" s="267" t="n">
        <v>115.27</v>
      </c>
      <c r="G24" s="32">
        <f>ROUND(E24*F24,2)</f>
        <v/>
      </c>
      <c r="H24" s="189">
        <f>G24/$G$50</f>
        <v/>
      </c>
      <c r="I24" s="32">
        <f>ROUND(F24*'Прил. 10'!$D$12,2)</f>
        <v/>
      </c>
      <c r="J24" s="32">
        <f>ROUND(I24*E24,2)</f>
        <v/>
      </c>
    </row>
    <row r="25" ht="25.5" customFormat="1" customHeight="1" s="12">
      <c r="A25" s="262" t="n">
        <v>9</v>
      </c>
      <c r="B25" s="170" t="inlineStr">
        <is>
          <t>91.14.02-001</t>
        </is>
      </c>
      <c r="C25" s="265" t="inlineStr">
        <is>
          <t>Автомобили бортовые, грузоподъемность: до 5 т</t>
        </is>
      </c>
      <c r="D25" s="262" t="inlineStr">
        <is>
          <t>маш.час</t>
        </is>
      </c>
      <c r="E25" s="177" t="n">
        <v>6.87</v>
      </c>
      <c r="F25" s="267" t="n">
        <v>65.70999999999999</v>
      </c>
      <c r="G25" s="32">
        <f>ROUND(E25*F25,2)</f>
        <v/>
      </c>
      <c r="H25" s="189">
        <f>G25/$G$50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62" t="n"/>
      <c r="B26" s="262" t="n"/>
      <c r="C26" s="265" t="inlineStr">
        <is>
          <t>Итого основные машины и механизмы</t>
        </is>
      </c>
      <c r="D26" s="262" t="n"/>
      <c r="E26" s="177" t="n"/>
      <c r="F26" s="32" t="n"/>
      <c r="G26" s="32">
        <f>SUM(G21:G25)</f>
        <v/>
      </c>
      <c r="H26" s="268">
        <f>G26/G50</f>
        <v/>
      </c>
      <c r="I26" s="190" t="n"/>
      <c r="J26" s="32">
        <f>SUM(J21:J25)</f>
        <v/>
      </c>
    </row>
    <row r="27" hidden="1" outlineLevel="1" ht="25.5" customFormat="1" customHeight="1" s="12">
      <c r="A27" s="262" t="n">
        <v>10</v>
      </c>
      <c r="B27" s="170" t="inlineStr">
        <is>
          <t>91.06.06-042</t>
        </is>
      </c>
      <c r="C27" s="265" t="inlineStr">
        <is>
          <t>Подъемники гидравлические высотой подъема: 10 м</t>
        </is>
      </c>
      <c r="D27" s="262" t="inlineStr">
        <is>
          <t>маш.час</t>
        </is>
      </c>
      <c r="E27" s="177" t="n">
        <v>13.36</v>
      </c>
      <c r="F27" s="267" t="n">
        <v>29.6</v>
      </c>
      <c r="G27" s="32">
        <f>ROUND(E27*F27,2)</f>
        <v/>
      </c>
      <c r="H27" s="189">
        <f>G27/$G$50</f>
        <v/>
      </c>
      <c r="I27" s="32">
        <f>ROUND(F27*'Прил. 10'!$D$12,2)</f>
        <v/>
      </c>
      <c r="J27" s="32">
        <f>ROUND(I27*E27,2)</f>
        <v/>
      </c>
    </row>
    <row r="28" hidden="1" outlineLevel="1" ht="25.5" customFormat="1" customHeight="1" s="12">
      <c r="A28" s="262" t="n">
        <v>11</v>
      </c>
      <c r="B28" s="170" t="inlineStr">
        <is>
          <t>91.16.01-001</t>
        </is>
      </c>
      <c r="C28" s="265" t="inlineStr">
        <is>
          <t>Электростанции передвижные, мощность 2 кВт</t>
        </is>
      </c>
      <c r="D28" s="262" t="inlineStr">
        <is>
          <t>маш.час</t>
        </is>
      </c>
      <c r="E28" s="177" t="n">
        <v>9.44</v>
      </c>
      <c r="F28" s="267" t="n">
        <v>22.29</v>
      </c>
      <c r="G28" s="32">
        <f>ROUND(E28*F28,2)</f>
        <v/>
      </c>
      <c r="H28" s="189">
        <f>G28/$G$50</f>
        <v/>
      </c>
      <c r="I28" s="32">
        <f>ROUND(F28*'Прил. 10'!$D$12,2)</f>
        <v/>
      </c>
      <c r="J28" s="32">
        <f>ROUND(I28*E28,2)</f>
        <v/>
      </c>
    </row>
    <row r="29" hidden="1" outlineLevel="1" ht="51" customFormat="1" customHeight="1" s="12">
      <c r="A29" s="262" t="n">
        <v>12</v>
      </c>
      <c r="B29" s="170" t="inlineStr">
        <is>
          <t>91.18.01-007</t>
        </is>
      </c>
      <c r="C29" s="26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9" s="262" t="inlineStr">
        <is>
          <t>маш.час</t>
        </is>
      </c>
      <c r="E29" s="177" t="n">
        <v>1.59</v>
      </c>
      <c r="F29" s="267" t="n">
        <v>90</v>
      </c>
      <c r="G29" s="32">
        <f>ROUND(E29*F29,2)</f>
        <v/>
      </c>
      <c r="H29" s="189">
        <f>G29/$G$50</f>
        <v/>
      </c>
      <c r="I29" s="32">
        <f>ROUND(F29*'Прил. 10'!$D$12,2)</f>
        <v/>
      </c>
      <c r="J29" s="32">
        <f>ROUND(I29*E29,2)</f>
        <v/>
      </c>
    </row>
    <row r="30" hidden="1" outlineLevel="1" ht="38.25" customFormat="1" customHeight="1" s="12">
      <c r="A30" s="262" t="n">
        <v>13</v>
      </c>
      <c r="B30" s="170" t="inlineStr">
        <is>
          <t>91.17.04-036</t>
        </is>
      </c>
      <c r="C30" s="265" t="inlineStr">
        <is>
          <t>Агрегаты сварочные передвижные номинальным сварочным током 250-400 А: с дизельным двигателем</t>
        </is>
      </c>
      <c r="D30" s="262" t="inlineStr">
        <is>
          <t>маш.час</t>
        </is>
      </c>
      <c r="E30" s="177" t="n">
        <v>5.79</v>
      </c>
      <c r="F30" s="267" t="n">
        <v>14</v>
      </c>
      <c r="G30" s="32">
        <f>ROUND(E30*F30,2)</f>
        <v/>
      </c>
      <c r="H30" s="189">
        <f>G30/$G$50</f>
        <v/>
      </c>
      <c r="I30" s="32">
        <f>ROUND(F30*'Прил. 10'!$D$12,2)</f>
        <v/>
      </c>
      <c r="J30" s="32">
        <f>ROUND(I30*E30,2)</f>
        <v/>
      </c>
    </row>
    <row r="31" hidden="1" outlineLevel="1" ht="38.25" customFormat="1" customHeight="1" s="12">
      <c r="A31" s="262" t="n">
        <v>14</v>
      </c>
      <c r="B31" s="170" t="inlineStr">
        <is>
          <t>91.01.04-003</t>
        </is>
      </c>
      <c r="C31" s="265" t="inlineStr">
        <is>
          <t>Установки однобаровые на тракторе, мощность 79 кВт (108 л.с.), ширина щели 14 см</t>
        </is>
      </c>
      <c r="D31" s="262" t="inlineStr">
        <is>
          <t>маш.час</t>
        </is>
      </c>
      <c r="E31" s="177" t="n">
        <v>0.48</v>
      </c>
      <c r="F31" s="267" t="n">
        <v>127.95</v>
      </c>
      <c r="G31" s="32">
        <f>ROUND(E31*F31,2)</f>
        <v/>
      </c>
      <c r="H31" s="189">
        <f>G31/$G$50</f>
        <v/>
      </c>
      <c r="I31" s="32">
        <f>ROUND(F31*'Прил. 10'!$D$12,2)</f>
        <v/>
      </c>
      <c r="J31" s="32">
        <f>ROUND(I31*E31,2)</f>
        <v/>
      </c>
    </row>
    <row r="32" hidden="1" outlineLevel="1" ht="13.5" customFormat="1" customHeight="1" s="12">
      <c r="A32" s="262" t="n">
        <v>15</v>
      </c>
      <c r="B32" s="170" t="inlineStr">
        <is>
          <t>91.01.01-035</t>
        </is>
      </c>
      <c r="C32" s="265" t="inlineStr">
        <is>
          <t>Бульдозеры, мощность 79 кВт (108 л.с.)</t>
        </is>
      </c>
      <c r="D32" s="262" t="inlineStr">
        <is>
          <t>маш.час</t>
        </is>
      </c>
      <c r="E32" s="177" t="n">
        <v>0.6899999999999999</v>
      </c>
      <c r="F32" s="267" t="n">
        <v>79.06999999999999</v>
      </c>
      <c r="G32" s="32">
        <f>ROUND(E32*F32,2)</f>
        <v/>
      </c>
      <c r="H32" s="189">
        <f>G32/$G$50</f>
        <v/>
      </c>
      <c r="I32" s="32">
        <f>ROUND(F32*'Прил. 10'!$D$12,2)</f>
        <v/>
      </c>
      <c r="J32" s="32">
        <f>ROUND(I32*E32,2)</f>
        <v/>
      </c>
    </row>
    <row r="33" hidden="1" outlineLevel="1" ht="51" customFormat="1" customHeight="1" s="12">
      <c r="A33" s="262" t="n">
        <v>16</v>
      </c>
      <c r="B33" s="170" t="inlineStr">
        <is>
          <t>91.21.01-014</t>
        </is>
      </c>
      <c r="C33" s="265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33" s="262" t="inlineStr">
        <is>
          <t>маш.час</t>
        </is>
      </c>
      <c r="E33" s="177" t="n">
        <v>9.44</v>
      </c>
      <c r="F33" s="267" t="n">
        <v>5.59</v>
      </c>
      <c r="G33" s="32">
        <f>ROUND(E33*F33,2)</f>
        <v/>
      </c>
      <c r="H33" s="189">
        <f>G33/$G$50</f>
        <v/>
      </c>
      <c r="I33" s="32">
        <f>ROUND(F33*'Прил. 10'!$D$12,2)</f>
        <v/>
      </c>
      <c r="J33" s="32">
        <f>ROUND(I33*E33,2)</f>
        <v/>
      </c>
    </row>
    <row r="34" hidden="1" outlineLevel="1" ht="25.5" customFormat="1" customHeight="1" s="12">
      <c r="A34" s="262" t="n">
        <v>17</v>
      </c>
      <c r="B34" s="170" t="inlineStr">
        <is>
          <t>91.14.02-002</t>
        </is>
      </c>
      <c r="C34" s="265" t="inlineStr">
        <is>
          <t>Автомобили бортовые, грузоподъемность: до 8 т</t>
        </is>
      </c>
      <c r="D34" s="262" t="inlineStr">
        <is>
          <t>маш.час</t>
        </is>
      </c>
      <c r="E34" s="177" t="n">
        <v>0.5</v>
      </c>
      <c r="F34" s="267" t="n">
        <v>85.84</v>
      </c>
      <c r="G34" s="32">
        <f>ROUND(E34*F34,2)</f>
        <v/>
      </c>
      <c r="H34" s="189">
        <f>G34/$G$50</f>
        <v/>
      </c>
      <c r="I34" s="32">
        <f>ROUND(F34*'Прил. 10'!$D$12,2)</f>
        <v/>
      </c>
      <c r="J34" s="32">
        <f>ROUND(I34*E34,2)</f>
        <v/>
      </c>
    </row>
    <row r="35" hidden="1" outlineLevel="1" ht="38.25" customFormat="1" customHeight="1" s="12">
      <c r="A35" s="262" t="n">
        <v>18</v>
      </c>
      <c r="B35" s="170" t="inlineStr">
        <is>
          <t>91.18.01-011</t>
        </is>
      </c>
      <c r="C35" s="265" t="inlineStr">
        <is>
          <t>Компрессоры передвижные с электродвигателем давлением 600 кПа (6 ат), производительность: 0,5 м3/мин</t>
        </is>
      </c>
      <c r="D35" s="262" t="inlineStr">
        <is>
          <t>маш.час</t>
        </is>
      </c>
      <c r="E35" s="177" t="n">
        <v>9.44</v>
      </c>
      <c r="F35" s="267" t="n">
        <v>3.7</v>
      </c>
      <c r="G35" s="32">
        <f>ROUND(E35*F35,2)</f>
        <v/>
      </c>
      <c r="H35" s="189">
        <f>G35/$G$50</f>
        <v/>
      </c>
      <c r="I35" s="32">
        <f>ROUND(F35*'Прил. 10'!$D$12,2)</f>
        <v/>
      </c>
      <c r="J35" s="32">
        <f>ROUND(I35*E35,2)</f>
        <v/>
      </c>
    </row>
    <row r="36" hidden="1" outlineLevel="1" ht="25.5" customFormat="1" customHeight="1" s="12">
      <c r="A36" s="262" t="n">
        <v>19</v>
      </c>
      <c r="B36" s="170" t="inlineStr">
        <is>
          <t>91.17.04-233</t>
        </is>
      </c>
      <c r="C36" s="265" t="inlineStr">
        <is>
          <t>Установки для сварки: ручной дуговой (постоянного тока)</t>
        </is>
      </c>
      <c r="D36" s="262" t="inlineStr">
        <is>
          <t>маш.час</t>
        </is>
      </c>
      <c r="E36" s="177" t="n">
        <v>3.73</v>
      </c>
      <c r="F36" s="267" t="n">
        <v>8.1</v>
      </c>
      <c r="G36" s="32">
        <f>ROUND(E36*F36,2)</f>
        <v/>
      </c>
      <c r="H36" s="189">
        <f>G36/$G$50</f>
        <v/>
      </c>
      <c r="I36" s="32">
        <f>ROUND(F36*'Прил. 10'!$D$12,2)</f>
        <v/>
      </c>
      <c r="J36" s="32">
        <f>ROUND(I36*E36,2)</f>
        <v/>
      </c>
    </row>
    <row r="37" hidden="1" outlineLevel="1" ht="38.25" customFormat="1" customHeight="1" s="12">
      <c r="A37" s="262" t="n">
        <v>20</v>
      </c>
      <c r="B37" s="170" t="inlineStr">
        <is>
          <t>91.06.05-057</t>
        </is>
      </c>
      <c r="C37" s="265" t="inlineStr">
        <is>
          <t>Погрузчики одноковшовые универсальные фронтальные пневмоколесные, грузоподъемность 3 т</t>
        </is>
      </c>
      <c r="D37" s="262" t="inlineStr">
        <is>
          <t>маш.час</t>
        </is>
      </c>
      <c r="E37" s="177" t="n">
        <v>0.32</v>
      </c>
      <c r="F37" s="267" t="n">
        <v>90.40000000000001</v>
      </c>
      <c r="G37" s="32">
        <f>ROUND(E37*F37,2)</f>
        <v/>
      </c>
      <c r="H37" s="189">
        <f>G37/$G$50</f>
        <v/>
      </c>
      <c r="I37" s="32">
        <f>ROUND(F37*'Прил. 10'!$D$12,2)</f>
        <v/>
      </c>
      <c r="J37" s="32">
        <f>ROUND(I37*E37,2)</f>
        <v/>
      </c>
    </row>
    <row r="38" hidden="1" outlineLevel="1" ht="25.5" customFormat="1" customHeight="1" s="12">
      <c r="A38" s="262" t="n">
        <v>21</v>
      </c>
      <c r="B38" s="170" t="inlineStr">
        <is>
          <t>91.13.03-111</t>
        </is>
      </c>
      <c r="C38" s="265" t="inlineStr">
        <is>
          <t>Спецавтомашины, грузоподъемность до 8 т, вездеходы</t>
        </is>
      </c>
      <c r="D38" s="262" t="inlineStr">
        <is>
          <t>маш.час</t>
        </is>
      </c>
      <c r="E38" s="177" t="n">
        <v>0.13</v>
      </c>
      <c r="F38" s="267" t="n">
        <v>189.95</v>
      </c>
      <c r="G38" s="32">
        <f>ROUND(E38*F38,2)</f>
        <v/>
      </c>
      <c r="H38" s="189">
        <f>G38/$G$50</f>
        <v/>
      </c>
      <c r="I38" s="32">
        <f>ROUND(F38*'Прил. 10'!$D$12,2)</f>
        <v/>
      </c>
      <c r="J38" s="32">
        <f>ROUND(I38*E38,2)</f>
        <v/>
      </c>
    </row>
    <row r="39" hidden="1" outlineLevel="1" ht="14.25" customFormat="1" customHeight="1" s="12">
      <c r="A39" s="262" t="n">
        <v>22</v>
      </c>
      <c r="B39" s="170" t="inlineStr">
        <is>
          <t>91.08.04-021</t>
        </is>
      </c>
      <c r="C39" s="265" t="inlineStr">
        <is>
          <t>Котлы битумные: передвижные 400 л</t>
        </is>
      </c>
      <c r="D39" s="262" t="inlineStr">
        <is>
          <t>маш.час</t>
        </is>
      </c>
      <c r="E39" s="177" t="n">
        <v>0.57</v>
      </c>
      <c r="F39" s="267" t="n">
        <v>30</v>
      </c>
      <c r="G39" s="32">
        <f>ROUND(E39*F39,2)</f>
        <v/>
      </c>
      <c r="H39" s="189">
        <f>G39/$G$50</f>
        <v/>
      </c>
      <c r="I39" s="32">
        <f>ROUND(F39*'Прил. 10'!$D$12,2)</f>
        <v/>
      </c>
      <c r="J39" s="32">
        <f>ROUND(I39*E39,2)</f>
        <v/>
      </c>
    </row>
    <row r="40" hidden="1" outlineLevel="1" ht="14.25" customFormat="1" customHeight="1" s="12">
      <c r="A40" s="262" t="n">
        <v>23</v>
      </c>
      <c r="B40" s="170" t="inlineStr">
        <is>
          <t>91.05.01-017</t>
        </is>
      </c>
      <c r="C40" s="265" t="inlineStr">
        <is>
          <t>Краны башенные, грузоподъемность 8 т</t>
        </is>
      </c>
      <c r="D40" s="262" t="inlineStr">
        <is>
          <t>маш.час</t>
        </is>
      </c>
      <c r="E40" s="177" t="n">
        <v>0.18</v>
      </c>
      <c r="F40" s="267" t="n">
        <v>86.40000000000001</v>
      </c>
      <c r="G40" s="32">
        <f>ROUND(E40*F40,2)</f>
        <v/>
      </c>
      <c r="H40" s="189">
        <f>G40/$G$50</f>
        <v/>
      </c>
      <c r="I40" s="32">
        <f>ROUND(F40*'Прил. 10'!$D$12,2)</f>
        <v/>
      </c>
      <c r="J40" s="32">
        <f>ROUND(I40*E40,2)</f>
        <v/>
      </c>
    </row>
    <row r="41" hidden="1" outlineLevel="1" ht="38.25" customFormat="1" customHeight="1" s="12">
      <c r="A41" s="262" t="n">
        <v>24</v>
      </c>
      <c r="B41" s="170" t="inlineStr">
        <is>
          <t>91.21.01-012</t>
        </is>
      </c>
      <c r="C41" s="265" t="inlineStr">
        <is>
          <t>Агрегаты окрасочные высокого давления для окраски поверхностей конструкций, мощность 1 кВт</t>
        </is>
      </c>
      <c r="D41" s="262" t="inlineStr">
        <is>
          <t>маш.час</t>
        </is>
      </c>
      <c r="E41" s="177" t="n">
        <v>2.03</v>
      </c>
      <c r="F41" s="267" t="n">
        <v>6.82</v>
      </c>
      <c r="G41" s="32">
        <f>ROUND(E41*F41,2)</f>
        <v/>
      </c>
      <c r="H41" s="189">
        <f>G41/$G$50</f>
        <v/>
      </c>
      <c r="I41" s="32">
        <f>ROUND(F41*'Прил. 10'!$D$12,2)</f>
        <v/>
      </c>
      <c r="J41" s="32">
        <f>ROUND(I41*E41,2)</f>
        <v/>
      </c>
    </row>
    <row r="42" hidden="1" outlineLevel="1" ht="14.25" customFormat="1" customHeight="1" s="12">
      <c r="A42" s="262" t="n">
        <v>25</v>
      </c>
      <c r="B42" s="170" t="inlineStr">
        <is>
          <t>91.01.01-034</t>
        </is>
      </c>
      <c r="C42" s="265" t="inlineStr">
        <is>
          <t>Бульдозеры, мощность 59 кВт (80 л.с.)</t>
        </is>
      </c>
      <c r="D42" s="262" t="inlineStr">
        <is>
          <t>маш.час</t>
        </is>
      </c>
      <c r="E42" s="177" t="n">
        <v>0.09</v>
      </c>
      <c r="F42" s="267" t="n">
        <v>59.47</v>
      </c>
      <c r="G42" s="32">
        <f>ROUND(E42*F42,2)</f>
        <v/>
      </c>
      <c r="H42" s="189">
        <f>G42/$G$50</f>
        <v/>
      </c>
      <c r="I42" s="32">
        <f>ROUND(F42*'Прил. 10'!$D$12,2)</f>
        <v/>
      </c>
      <c r="J42" s="32">
        <f>ROUND(I42*E42,2)</f>
        <v/>
      </c>
    </row>
    <row r="43" hidden="1" outlineLevel="1" ht="25.5" customFormat="1" customHeight="1" s="12">
      <c r="A43" s="262" t="n">
        <v>26</v>
      </c>
      <c r="B43" s="170" t="inlineStr">
        <is>
          <t>91.06.01-003</t>
        </is>
      </c>
      <c r="C43" s="265" t="inlineStr">
        <is>
          <t>Домкраты гидравлические, грузоподъемность 63-100 т</t>
        </is>
      </c>
      <c r="D43" s="262" t="inlineStr">
        <is>
          <t>маш.час</t>
        </is>
      </c>
      <c r="E43" s="177" t="n">
        <v>5.88</v>
      </c>
      <c r="F43" s="267" t="n">
        <v>0.9</v>
      </c>
      <c r="G43" s="32">
        <f>ROUND(E43*F43,2)</f>
        <v/>
      </c>
      <c r="H43" s="189">
        <f>G43/$G$50</f>
        <v/>
      </c>
      <c r="I43" s="32">
        <f>ROUND(F43*'Прил. 10'!$D$12,2)</f>
        <v/>
      </c>
      <c r="J43" s="32">
        <f>ROUND(I43*E43,2)</f>
        <v/>
      </c>
    </row>
    <row r="44" hidden="1" outlineLevel="1" ht="14.25" customFormat="1" customHeight="1" s="12">
      <c r="A44" s="262" t="n">
        <v>27</v>
      </c>
      <c r="B44" s="170" t="inlineStr">
        <is>
          <t>91.06.05-011</t>
        </is>
      </c>
      <c r="C44" s="265" t="inlineStr">
        <is>
          <t>Погрузчик, грузоподъемность 5 т</t>
        </is>
      </c>
      <c r="D44" s="262" t="inlineStr">
        <is>
          <t>маш.час</t>
        </is>
      </c>
      <c r="E44" s="177" t="n">
        <v>0.02</v>
      </c>
      <c r="F44" s="267" t="n">
        <v>89.98999999999999</v>
      </c>
      <c r="G44" s="32">
        <f>ROUND(E44*F44,2)</f>
        <v/>
      </c>
      <c r="H44" s="189">
        <f>G44/$G$50</f>
        <v/>
      </c>
      <c r="I44" s="32">
        <f>ROUND(F44*'Прил. 10'!$D$12,2)</f>
        <v/>
      </c>
      <c r="J44" s="32">
        <f>ROUND(I44*E44,2)</f>
        <v/>
      </c>
    </row>
    <row r="45" hidden="1" outlineLevel="1" ht="25.5" customFormat="1" customHeight="1" s="12">
      <c r="A45" s="262" t="n">
        <v>28</v>
      </c>
      <c r="B45" s="170" t="inlineStr">
        <is>
          <t>91.08.09-023</t>
        </is>
      </c>
      <c r="C45" s="265" t="inlineStr">
        <is>
          <t>Трамбовки пневматические при работе от: передвижных компрессорных станций</t>
        </is>
      </c>
      <c r="D45" s="262" t="inlineStr">
        <is>
          <t>маш.час</t>
        </is>
      </c>
      <c r="E45" s="177" t="n">
        <v>3.18</v>
      </c>
      <c r="F45" s="267" t="n">
        <v>0.55</v>
      </c>
      <c r="G45" s="32">
        <f>ROUND(E45*F45,2)</f>
        <v/>
      </c>
      <c r="H45" s="189">
        <f>G45/$G$50</f>
        <v/>
      </c>
      <c r="I45" s="32">
        <f>ROUND(F45*'Прил. 10'!$D$12,2)</f>
        <v/>
      </c>
      <c r="J45" s="32">
        <f>ROUND(I45*E45,2)</f>
        <v/>
      </c>
    </row>
    <row r="46" hidden="1" outlineLevel="1" ht="25.5" customFormat="1" customHeight="1" s="12">
      <c r="A46" s="262" t="n">
        <v>29</v>
      </c>
      <c r="B46" s="170" t="inlineStr">
        <is>
          <t>91.14.03-001</t>
        </is>
      </c>
      <c r="C46" s="265" t="inlineStr">
        <is>
          <t>Автомобиль-самосвал, грузоподъемность: до 7 т</t>
        </is>
      </c>
      <c r="D46" s="262" t="inlineStr">
        <is>
          <t>маш.час</t>
        </is>
      </c>
      <c r="E46" s="177" t="n">
        <v>0.01</v>
      </c>
      <c r="F46" s="267" t="n">
        <v>89.54000000000001</v>
      </c>
      <c r="G46" s="32">
        <f>ROUND(E46*F46,2)</f>
        <v/>
      </c>
      <c r="H46" s="189">
        <f>G46/$G$50</f>
        <v/>
      </c>
      <c r="I46" s="32">
        <f>ROUND(F46*'Прил. 10'!$D$12,2)</f>
        <v/>
      </c>
      <c r="J46" s="32">
        <f>ROUND(I46*E46,2)</f>
        <v/>
      </c>
    </row>
    <row r="47" hidden="1" outlineLevel="1" ht="14.25" customFormat="1" customHeight="1" s="12">
      <c r="A47" s="262" t="n">
        <v>30</v>
      </c>
      <c r="B47" s="170" t="inlineStr">
        <is>
          <t>91.07.04-002</t>
        </is>
      </c>
      <c r="C47" s="265" t="inlineStr">
        <is>
          <t>Вибратор поверхностный</t>
        </is>
      </c>
      <c r="D47" s="262" t="inlineStr">
        <is>
          <t>маш.час</t>
        </is>
      </c>
      <c r="E47" s="177" t="n">
        <v>0.48</v>
      </c>
      <c r="F47" s="267" t="n">
        <v>0.5</v>
      </c>
      <c r="G47" s="32">
        <f>ROUND(E47*F47,2)</f>
        <v/>
      </c>
      <c r="H47" s="189">
        <f>G47/$G$50</f>
        <v/>
      </c>
      <c r="I47" s="32">
        <f>ROUND(F47*'Прил. 10'!$D$12,2)</f>
        <v/>
      </c>
      <c r="J47" s="32">
        <f>ROUND(I47*E47,2)</f>
        <v/>
      </c>
    </row>
    <row r="48" hidden="1" outlineLevel="1" ht="25.5" customFormat="1" customHeight="1" s="12">
      <c r="A48" s="262" t="n">
        <v>31</v>
      </c>
      <c r="B48" s="170" t="inlineStr">
        <is>
          <t>91.06.03-060</t>
        </is>
      </c>
      <c r="C48" s="265" t="inlineStr">
        <is>
          <t>Лебедки электрические тяговым усилием: до 5,79 кН (0,59 т)</t>
        </is>
      </c>
      <c r="D48" s="262" t="inlineStr">
        <is>
          <t>маш.час</t>
        </is>
      </c>
      <c r="E48" s="177" t="n">
        <v>0.02</v>
      </c>
      <c r="F48" s="267" t="n">
        <v>1.7</v>
      </c>
      <c r="G48" s="32">
        <f>ROUND(E48*F48,2)</f>
        <v/>
      </c>
      <c r="H48" s="189">
        <f>G48/$G$50</f>
        <v/>
      </c>
      <c r="I48" s="32">
        <f>ROUND(F48*'Прил. 10'!$D$12,2)</f>
        <v/>
      </c>
      <c r="J48" s="32">
        <f>ROUND(I48*E48,2)</f>
        <v/>
      </c>
    </row>
    <row r="49" collapsed="1" ht="14.25" customFormat="1" customHeight="1" s="12">
      <c r="A49" s="262" t="n"/>
      <c r="B49" s="262" t="n"/>
      <c r="C49" s="265" t="inlineStr">
        <is>
          <t>Итого прочие машины и механизмы</t>
        </is>
      </c>
      <c r="D49" s="262" t="n"/>
      <c r="E49" s="266" t="n"/>
      <c r="F49" s="32" t="n"/>
      <c r="G49" s="190">
        <f>SUM(G27:G48)</f>
        <v/>
      </c>
      <c r="H49" s="189">
        <f>G49/G50</f>
        <v/>
      </c>
      <c r="I49" s="32" t="n"/>
      <c r="J49" s="32">
        <f>SUM(J27:J48)</f>
        <v/>
      </c>
    </row>
    <row r="50" ht="25.5" customFormat="1" customHeight="1" s="12">
      <c r="A50" s="262" t="n"/>
      <c r="B50" s="262" t="n"/>
      <c r="C50" s="269" t="inlineStr">
        <is>
          <t>Итого по разделу «Машины и механизмы»</t>
        </is>
      </c>
      <c r="D50" s="262" t="n"/>
      <c r="E50" s="266" t="n"/>
      <c r="F50" s="32" t="n"/>
      <c r="G50" s="32">
        <f>G49+G26</f>
        <v/>
      </c>
      <c r="H50" s="191" t="n">
        <v>1</v>
      </c>
      <c r="I50" s="192" t="n"/>
      <c r="J50" s="193">
        <f>J49+J26</f>
        <v/>
      </c>
    </row>
    <row r="51" ht="30" customHeight="1">
      <c r="A51" s="262" t="n"/>
      <c r="B51" s="269" t="inlineStr">
        <is>
          <t xml:space="preserve">Оборудование </t>
        </is>
      </c>
      <c r="C51" s="322" t="n"/>
      <c r="D51" s="322" t="n"/>
      <c r="E51" s="322" t="n"/>
      <c r="F51" s="322" t="n"/>
      <c r="G51" s="322" t="n"/>
      <c r="H51" s="322" t="n"/>
      <c r="I51" s="322" t="n"/>
      <c r="J51" s="323" t="n"/>
    </row>
    <row r="52">
      <c r="A52" s="262" t="n"/>
      <c r="B52" s="265" t="inlineStr">
        <is>
          <t>Основное оборудование</t>
        </is>
      </c>
      <c r="C52" s="322" t="n"/>
      <c r="D52" s="322" t="n"/>
      <c r="E52" s="322" t="n"/>
      <c r="F52" s="322" t="n"/>
      <c r="G52" s="322" t="n"/>
      <c r="H52" s="323" t="n"/>
      <c r="I52" s="188" t="n"/>
      <c r="J52" s="188" t="n"/>
    </row>
    <row r="53">
      <c r="A53" s="262" t="n">
        <v>32</v>
      </c>
      <c r="B53" s="170" t="inlineStr">
        <is>
          <t>БЦ.14_1.610</t>
        </is>
      </c>
      <c r="C53" s="265" t="inlineStr">
        <is>
          <t>Оптический трансформатор тока 220 кВ</t>
        </is>
      </c>
      <c r="D53" s="262" t="inlineStr">
        <is>
          <t>шт.</t>
        </is>
      </c>
      <c r="E53" s="177" t="n">
        <v>6</v>
      </c>
      <c r="F53" s="267">
        <f>I53/'Прил. 10'!$D$14</f>
        <v/>
      </c>
      <c r="G53" s="32">
        <f>'Прил. 3'!H54</f>
        <v/>
      </c>
      <c r="H53" s="268">
        <f>G53/$G$56</f>
        <v/>
      </c>
      <c r="I53" s="32" t="n">
        <v>2255097.6</v>
      </c>
      <c r="J53" s="194">
        <f>ROUND(I53*E53,2)</f>
        <v/>
      </c>
    </row>
    <row r="54">
      <c r="A54" s="262" t="n"/>
      <c r="B54" s="262" t="n"/>
      <c r="C54" s="265" t="inlineStr">
        <is>
          <t>Итого основное оборудование</t>
        </is>
      </c>
      <c r="D54" s="262" t="n"/>
      <c r="E54" s="177" t="n"/>
      <c r="F54" s="267" t="n"/>
      <c r="G54" s="32">
        <f>G53</f>
        <v/>
      </c>
      <c r="H54" s="268">
        <f>G54/$G$56</f>
        <v/>
      </c>
      <c r="I54" s="190" t="n"/>
      <c r="J54" s="32">
        <f>J53</f>
        <v/>
      </c>
    </row>
    <row r="55">
      <c r="A55" s="262" t="n"/>
      <c r="B55" s="262" t="n"/>
      <c r="C55" s="265" t="inlineStr">
        <is>
          <t>Итого прочее оборудование</t>
        </is>
      </c>
      <c r="D55" s="262" t="n"/>
      <c r="E55" s="177" t="n"/>
      <c r="F55" s="267" t="n"/>
      <c r="G55" s="32" t="n">
        <v>0</v>
      </c>
      <c r="H55" s="268">
        <f>G55/$G$56</f>
        <v/>
      </c>
      <c r="I55" s="190" t="n"/>
      <c r="J55" s="32" t="n">
        <v>0</v>
      </c>
    </row>
    <row r="56">
      <c r="A56" s="262" t="n"/>
      <c r="B56" s="262" t="n"/>
      <c r="C56" s="269" t="inlineStr">
        <is>
          <t>Итого по разделу «Оборудование»</t>
        </is>
      </c>
      <c r="D56" s="262" t="n"/>
      <c r="E56" s="266" t="n"/>
      <c r="F56" s="267" t="n"/>
      <c r="G56" s="32">
        <f>G54+G55</f>
        <v/>
      </c>
      <c r="H56" s="268">
        <f>G56/$G$56</f>
        <v/>
      </c>
      <c r="I56" s="190" t="n"/>
      <c r="J56" s="32">
        <f>J55+J54</f>
        <v/>
      </c>
    </row>
    <row r="57" ht="25.5" customHeight="1">
      <c r="A57" s="262" t="n"/>
      <c r="B57" s="262" t="n"/>
      <c r="C57" s="265" t="inlineStr">
        <is>
          <t>в том числе технологическое оборудование</t>
        </is>
      </c>
      <c r="D57" s="262" t="n"/>
      <c r="E57" s="195" t="n"/>
      <c r="F57" s="267" t="n"/>
      <c r="G57" s="32">
        <f>G56</f>
        <v/>
      </c>
      <c r="H57" s="268" t="n"/>
      <c r="I57" s="190" t="n"/>
      <c r="J57" s="32">
        <f>J56</f>
        <v/>
      </c>
    </row>
    <row r="58" ht="41.25" customFormat="1" customHeight="1" s="12">
      <c r="A58" s="262" t="n"/>
      <c r="B58" s="269" t="inlineStr">
        <is>
          <t>Материалы</t>
        </is>
      </c>
      <c r="C58" s="322" t="n"/>
      <c r="D58" s="322" t="n"/>
      <c r="E58" s="322" t="n"/>
      <c r="F58" s="322" t="n"/>
      <c r="G58" s="322" t="n"/>
      <c r="H58" s="322" t="n"/>
      <c r="I58" s="322" t="n"/>
      <c r="J58" s="323" t="n"/>
    </row>
    <row r="59" ht="14.25" customFormat="1" customHeight="1" s="12">
      <c r="A59" s="262" t="n"/>
      <c r="B59" s="265" t="inlineStr">
        <is>
          <t>Основные материалы</t>
        </is>
      </c>
      <c r="C59" s="322" t="n"/>
      <c r="D59" s="322" t="n"/>
      <c r="E59" s="322" t="n"/>
      <c r="F59" s="322" t="n"/>
      <c r="G59" s="322" t="n"/>
      <c r="H59" s="323" t="n"/>
      <c r="I59" s="188" t="n"/>
      <c r="J59" s="188" t="n"/>
    </row>
    <row r="60" ht="25.5" customFormat="1" customHeight="1" s="12">
      <c r="A60" s="262" t="n">
        <v>33</v>
      </c>
      <c r="B60" s="170" t="inlineStr">
        <is>
          <t>05.1.05.15-0021</t>
        </is>
      </c>
      <c r="C60" s="265" t="inlineStr">
        <is>
          <t>Фундаменты столчатые монолитные ФМ-1 (1200х1200х1800)</t>
        </is>
      </c>
      <c r="D60" s="262" t="inlineStr">
        <is>
          <t>шт</t>
        </is>
      </c>
      <c r="E60" s="177" t="n">
        <v>6</v>
      </c>
      <c r="F60" s="267" t="n">
        <v>8040</v>
      </c>
      <c r="G60" s="32">
        <f>ROUND(E60*F60,2)</f>
        <v/>
      </c>
      <c r="H60" s="189">
        <f>G60/$G$107</f>
        <v/>
      </c>
      <c r="I60" s="32">
        <f>ROUND(F60*'Прил. 10'!$D$13,2)</f>
        <v/>
      </c>
      <c r="J60" s="32">
        <f>ROUND(I60*E60,2)</f>
        <v/>
      </c>
    </row>
    <row r="61" ht="14.25" customFormat="1" customHeight="1" s="12">
      <c r="A61" s="262" t="n">
        <v>34</v>
      </c>
      <c r="B61" s="170" t="inlineStr">
        <is>
          <t>07.3.02.11-0061</t>
        </is>
      </c>
      <c r="C61" s="265" t="inlineStr">
        <is>
          <t>Опоры из труб</t>
        </is>
      </c>
      <c r="D61" s="262" t="inlineStr">
        <is>
          <t>т</t>
        </is>
      </c>
      <c r="E61" s="177" t="n">
        <v>1.4841</v>
      </c>
      <c r="F61" s="267" t="n">
        <v>20919.87</v>
      </c>
      <c r="G61" s="32">
        <f>ROUND(E61*F61,2)</f>
        <v/>
      </c>
      <c r="H61" s="189">
        <f>G61/$G$107</f>
        <v/>
      </c>
      <c r="I61" s="32">
        <f>ROUND(F61*'Прил. 10'!$D$13,2)</f>
        <v/>
      </c>
      <c r="J61" s="32">
        <f>ROUND(I61*E61,2)</f>
        <v/>
      </c>
    </row>
    <row r="62" ht="25.5" customFormat="1" customHeight="1" s="12">
      <c r="A62" s="262" t="n">
        <v>35</v>
      </c>
      <c r="B62" s="170" t="inlineStr">
        <is>
          <t>20.2.10.03-0006</t>
        </is>
      </c>
      <c r="C62" s="265" t="inlineStr">
        <is>
          <t>Наконечники кабельные: медные соединительные (ТМЛ 10-5-5)</t>
        </is>
      </c>
      <c r="D62" s="262" t="inlineStr">
        <is>
          <t>100 шт.</t>
        </is>
      </c>
      <c r="E62" s="177" t="n">
        <v>50</v>
      </c>
      <c r="F62" s="267" t="n">
        <v>365</v>
      </c>
      <c r="G62" s="32">
        <f>ROUND(E62*F62,2)</f>
        <v/>
      </c>
      <c r="H62" s="189">
        <f>G62/$G$107</f>
        <v/>
      </c>
      <c r="I62" s="32">
        <f>ROUND(F62*'Прил. 10'!$D$13,2)</f>
        <v/>
      </c>
      <c r="J62" s="32">
        <f>ROUND(I62*E62,2)</f>
        <v/>
      </c>
    </row>
    <row r="63" ht="25.5" customFormat="1" customHeight="1" s="12">
      <c r="A63" s="262" t="n">
        <v>36</v>
      </c>
      <c r="B63" s="170" t="inlineStr">
        <is>
          <t>21.1.06.10-0411</t>
        </is>
      </c>
      <c r="C63" s="265" t="inlineStr">
        <is>
          <t>Кабель силовой с медными жилами ВВГнг(A)-LS 5х16мк(N, РЕ)-1000</t>
        </is>
      </c>
      <c r="D63" s="262" t="inlineStr">
        <is>
          <t>1000 м</t>
        </is>
      </c>
      <c r="E63" s="177">
        <f>0.011*3*2</f>
        <v/>
      </c>
      <c r="F63" s="267" t="n">
        <v>98440.41</v>
      </c>
      <c r="G63" s="32">
        <f>ROUND(E63*F63,2)</f>
        <v/>
      </c>
      <c r="H63" s="189">
        <f>G63/$G$107</f>
        <v/>
      </c>
      <c r="I63" s="32">
        <f>ROUND(F63*'Прил. 10'!$D$13,2)</f>
        <v/>
      </c>
      <c r="J63" s="32">
        <f>ROUND(I63*E63,2)</f>
        <v/>
      </c>
    </row>
    <row r="64" ht="63.75" customFormat="1" customHeight="1" s="12">
      <c r="A64" s="262" t="n">
        <v>37</v>
      </c>
      <c r="B64" s="170" t="inlineStr">
        <is>
          <t>21.2.01.02-0094</t>
        </is>
      </c>
      <c r="C64" s="26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D64" s="262" t="inlineStr">
        <is>
          <t>т</t>
        </is>
      </c>
      <c r="E64" s="177" t="n">
        <v>0.14751</v>
      </c>
      <c r="F64" s="267" t="n">
        <v>32758.86</v>
      </c>
      <c r="G64" s="32">
        <f>ROUND(E64*F64,2)</f>
        <v/>
      </c>
      <c r="H64" s="189">
        <f>G64/$G$107</f>
        <v/>
      </c>
      <c r="I64" s="32">
        <f>ROUND(F64*'Прил. 10'!$D$13,2)</f>
        <v/>
      </c>
      <c r="J64" s="32">
        <f>ROUND(I64*E64,2)</f>
        <v/>
      </c>
    </row>
    <row r="65" ht="14.25" customFormat="1" customHeight="1" s="12">
      <c r="A65" s="262" t="n"/>
      <c r="B65" s="262" t="n"/>
      <c r="C65" s="265" t="inlineStr">
        <is>
          <t>Итого основные материалы</t>
        </is>
      </c>
      <c r="D65" s="262" t="n"/>
      <c r="E65" s="177" t="n"/>
      <c r="F65" s="267" t="n"/>
      <c r="G65" s="32">
        <f>SUM(G60:G64)</f>
        <v/>
      </c>
      <c r="H65" s="268">
        <f>G65/$G$107</f>
        <v/>
      </c>
      <c r="I65" s="190" t="n"/>
      <c r="J65" s="32">
        <f>SUM(J60:J64)</f>
        <v/>
      </c>
    </row>
    <row r="66" hidden="1" outlineLevel="1" ht="14.25" customFormat="1" customHeight="1" s="12">
      <c r="A66" s="262" t="n">
        <v>38</v>
      </c>
      <c r="B66" s="170" t="inlineStr">
        <is>
          <t>21.1.08.03-0574</t>
        </is>
      </c>
      <c r="C66" s="265" t="inlineStr">
        <is>
          <t>Кабель контрольный КВВГЭнг(А)-LS 4x2,5</t>
        </is>
      </c>
      <c r="D66" s="262" t="inlineStr">
        <is>
          <t>1000 м</t>
        </is>
      </c>
      <c r="E66" s="177">
        <f>0.018*3*2</f>
        <v/>
      </c>
      <c r="F66" s="267" t="n">
        <v>38348.22</v>
      </c>
      <c r="G66" s="32">
        <f>ROUND(E66*F66,2)</f>
        <v/>
      </c>
      <c r="H66" s="189">
        <f>G66/$G$107</f>
        <v/>
      </c>
      <c r="I66" s="32">
        <f>ROUND(F66*'Прил. 10'!$D$13,2)</f>
        <v/>
      </c>
      <c r="J66" s="32">
        <f>ROUND(I66*E66,2)</f>
        <v/>
      </c>
    </row>
    <row r="67" hidden="1" outlineLevel="1" ht="25.5" customFormat="1" customHeight="1" s="12">
      <c r="A67" s="262" t="n">
        <v>39</v>
      </c>
      <c r="B67" s="170" t="inlineStr">
        <is>
          <t>20.5.04.06-0003</t>
        </is>
      </c>
      <c r="C67" s="265" t="inlineStr">
        <is>
          <t>Зажим разъемный ответвительный РОА-300-1</t>
        </is>
      </c>
      <c r="D67" s="262" t="inlineStr">
        <is>
          <t>шт.</t>
        </is>
      </c>
      <c r="E67" s="177" t="n">
        <v>9</v>
      </c>
      <c r="F67" s="267" t="n">
        <v>143.88</v>
      </c>
      <c r="G67" s="32">
        <f>ROUND(E67*F67,2)</f>
        <v/>
      </c>
      <c r="H67" s="189">
        <f>G67/$G$107</f>
        <v/>
      </c>
      <c r="I67" s="32">
        <f>ROUND(F67*'Прил. 10'!$D$13,2)</f>
        <v/>
      </c>
      <c r="J67" s="32">
        <f>ROUND(I67*E67,2)</f>
        <v/>
      </c>
    </row>
    <row r="68" hidden="1" outlineLevel="1" ht="38.25" customFormat="1" customHeight="1" s="12">
      <c r="A68" s="262" t="n">
        <v>40</v>
      </c>
      <c r="B68" s="170" t="inlineStr">
        <is>
          <t>05.1.01.10-0131</t>
        </is>
      </c>
      <c r="C68" s="265" t="inlineStr">
        <is>
          <t>Лотки каналов и тоннелей железобетонные для прокладки коммуникаций</t>
        </is>
      </c>
      <c r="D68" s="262" t="inlineStr">
        <is>
          <t>м3</t>
        </is>
      </c>
      <c r="E68" s="177">
        <f>0.28*2</f>
        <v/>
      </c>
      <c r="F68" s="267" t="n">
        <v>1837.28</v>
      </c>
      <c r="G68" s="32">
        <f>E68*F68</f>
        <v/>
      </c>
      <c r="H68" s="189">
        <f>G68/$G$107</f>
        <v/>
      </c>
      <c r="I68" s="32">
        <f>ROUND(F68*'Прил. 10'!$D$13,2)</f>
        <v/>
      </c>
      <c r="J68" s="32">
        <f>ROUND(I68*E68,2)</f>
        <v/>
      </c>
    </row>
    <row r="69" hidden="1" outlineLevel="1" ht="25.5" customFormat="1" customHeight="1" s="12">
      <c r="A69" s="262" t="n">
        <v>41</v>
      </c>
      <c r="B69" s="170" t="inlineStr">
        <is>
          <t>20.1.01.02-0066</t>
        </is>
      </c>
      <c r="C69" s="265" t="inlineStr">
        <is>
          <t>Зажим аппаратный прессуемый: А4А-300-2</t>
        </is>
      </c>
      <c r="D69" s="262" t="inlineStr">
        <is>
          <t>100 шт.</t>
        </is>
      </c>
      <c r="E69" s="177" t="n">
        <v>0.15</v>
      </c>
      <c r="F69" s="267" t="n">
        <v>6080</v>
      </c>
      <c r="G69" s="32">
        <f>ROUND(E69*F69,2)</f>
        <v/>
      </c>
      <c r="H69" s="189">
        <f>G69/$G$107</f>
        <v/>
      </c>
      <c r="I69" s="32">
        <f>ROUND(F69*'Прил. 10'!$D$13,2)</f>
        <v/>
      </c>
      <c r="J69" s="32">
        <f>ROUND(I69*E69,2)</f>
        <v/>
      </c>
    </row>
    <row r="70" hidden="1" outlineLevel="1" ht="14.25" customFormat="1" customHeight="1" s="12">
      <c r="A70" s="262" t="n">
        <v>42</v>
      </c>
      <c r="B70" s="170" t="inlineStr">
        <is>
          <t>01.7.15.03-0041</t>
        </is>
      </c>
      <c r="C70" s="265" t="inlineStr">
        <is>
          <t>Болты с гайками и шайбами строительные</t>
        </is>
      </c>
      <c r="D70" s="262" t="inlineStr">
        <is>
          <t>т</t>
        </is>
      </c>
      <c r="E70" s="177" t="n">
        <v>0.09973799999999999</v>
      </c>
      <c r="F70" s="267" t="n">
        <v>9040.01</v>
      </c>
      <c r="G70" s="32">
        <f>ROUND(E70*F70,2)</f>
        <v/>
      </c>
      <c r="H70" s="189">
        <f>G70/$G$107</f>
        <v/>
      </c>
      <c r="I70" s="32">
        <f>ROUND(F70*'Прил. 10'!$D$13,2)</f>
        <v/>
      </c>
      <c r="J70" s="32">
        <f>ROUND(I70*E70,2)</f>
        <v/>
      </c>
    </row>
    <row r="71" hidden="1" outlineLevel="1" ht="25.5" customFormat="1" customHeight="1" s="12">
      <c r="A71" s="262" t="n">
        <v>43</v>
      </c>
      <c r="B71" s="170" t="inlineStr">
        <is>
          <t>04.1.02.05-0045</t>
        </is>
      </c>
      <c r="C71" s="265" t="inlineStr">
        <is>
          <t>Бетон тяжелый, крупность заполнителя: 20 мм, класс В22,5 (М300)</t>
        </is>
      </c>
      <c r="D71" s="262" t="inlineStr">
        <is>
          <t>м3</t>
        </is>
      </c>
      <c r="E71" s="177" t="n">
        <v>1.02</v>
      </c>
      <c r="F71" s="267" t="n">
        <v>668.28</v>
      </c>
      <c r="G71" s="32">
        <f>ROUND(E71*F71,2)</f>
        <v/>
      </c>
      <c r="H71" s="189">
        <f>G71/$G$107</f>
        <v/>
      </c>
      <c r="I71" s="32">
        <f>ROUND(F71*'Прил. 10'!$D$13,2)</f>
        <v/>
      </c>
      <c r="J71" s="32">
        <f>ROUND(I71*E71,2)</f>
        <v/>
      </c>
    </row>
    <row r="72" hidden="1" outlineLevel="1" ht="38.25" customFormat="1" customHeight="1" s="12">
      <c r="A72" s="262" t="n">
        <v>44</v>
      </c>
      <c r="B72" s="170" t="inlineStr">
        <is>
          <t>08.3.08.01-0026</t>
        </is>
      </c>
      <c r="C72" s="265" t="inlineStr">
        <is>
          <t>Сталь угловая неравнополочная, марка стали: 18сп, ширина большей полки 63-160 мм</t>
        </is>
      </c>
      <c r="D72" s="262" t="inlineStr">
        <is>
          <t>т</t>
        </is>
      </c>
      <c r="E72" s="177" t="n">
        <v>0.1068</v>
      </c>
      <c r="F72" s="267" t="n">
        <v>5443.44</v>
      </c>
      <c r="G72" s="32">
        <f>ROUND(E72*F72,2)</f>
        <v/>
      </c>
      <c r="H72" s="189">
        <f>G72/$G$107</f>
        <v/>
      </c>
      <c r="I72" s="32">
        <f>ROUND(F72*'Прил. 10'!$D$13,2)</f>
        <v/>
      </c>
      <c r="J72" s="32">
        <f>ROUND(I72*E72,2)</f>
        <v/>
      </c>
    </row>
    <row r="73" hidden="1" outlineLevel="1" ht="14.25" customFormat="1" customHeight="1" s="12">
      <c r="A73" s="262" t="n">
        <v>45</v>
      </c>
      <c r="B73" s="170" t="inlineStr">
        <is>
          <t>01.2.03.02-0011</t>
        </is>
      </c>
      <c r="C73" s="265" t="inlineStr">
        <is>
          <t>Грунтовка: ГТ-752</t>
        </is>
      </c>
      <c r="D73" s="262" t="inlineStr">
        <is>
          <t>т</t>
        </is>
      </c>
      <c r="E73" s="177" t="n">
        <v>0.02</v>
      </c>
      <c r="F73" s="267" t="n">
        <v>23152.8</v>
      </c>
      <c r="G73" s="32">
        <f>ROUND(E73*F73,2)</f>
        <v/>
      </c>
      <c r="H73" s="189">
        <f>G73/$G$107</f>
        <v/>
      </c>
      <c r="I73" s="32">
        <f>ROUND(F73*'Прил. 10'!$D$13,2)</f>
        <v/>
      </c>
      <c r="J73" s="32">
        <f>ROUND(I73*E73,2)</f>
        <v/>
      </c>
    </row>
    <row r="74" hidden="1" outlineLevel="1" ht="25.5" customFormat="1" customHeight="1" s="12">
      <c r="A74" s="262" t="n">
        <v>46</v>
      </c>
      <c r="B74" s="170" t="inlineStr">
        <is>
          <t>01.2.03.03-0011</t>
        </is>
      </c>
      <c r="C74" s="265" t="inlineStr">
        <is>
          <t>Мастика битумная гидроизоляционная МГ-1</t>
        </is>
      </c>
      <c r="D74" s="262" t="inlineStr">
        <is>
          <t>т</t>
        </is>
      </c>
      <c r="E74" s="177" t="n">
        <v>0.06</v>
      </c>
      <c r="F74" s="267" t="n">
        <v>7669.69</v>
      </c>
      <c r="G74" s="32">
        <f>ROUND(E74*F74,2)</f>
        <v/>
      </c>
      <c r="H74" s="189">
        <f>G74/$G$107</f>
        <v/>
      </c>
      <c r="I74" s="32">
        <f>ROUND(F74*'Прил. 10'!$D$13,2)</f>
        <v/>
      </c>
      <c r="J74" s="32">
        <f>ROUND(I74*E74,2)</f>
        <v/>
      </c>
    </row>
    <row r="75" hidden="1" outlineLevel="1" ht="25.5" customFormat="1" customHeight="1" s="12">
      <c r="A75" s="262" t="n">
        <v>47</v>
      </c>
      <c r="B75" s="170" t="inlineStr">
        <is>
          <t>08.3.07.01-0076</t>
        </is>
      </c>
      <c r="C75" s="265" t="inlineStr">
        <is>
          <t>Сталь полосовая, марка стали: Ст3сп шириной 50-200 мм толщиной 4-5 мм</t>
        </is>
      </c>
      <c r="D75" s="262" t="inlineStr">
        <is>
          <t>т</t>
        </is>
      </c>
      <c r="E75" s="177" t="n">
        <v>0.092</v>
      </c>
      <c r="F75" s="267" t="n">
        <v>5000</v>
      </c>
      <c r="G75" s="32">
        <f>ROUND(E75*F75,2)</f>
        <v/>
      </c>
      <c r="H75" s="189">
        <f>G75/$G$107</f>
        <v/>
      </c>
      <c r="I75" s="32">
        <f>ROUND(F75*'Прил. 10'!$D$13,2)</f>
        <v/>
      </c>
      <c r="J75" s="32">
        <f>ROUND(I75*E75,2)</f>
        <v/>
      </c>
    </row>
    <row r="76" hidden="1" outlineLevel="1" ht="25.5" customFormat="1" customHeight="1" s="12">
      <c r="A76" s="262" t="n">
        <v>48</v>
      </c>
      <c r="B76" s="170" t="inlineStr">
        <is>
          <t>02.2.05.04-0047</t>
        </is>
      </c>
      <c r="C76" s="265" t="inlineStr">
        <is>
          <t>Щебень из гравия для строительных работ марка 600, фракция 20-40 мм</t>
        </is>
      </c>
      <c r="D76" s="262" t="inlineStr">
        <is>
          <t>м3</t>
        </is>
      </c>
      <c r="E76" s="177" t="n">
        <v>3.9</v>
      </c>
      <c r="F76" s="267" t="n">
        <v>114.13</v>
      </c>
      <c r="G76" s="32">
        <f>ROUND(E76*F76,2)</f>
        <v/>
      </c>
      <c r="H76" s="189">
        <f>G76/$G$107</f>
        <v/>
      </c>
      <c r="I76" s="32">
        <f>ROUND(F76*'Прил. 10'!$D$13,2)</f>
        <v/>
      </c>
      <c r="J76" s="32">
        <f>ROUND(I76*E76,2)</f>
        <v/>
      </c>
    </row>
    <row r="77" hidden="1" outlineLevel="1" ht="14.25" customFormat="1" customHeight="1" s="12">
      <c r="A77" s="262" t="n">
        <v>49</v>
      </c>
      <c r="B77" s="170" t="inlineStr">
        <is>
          <t>01.7.17.11-0001</t>
        </is>
      </c>
      <c r="C77" s="265" t="inlineStr">
        <is>
          <t>Бумага шлифовальная</t>
        </is>
      </c>
      <c r="D77" s="262" t="inlineStr">
        <is>
          <t>кг</t>
        </is>
      </c>
      <c r="E77" s="177" t="n">
        <v>8</v>
      </c>
      <c r="F77" s="267" t="n">
        <v>50</v>
      </c>
      <c r="G77" s="32">
        <f>ROUND(E77*F77,2)</f>
        <v/>
      </c>
      <c r="H77" s="189">
        <f>G77/$G$107</f>
        <v/>
      </c>
      <c r="I77" s="32">
        <f>ROUND(F77*'Прил. 10'!$D$13,2)</f>
        <v/>
      </c>
      <c r="J77" s="32">
        <f>ROUND(I77*E77,2)</f>
        <v/>
      </c>
    </row>
    <row r="78" hidden="1" outlineLevel="1" ht="25.5" customFormat="1" customHeight="1" s="12">
      <c r="A78" s="262" t="n">
        <v>50</v>
      </c>
      <c r="B78" s="170" t="inlineStr">
        <is>
          <t>01.7.15.03-0034</t>
        </is>
      </c>
      <c r="C78" s="265" t="inlineStr">
        <is>
          <t>Болты с гайками и шайбами оцинкованные, диаметр: 12 мм</t>
        </is>
      </c>
      <c r="D78" s="262" t="inlineStr">
        <is>
          <t>кг</t>
        </is>
      </c>
      <c r="E78" s="177" t="n">
        <v>12.02624</v>
      </c>
      <c r="F78" s="267" t="n">
        <v>25.76</v>
      </c>
      <c r="G78" s="32">
        <f>ROUND(E78*F78,2)</f>
        <v/>
      </c>
      <c r="H78" s="189">
        <f>G78/$G$107</f>
        <v/>
      </c>
      <c r="I78" s="32">
        <f>ROUND(F78*'Прил. 10'!$D$13,2)</f>
        <v/>
      </c>
      <c r="J78" s="32">
        <f>ROUND(I78*E78,2)</f>
        <v/>
      </c>
    </row>
    <row r="79" hidden="1" outlineLevel="1" ht="38.25" customFormat="1" customHeight="1" s="12">
      <c r="A79" s="262" t="n">
        <v>51</v>
      </c>
      <c r="B79" s="170" t="inlineStr">
        <is>
          <t>08.3.07.01-0064</t>
        </is>
      </c>
      <c r="C79" s="265" t="inlineStr">
        <is>
          <t>Сталь полосовая: горячекатаная, марки Ст3, толщина 2-6 мм, ширина 30-40 мм, перфорированная</t>
        </is>
      </c>
      <c r="D79" s="262" t="inlineStr">
        <is>
          <t>м</t>
        </is>
      </c>
      <c r="E79" s="177" t="n">
        <v>25</v>
      </c>
      <c r="F79" s="267" t="n">
        <v>12.37</v>
      </c>
      <c r="G79" s="32">
        <f>ROUND(E79*F79,2)</f>
        <v/>
      </c>
      <c r="H79" s="189">
        <f>G79/$G$107</f>
        <v/>
      </c>
      <c r="I79" s="32">
        <f>ROUND(F79*'Прил. 10'!$D$13,2)</f>
        <v/>
      </c>
      <c r="J79" s="32">
        <f>ROUND(I79*E79,2)</f>
        <v/>
      </c>
    </row>
    <row r="80" hidden="1" outlineLevel="1" ht="25.5" customFormat="1" customHeight="1" s="12">
      <c r="A80" s="262" t="n">
        <v>52</v>
      </c>
      <c r="B80" s="170" t="inlineStr">
        <is>
          <t>02.2.05.04-1777</t>
        </is>
      </c>
      <c r="C80" s="265" t="inlineStr">
        <is>
          <t>Щебень М 800, фракция 20-40 мм, группа 2</t>
        </is>
      </c>
      <c r="D80" s="262" t="inlineStr">
        <is>
          <t>м3</t>
        </is>
      </c>
      <c r="E80" s="177">
        <f>1.2*1*2</f>
        <v/>
      </c>
      <c r="F80" s="267" t="n">
        <v>108.4</v>
      </c>
      <c r="G80" s="32">
        <f>E80*F80</f>
        <v/>
      </c>
      <c r="H80" s="189">
        <f>G80/$G$107</f>
        <v/>
      </c>
      <c r="I80" s="32">
        <f>ROUND(F80*'Прил. 10'!$D$13,2)</f>
        <v/>
      </c>
      <c r="J80" s="32">
        <f>ROUND(I80*E80,2)</f>
        <v/>
      </c>
    </row>
    <row r="81" hidden="1" outlineLevel="1" ht="14.25" customFormat="1" customHeight="1" s="12">
      <c r="A81" s="262" t="n">
        <v>53</v>
      </c>
      <c r="B81" s="170" t="inlineStr">
        <is>
          <t>08.3.11.01-0048</t>
        </is>
      </c>
      <c r="C81" s="265" t="inlineStr">
        <is>
          <t>Швеллеры: № 10 сталь марки ВСт3пс5</t>
        </is>
      </c>
      <c r="D81" s="262" t="inlineStr">
        <is>
          <t>т</t>
        </is>
      </c>
      <c r="E81" s="177" t="n">
        <v>0.0516</v>
      </c>
      <c r="F81" s="267" t="n">
        <v>4642.28</v>
      </c>
      <c r="G81" s="32">
        <f>ROUND(E81*F81,2)</f>
        <v/>
      </c>
      <c r="H81" s="189">
        <f>G81/$G$107</f>
        <v/>
      </c>
      <c r="I81" s="32">
        <f>ROUND(F81*'Прил. 10'!$D$13,2)</f>
        <v/>
      </c>
      <c r="J81" s="32">
        <f>ROUND(I81*E81,2)</f>
        <v/>
      </c>
    </row>
    <row r="82" hidden="1" outlineLevel="1" ht="14.25" customFormat="1" customHeight="1" s="12">
      <c r="A82" s="262" t="n">
        <v>54</v>
      </c>
      <c r="B82" s="170" t="inlineStr">
        <is>
          <t>14.5.09.11-0101</t>
        </is>
      </c>
      <c r="C82" s="265" t="inlineStr">
        <is>
          <t>Уайт-спирит</t>
        </is>
      </c>
      <c r="D82" s="262" t="inlineStr">
        <is>
          <t>т</t>
        </is>
      </c>
      <c r="E82" s="177" t="n">
        <v>0.0299</v>
      </c>
      <c r="F82" s="267" t="n">
        <v>6667</v>
      </c>
      <c r="G82" s="32">
        <f>ROUND(E82*F82,2)</f>
        <v/>
      </c>
      <c r="H82" s="189">
        <f>G82/$G$107</f>
        <v/>
      </c>
      <c r="I82" s="32">
        <f>ROUND(F82*'Прил. 10'!$D$13,2)</f>
        <v/>
      </c>
      <c r="J82" s="32">
        <f>ROUND(I82*E82,2)</f>
        <v/>
      </c>
    </row>
    <row r="83" hidden="1" outlineLevel="1" ht="25.5" customFormat="1" customHeight="1" s="12">
      <c r="A83" s="262" t="n">
        <v>55</v>
      </c>
      <c r="B83" s="170" t="inlineStr">
        <is>
          <t>04.3.01.09-0011</t>
        </is>
      </c>
      <c r="C83" s="265" t="inlineStr">
        <is>
          <t>Раствор готовый кладочный цементный марки: 25</t>
        </is>
      </c>
      <c r="D83" s="262" t="inlineStr">
        <is>
          <t>м3</t>
        </is>
      </c>
      <c r="E83" s="177" t="n">
        <v>0.4175</v>
      </c>
      <c r="F83" s="267" t="n">
        <v>463.3</v>
      </c>
      <c r="G83" s="32">
        <f>ROUND(E83*F83,2)</f>
        <v/>
      </c>
      <c r="H83" s="189">
        <f>G83/$G$107</f>
        <v/>
      </c>
      <c r="I83" s="32">
        <f>ROUND(F83*'Прил. 10'!$D$13,2)</f>
        <v/>
      </c>
      <c r="J83" s="32">
        <f>ROUND(I83*E83,2)</f>
        <v/>
      </c>
    </row>
    <row r="84" hidden="1" outlineLevel="1" ht="38.25" customFormat="1" customHeight="1" s="12">
      <c r="A84" s="262" t="n">
        <v>56</v>
      </c>
      <c r="B84" s="170" t="inlineStr">
        <is>
          <t>14.4.02.04-0175</t>
        </is>
      </c>
      <c r="C84" s="265" t="inlineStr">
        <is>
          <t>Краски масляные и алкидные земляные, готовые к применению: сурик железный МА-15, ПФ-14</t>
        </is>
      </c>
      <c r="D84" s="262" t="inlineStr">
        <is>
          <t>т</t>
        </is>
      </c>
      <c r="E84" s="177" t="n">
        <v>0.0107</v>
      </c>
      <c r="F84" s="267" t="n">
        <v>15584</v>
      </c>
      <c r="G84" s="32">
        <f>ROUND(E84*F84,2)</f>
        <v/>
      </c>
      <c r="H84" s="189">
        <f>G84/$G$107</f>
        <v/>
      </c>
      <c r="I84" s="32">
        <f>ROUND(F84*'Прил. 10'!$D$13,2)</f>
        <v/>
      </c>
      <c r="J84" s="32">
        <f>ROUND(I84*E84,2)</f>
        <v/>
      </c>
    </row>
    <row r="85" hidden="1" outlineLevel="1" ht="14.25" customFormat="1" customHeight="1" s="12">
      <c r="A85" s="262" t="n">
        <v>57</v>
      </c>
      <c r="B85" s="170" t="inlineStr">
        <is>
          <t>01.7.15.03-0042</t>
        </is>
      </c>
      <c r="C85" s="265" t="inlineStr">
        <is>
          <t>Болты с гайками и шайбами строительные</t>
        </is>
      </c>
      <c r="D85" s="262" t="inlineStr">
        <is>
          <t>кг</t>
        </is>
      </c>
      <c r="E85" s="177" t="n">
        <v>15.22</v>
      </c>
      <c r="F85" s="267" t="n">
        <v>9.039999999999999</v>
      </c>
      <c r="G85" s="32">
        <f>ROUND(E85*F85,2)</f>
        <v/>
      </c>
      <c r="H85" s="189">
        <f>G85/$G$107</f>
        <v/>
      </c>
      <c r="I85" s="32">
        <f>ROUND(F85*'Прил. 10'!$D$13,2)</f>
        <v/>
      </c>
      <c r="J85" s="32">
        <f>ROUND(I85*E85,2)</f>
        <v/>
      </c>
    </row>
    <row r="86" hidden="1" outlineLevel="1" ht="25.5" customFormat="1" customHeight="1" s="12">
      <c r="A86" s="262" t="n">
        <v>58</v>
      </c>
      <c r="B86" s="170" t="inlineStr">
        <is>
          <t>08.4.03.02-0004</t>
        </is>
      </c>
      <c r="C86" s="265" t="inlineStr">
        <is>
          <t>Горячекатаная арматурная сталь гладкая класса А-I, диаметром: 12 мм</t>
        </is>
      </c>
      <c r="D86" s="262" t="inlineStr">
        <is>
          <t>т</t>
        </is>
      </c>
      <c r="E86" s="177" t="n">
        <v>0.018</v>
      </c>
      <c r="F86" s="267" t="n">
        <v>6508.75</v>
      </c>
      <c r="G86" s="32">
        <f>ROUND(E86*F86,2)</f>
        <v/>
      </c>
      <c r="H86" s="189">
        <f>G86/$G$107</f>
        <v/>
      </c>
      <c r="I86" s="32">
        <f>ROUND(F86*'Прил. 10'!$D$13,2)</f>
        <v/>
      </c>
      <c r="J86" s="32">
        <f>ROUND(I86*E86,2)</f>
        <v/>
      </c>
    </row>
    <row r="87" hidden="1" outlineLevel="1" ht="14.25" customFormat="1" customHeight="1" s="12">
      <c r="A87" s="262" t="n">
        <v>59</v>
      </c>
      <c r="B87" s="170" t="inlineStr">
        <is>
          <t>01.7.11.07-0032</t>
        </is>
      </c>
      <c r="C87" s="265" t="inlineStr">
        <is>
          <t>Электроды диаметром: 4 мм Э42</t>
        </is>
      </c>
      <c r="D87" s="262" t="inlineStr">
        <is>
          <t>т</t>
        </is>
      </c>
      <c r="E87" s="177" t="n">
        <v>0.0101</v>
      </c>
      <c r="F87" s="267" t="n">
        <v>10315.01</v>
      </c>
      <c r="G87" s="32">
        <f>ROUND(E87*F87,2)</f>
        <v/>
      </c>
      <c r="H87" s="189">
        <f>G87/$G$107</f>
        <v/>
      </c>
      <c r="I87" s="32">
        <f>ROUND(F87*'Прил. 10'!$D$13,2)</f>
        <v/>
      </c>
      <c r="J87" s="32">
        <f>ROUND(I87*E87,2)</f>
        <v/>
      </c>
    </row>
    <row r="88" hidden="1" outlineLevel="1" ht="14.25" customFormat="1" customHeight="1" s="12">
      <c r="A88" s="262" t="n">
        <v>60</v>
      </c>
      <c r="B88" s="170" t="inlineStr">
        <is>
          <t>14.4.02.09-0001</t>
        </is>
      </c>
      <c r="C88" s="265" t="inlineStr">
        <is>
          <t>Краска</t>
        </is>
      </c>
      <c r="D88" s="262" t="inlineStr">
        <is>
          <t>кг</t>
        </is>
      </c>
      <c r="E88" s="177" t="n">
        <v>3.6</v>
      </c>
      <c r="F88" s="267" t="n">
        <v>28.6</v>
      </c>
      <c r="G88" s="32">
        <f>ROUND(E88*F88,2)</f>
        <v/>
      </c>
      <c r="H88" s="189">
        <f>G88/$G$107</f>
        <v/>
      </c>
      <c r="I88" s="32">
        <f>ROUND(F88*'Прил. 10'!$D$13,2)</f>
        <v/>
      </c>
      <c r="J88" s="32">
        <f>ROUND(I88*E88,2)</f>
        <v/>
      </c>
    </row>
    <row r="89" hidden="1" outlineLevel="1" ht="14.25" customFormat="1" customHeight="1" s="12">
      <c r="A89" s="262" t="n">
        <v>61</v>
      </c>
      <c r="B89" s="170" t="inlineStr">
        <is>
          <t>14.5.05.01-0012</t>
        </is>
      </c>
      <c r="C89" s="265" t="inlineStr">
        <is>
          <t>Олифа комбинированная, марки: К-3</t>
        </is>
      </c>
      <c r="D89" s="262" t="inlineStr">
        <is>
          <t>т</t>
        </is>
      </c>
      <c r="E89" s="177" t="n">
        <v>0.0057</v>
      </c>
      <c r="F89" s="267" t="n">
        <v>16950</v>
      </c>
      <c r="G89" s="32">
        <f>ROUND(E89*F89,2)</f>
        <v/>
      </c>
      <c r="H89" s="189">
        <f>G89/$G$107</f>
        <v/>
      </c>
      <c r="I89" s="32">
        <f>ROUND(F89*'Прил. 10'!$D$13,2)</f>
        <v/>
      </c>
      <c r="J89" s="32">
        <f>ROUND(I89*E89,2)</f>
        <v/>
      </c>
    </row>
    <row r="90" hidden="1" outlineLevel="1" ht="25.5" customFormat="1" customHeight="1" s="12">
      <c r="A90" s="262" t="n">
        <v>62</v>
      </c>
      <c r="B90" s="170" t="inlineStr">
        <is>
          <t>02.3.01.02-0015</t>
        </is>
      </c>
      <c r="C90" s="265" t="inlineStr">
        <is>
          <t>Песок природный для строительных: работ средний</t>
        </is>
      </c>
      <c r="D90" s="262" t="inlineStr">
        <is>
          <t>м3</t>
        </is>
      </c>
      <c r="E90" s="177" t="n">
        <v>1.2</v>
      </c>
      <c r="F90" s="267" t="n">
        <v>55.26</v>
      </c>
      <c r="G90" s="32">
        <f>ROUND(E90*F90,2)</f>
        <v/>
      </c>
      <c r="H90" s="189">
        <f>G90/$G$107</f>
        <v/>
      </c>
      <c r="I90" s="32">
        <f>ROUND(F90*'Прил. 10'!$D$13,2)</f>
        <v/>
      </c>
      <c r="J90" s="32">
        <f>ROUND(I90*E90,2)</f>
        <v/>
      </c>
    </row>
    <row r="91" hidden="1" outlineLevel="1" ht="14.25" customFormat="1" customHeight="1" s="12">
      <c r="A91" s="262" t="n">
        <v>63</v>
      </c>
      <c r="B91" s="170" t="inlineStr">
        <is>
          <t>01.7.20.08-0031</t>
        </is>
      </c>
      <c r="C91" s="265" t="inlineStr">
        <is>
          <t>Бязь суровая арт. 6804</t>
        </is>
      </c>
      <c r="D91" s="262" t="inlineStr">
        <is>
          <t>10 м2</t>
        </is>
      </c>
      <c r="E91" s="177" t="n">
        <v>0.78</v>
      </c>
      <c r="F91" s="267" t="n">
        <v>79.09999999999999</v>
      </c>
      <c r="G91" s="32">
        <f>ROUND(E91*F91,2)</f>
        <v/>
      </c>
      <c r="H91" s="189">
        <f>G91/$G$107</f>
        <v/>
      </c>
      <c r="I91" s="32">
        <f>ROUND(F91*'Прил. 10'!$D$13,2)</f>
        <v/>
      </c>
      <c r="J91" s="32">
        <f>ROUND(I91*E91,2)</f>
        <v/>
      </c>
    </row>
    <row r="92" hidden="1" outlineLevel="1" ht="25.5" customFormat="1" customHeight="1" s="12">
      <c r="A92" s="262" t="n">
        <v>64</v>
      </c>
      <c r="B92" s="170" t="inlineStr">
        <is>
          <t>01.3.01.06-0050</t>
        </is>
      </c>
      <c r="C92" s="265" t="inlineStr">
        <is>
          <t>Смазка универсальная тугоплавкая УТ (консталин жировой)</t>
        </is>
      </c>
      <c r="D92" s="262" t="inlineStr">
        <is>
          <t>т</t>
        </is>
      </c>
      <c r="E92" s="177" t="n">
        <v>0.0034</v>
      </c>
      <c r="F92" s="267" t="n">
        <v>17500</v>
      </c>
      <c r="G92" s="32">
        <f>ROUND(E92*F92,2)</f>
        <v/>
      </c>
      <c r="H92" s="189">
        <f>G92/$G$107</f>
        <v/>
      </c>
      <c r="I92" s="32">
        <f>ROUND(F92*'Прил. 10'!$D$13,2)</f>
        <v/>
      </c>
      <c r="J92" s="32">
        <f>ROUND(I92*E92,2)</f>
        <v/>
      </c>
    </row>
    <row r="93" hidden="1" outlineLevel="1" ht="25.5" customFormat="1" customHeight="1" s="12">
      <c r="A93" s="262" t="n">
        <v>65</v>
      </c>
      <c r="B93" s="170" t="inlineStr">
        <is>
          <t>21.2.03.09-0003</t>
        </is>
      </c>
      <c r="C93" s="265" t="inlineStr">
        <is>
          <t>Провод медный для заземления (ПВ-3 10мм2-135гр/м)</t>
        </is>
      </c>
      <c r="D93" s="262" t="inlineStr">
        <is>
          <t>кг</t>
        </is>
      </c>
      <c r="E93" s="177" t="n">
        <v>0.945</v>
      </c>
      <c r="F93" s="267" t="n">
        <v>39.7</v>
      </c>
      <c r="G93" s="32">
        <f>ROUND(E93*F93,2)</f>
        <v/>
      </c>
      <c r="H93" s="189">
        <f>G93/$G$107</f>
        <v/>
      </c>
      <c r="I93" s="32">
        <f>ROUND(F93*'Прил. 10'!$D$13,2)</f>
        <v/>
      </c>
      <c r="J93" s="32">
        <f>ROUND(I93*E93,2)</f>
        <v/>
      </c>
    </row>
    <row r="94" hidden="1" outlineLevel="1" ht="14.25" customFormat="1" customHeight="1" s="12">
      <c r="A94" s="262" t="n">
        <v>66</v>
      </c>
      <c r="B94" s="170" t="inlineStr">
        <is>
          <t>01.7.11.07-0034</t>
        </is>
      </c>
      <c r="C94" s="265" t="inlineStr">
        <is>
          <t>Электроды диаметром: 4 мм Э42А</t>
        </is>
      </c>
      <c r="D94" s="262" t="inlineStr">
        <is>
          <t>кг</t>
        </is>
      </c>
      <c r="E94" s="177" t="n">
        <v>3.065</v>
      </c>
      <c r="F94" s="267" t="n">
        <v>10.57</v>
      </c>
      <c r="G94" s="32">
        <f>ROUND(E94*F94,2)</f>
        <v/>
      </c>
      <c r="H94" s="189">
        <f>G94/$G$107</f>
        <v/>
      </c>
      <c r="I94" s="32">
        <f>ROUND(F94*'Прил. 10'!$D$13,2)</f>
        <v/>
      </c>
      <c r="J94" s="32">
        <f>ROUND(I94*E94,2)</f>
        <v/>
      </c>
    </row>
    <row r="95" hidden="1" outlineLevel="1" ht="14.25" customFormat="1" customHeight="1" s="12">
      <c r="A95" s="262" t="n">
        <v>67</v>
      </c>
      <c r="B95" s="170" t="inlineStr">
        <is>
          <t>14.4.02.09-0301</t>
        </is>
      </c>
      <c r="C95" s="265" t="inlineStr">
        <is>
          <t>Краска "Цинол"</t>
        </is>
      </c>
      <c r="D95" s="262" t="inlineStr">
        <is>
          <t>кг</t>
        </is>
      </c>
      <c r="E95" s="177" t="n">
        <v>0.115</v>
      </c>
      <c r="F95" s="267" t="n">
        <v>238.48</v>
      </c>
      <c r="G95" s="32">
        <f>ROUND(E95*F95,2)</f>
        <v/>
      </c>
      <c r="H95" s="189">
        <f>G95/$G$107</f>
        <v/>
      </c>
      <c r="I95" s="32">
        <f>ROUND(F95*'Прил. 10'!$D$13,2)</f>
        <v/>
      </c>
      <c r="J95" s="32">
        <f>ROUND(I95*E95,2)</f>
        <v/>
      </c>
    </row>
    <row r="96" hidden="1" outlineLevel="1" ht="25.5" customFormat="1" customHeight="1" s="12">
      <c r="A96" s="262" t="n">
        <v>68</v>
      </c>
      <c r="B96" s="170" t="inlineStr">
        <is>
          <t>999-9950</t>
        </is>
      </c>
      <c r="C96" s="265" t="inlineStr">
        <is>
          <t>Вспомогательные ненормируемые ресурсы (2% от Оплаты труда рабочих)</t>
        </is>
      </c>
      <c r="D96" s="262" t="inlineStr">
        <is>
          <t>руб</t>
        </is>
      </c>
      <c r="E96" s="177" t="n">
        <v>21.0035</v>
      </c>
      <c r="F96" s="267" t="n">
        <v>1</v>
      </c>
      <c r="G96" s="32">
        <f>ROUND(E96*F96,2)</f>
        <v/>
      </c>
      <c r="H96" s="189">
        <f>G96/$G$107</f>
        <v/>
      </c>
      <c r="I96" s="32">
        <f>ROUND(F96*'Прил. 10'!$D$13,2)</f>
        <v/>
      </c>
      <c r="J96" s="32">
        <f>ROUND(I96*E96,2)</f>
        <v/>
      </c>
    </row>
    <row r="97" hidden="1" outlineLevel="1" ht="25.5" customFormat="1" customHeight="1" s="12">
      <c r="A97" s="262" t="n">
        <v>69</v>
      </c>
      <c r="B97" s="170" t="inlineStr">
        <is>
          <t>01.7.15.03-0031</t>
        </is>
      </c>
      <c r="C97" s="265" t="inlineStr">
        <is>
          <t>Болты с гайками и шайбами оцинкованные, диаметр: 6 мм (М5)</t>
        </is>
      </c>
      <c r="D97" s="262" t="inlineStr">
        <is>
          <t>кг</t>
        </is>
      </c>
      <c r="E97" s="177" t="n">
        <v>0.63735</v>
      </c>
      <c r="F97" s="267" t="n">
        <v>28.22</v>
      </c>
      <c r="G97" s="32">
        <f>ROUND(E97*F97,2)</f>
        <v/>
      </c>
      <c r="H97" s="189">
        <f>G97/$G$107</f>
        <v/>
      </c>
      <c r="I97" s="32">
        <f>ROUND(F97*'Прил. 10'!$D$13,2)</f>
        <v/>
      </c>
      <c r="J97" s="32">
        <f>ROUND(I97*E97,2)</f>
        <v/>
      </c>
    </row>
    <row r="98" hidden="1" outlineLevel="1" ht="14.25" customFormat="1" customHeight="1" s="12">
      <c r="A98" s="262" t="n">
        <v>70</v>
      </c>
      <c r="B98" s="170" t="inlineStr">
        <is>
          <t>01.7.15.07-0014</t>
        </is>
      </c>
      <c r="C98" s="265" t="inlineStr">
        <is>
          <t>Дюбели распорные полипропиленовые</t>
        </is>
      </c>
      <c r="D98" s="262" t="inlineStr">
        <is>
          <t>100 шт.</t>
        </is>
      </c>
      <c r="E98" s="177" t="n">
        <v>0.1428</v>
      </c>
      <c r="F98" s="267" t="n">
        <v>86</v>
      </c>
      <c r="G98" s="32">
        <f>ROUND(E98*F98,2)</f>
        <v/>
      </c>
      <c r="H98" s="189">
        <f>G98/$G$107</f>
        <v/>
      </c>
      <c r="I98" s="32">
        <f>ROUND(F98*'Прил. 10'!$D$13,2)</f>
        <v/>
      </c>
      <c r="J98" s="32">
        <f>ROUND(I98*E98,2)</f>
        <v/>
      </c>
    </row>
    <row r="99" hidden="1" outlineLevel="1" ht="25.5" customFormat="1" customHeight="1" s="12">
      <c r="A99" s="262" t="n">
        <v>71</v>
      </c>
      <c r="B99" s="170" t="inlineStr">
        <is>
          <t>01.3.01.03-0002</t>
        </is>
      </c>
      <c r="C99" s="265" t="inlineStr">
        <is>
          <t>Керосин для технических целей марок КТ-1, КТ-2</t>
        </is>
      </c>
      <c r="D99" s="262" t="inlineStr">
        <is>
          <t>т</t>
        </is>
      </c>
      <c r="E99" s="177" t="n">
        <v>0.004</v>
      </c>
      <c r="F99" s="267" t="n">
        <v>2606.9</v>
      </c>
      <c r="G99" s="32">
        <f>ROUND(E99*F99,2)</f>
        <v/>
      </c>
      <c r="H99" s="189">
        <f>G99/$G$107</f>
        <v/>
      </c>
      <c r="I99" s="32">
        <f>ROUND(F99*'Прил. 10'!$D$13,2)</f>
        <v/>
      </c>
      <c r="J99" s="32">
        <f>ROUND(I99*E99,2)</f>
        <v/>
      </c>
    </row>
    <row r="100" hidden="1" outlineLevel="1" ht="25.5" customFormat="1" customHeight="1" s="12">
      <c r="A100" s="262" t="n">
        <v>72</v>
      </c>
      <c r="B100" s="170" t="inlineStr">
        <is>
          <t>01.7.07.12-0024</t>
        </is>
      </c>
      <c r="C100" s="265" t="inlineStr">
        <is>
          <t>Пленка полиэтиленовая толщиной: 0,15 мм</t>
        </is>
      </c>
      <c r="D100" s="262" t="inlineStr">
        <is>
          <t>м2</t>
        </is>
      </c>
      <c r="E100" s="177" t="n">
        <v>2.5</v>
      </c>
      <c r="F100" s="267" t="n">
        <v>3.62</v>
      </c>
      <c r="G100" s="32">
        <f>ROUND(E100*F100,2)</f>
        <v/>
      </c>
      <c r="H100" s="189">
        <f>G100/$G$107</f>
        <v/>
      </c>
      <c r="I100" s="32">
        <f>ROUND(F100*'Прил. 10'!$D$13,2)</f>
        <v/>
      </c>
      <c r="J100" s="32">
        <f>ROUND(I100*E100,2)</f>
        <v/>
      </c>
    </row>
    <row r="101" hidden="1" outlineLevel="1" ht="25.5" customFormat="1" customHeight="1" s="12">
      <c r="A101" s="262" t="n">
        <v>73</v>
      </c>
      <c r="B101" s="170" t="inlineStr">
        <is>
          <t>01.2.01.02-0054</t>
        </is>
      </c>
      <c r="C101" s="265" t="inlineStr">
        <is>
          <t>Битумы нефтяные строительные марки: БН-90/10</t>
        </is>
      </c>
      <c r="D101" s="262" t="inlineStr">
        <is>
          <t>т</t>
        </is>
      </c>
      <c r="E101" s="177" t="n">
        <v>0.0027</v>
      </c>
      <c r="F101" s="267" t="n">
        <v>1383.1</v>
      </c>
      <c r="G101" s="32">
        <f>ROUND(E101*F101,2)</f>
        <v/>
      </c>
      <c r="H101" s="189">
        <f>G101/$G$107</f>
        <v/>
      </c>
      <c r="I101" s="32">
        <f>ROUND(F101*'Прил. 10'!$D$13,2)</f>
        <v/>
      </c>
      <c r="J101" s="32">
        <f>ROUND(I101*E101,2)</f>
        <v/>
      </c>
    </row>
    <row r="102" hidden="1" outlineLevel="1" ht="14.25" customFormat="1" customHeight="1" s="12">
      <c r="A102" s="262" t="n">
        <v>74</v>
      </c>
      <c r="B102" s="170" t="inlineStr">
        <is>
          <t>01.7.03.01-0001</t>
        </is>
      </c>
      <c r="C102" s="265" t="inlineStr">
        <is>
          <t>Вода</t>
        </is>
      </c>
      <c r="D102" s="262" t="inlineStr">
        <is>
          <t>м3</t>
        </is>
      </c>
      <c r="E102" s="177" t="n">
        <v>0.602</v>
      </c>
      <c r="F102" s="267" t="n">
        <v>2.44</v>
      </c>
      <c r="G102" s="32">
        <f>ROUND(E102*F102,2)</f>
        <v/>
      </c>
      <c r="H102" s="189">
        <f>G102/$G$107</f>
        <v/>
      </c>
      <c r="I102" s="32">
        <f>ROUND(F102*'Прил. 10'!$D$13,2)</f>
        <v/>
      </c>
      <c r="J102" s="32">
        <f>ROUND(I102*E102,2)</f>
        <v/>
      </c>
    </row>
    <row r="103" hidden="1" outlineLevel="1" ht="38.25" customFormat="1" customHeight="1" s="12">
      <c r="A103" s="262" t="n">
        <v>75</v>
      </c>
      <c r="B103" s="170" t="inlineStr">
        <is>
          <t>08.3.05.02-0101</t>
        </is>
      </c>
      <c r="C103" s="265" t="inlineStr">
        <is>
          <t>Сталь листовая углеродистая обыкновенного качества марки ВСт3пс5 толщиной: 4-6 мм</t>
        </is>
      </c>
      <c r="D103" s="262" t="inlineStr">
        <is>
          <t>т</t>
        </is>
      </c>
      <c r="E103" s="177" t="n">
        <v>0.0002</v>
      </c>
      <c r="F103" s="267" t="n">
        <v>5763</v>
      </c>
      <c r="G103" s="32">
        <f>ROUND(E103*F103,2)</f>
        <v/>
      </c>
      <c r="H103" s="189">
        <f>G103/$G$107</f>
        <v/>
      </c>
      <c r="I103" s="32">
        <f>ROUND(F103*'Прил. 10'!$D$13,2)</f>
        <v/>
      </c>
      <c r="J103" s="32">
        <f>ROUND(I103*E103,2)</f>
        <v/>
      </c>
    </row>
    <row r="104" hidden="1" outlineLevel="1" ht="38.25" customFormat="1" customHeight="1" s="12">
      <c r="A104" s="262" t="n">
        <v>76</v>
      </c>
      <c r="B104" s="170" t="inlineStr">
        <is>
          <t>02.2.05.04-0093</t>
        </is>
      </c>
      <c r="C104" s="265" t="inlineStr">
        <is>
          <t>Щебень из природного камня для строительных работ марка: 800, фракция 20-40 мм</t>
        </is>
      </c>
      <c r="D104" s="262" t="inlineStr">
        <is>
          <t>м3</t>
        </is>
      </c>
      <c r="E104" s="177" t="n">
        <v>0.007</v>
      </c>
      <c r="F104" s="267" t="n">
        <v>108.4</v>
      </c>
      <c r="G104" s="32">
        <f>ROUND(E104*F104,2)</f>
        <v/>
      </c>
      <c r="H104" s="189">
        <f>G104/$G$107</f>
        <v/>
      </c>
      <c r="I104" s="32">
        <f>ROUND(F104*'Прил. 10'!$D$13,2)</f>
        <v/>
      </c>
      <c r="J104" s="32">
        <f>ROUND(I104*E104,2)</f>
        <v/>
      </c>
    </row>
    <row r="105" hidden="1" outlineLevel="1" ht="14.25" customFormat="1" customHeight="1" s="12">
      <c r="A105" s="262" t="n">
        <v>77</v>
      </c>
      <c r="B105" s="170" t="inlineStr">
        <is>
          <t>01.7.15.14-0043</t>
        </is>
      </c>
      <c r="C105" s="265" t="inlineStr">
        <is>
          <t>Шуруп самонарезающий: (LN) 3,5/11 мм</t>
        </is>
      </c>
      <c r="D105" s="262" t="inlineStr">
        <is>
          <t>100 шт.</t>
        </is>
      </c>
      <c r="E105" s="177" t="n">
        <v>0.1428</v>
      </c>
      <c r="F105" s="267" t="n">
        <v>2</v>
      </c>
      <c r="G105" s="32">
        <f>ROUND(E105*F105,2)</f>
        <v/>
      </c>
      <c r="H105" s="189">
        <f>G105/$G$107</f>
        <v/>
      </c>
      <c r="I105" s="32">
        <f>ROUND(F105*'Прил. 10'!$D$13,2)</f>
        <v/>
      </c>
      <c r="J105" s="32">
        <f>ROUND(I105*E105,2)</f>
        <v/>
      </c>
    </row>
    <row r="106" collapsed="1" ht="14.25" customFormat="1" customHeight="1" s="12">
      <c r="A106" s="262" t="n"/>
      <c r="B106" s="262" t="n"/>
      <c r="C106" s="265" t="inlineStr">
        <is>
          <t>Итого прочие материалы</t>
        </is>
      </c>
      <c r="D106" s="262" t="n"/>
      <c r="E106" s="266" t="n"/>
      <c r="F106" s="267" t="n"/>
      <c r="G106" s="32">
        <f>SUM(G66:G105)</f>
        <v/>
      </c>
      <c r="H106" s="268">
        <f>G106/G107</f>
        <v/>
      </c>
      <c r="I106" s="32" t="n"/>
      <c r="J106" s="32">
        <f>SUM(J66:J105)</f>
        <v/>
      </c>
    </row>
    <row r="107" ht="14.25" customFormat="1" customHeight="1" s="12">
      <c r="A107" s="262" t="n"/>
      <c r="B107" s="262" t="n"/>
      <c r="C107" s="269" t="inlineStr">
        <is>
          <t>Итого по разделу «Материалы»</t>
        </is>
      </c>
      <c r="D107" s="262" t="n"/>
      <c r="E107" s="266" t="n"/>
      <c r="F107" s="267" t="n"/>
      <c r="G107" s="32">
        <f>G65+G106</f>
        <v/>
      </c>
      <c r="H107" s="268" t="n">
        <v>1</v>
      </c>
      <c r="I107" s="32" t="n"/>
      <c r="J107" s="32">
        <f>J65+J106</f>
        <v/>
      </c>
    </row>
    <row r="108" ht="14.25" customFormat="1" customHeight="1" s="12">
      <c r="A108" s="262" t="n"/>
      <c r="B108" s="262" t="n"/>
      <c r="C108" s="265" t="inlineStr">
        <is>
          <t>ИТОГО ПО РМ</t>
        </is>
      </c>
      <c r="D108" s="262" t="n"/>
      <c r="E108" s="266" t="n"/>
      <c r="F108" s="267" t="n"/>
      <c r="G108" s="32">
        <f>G16+G50+G107</f>
        <v/>
      </c>
      <c r="H108" s="268" t="n"/>
      <c r="I108" s="32" t="n"/>
      <c r="J108" s="32">
        <f>J16+J50+J107</f>
        <v/>
      </c>
    </row>
    <row r="109" ht="14.25" customFormat="1" customHeight="1" s="12">
      <c r="A109" s="262" t="n"/>
      <c r="B109" s="262" t="n"/>
      <c r="C109" s="265" t="inlineStr">
        <is>
          <t>Накладные расходы</t>
        </is>
      </c>
      <c r="D109" s="196">
        <f>ROUND(G109/(G$18+$G$16),2)</f>
        <v/>
      </c>
      <c r="E109" s="266" t="n"/>
      <c r="F109" s="267" t="n"/>
      <c r="G109" s="32" t="n">
        <v>12820.847928576</v>
      </c>
      <c r="H109" s="268" t="n"/>
      <c r="I109" s="32" t="n"/>
      <c r="J109" s="32">
        <f>ROUND(D109*(J16+J18),2)</f>
        <v/>
      </c>
    </row>
    <row r="110" ht="14.25" customFormat="1" customHeight="1" s="12">
      <c r="A110" s="262" t="n"/>
      <c r="B110" s="262" t="n"/>
      <c r="C110" s="265" t="inlineStr">
        <is>
          <t>Сметная прибыль</t>
        </is>
      </c>
      <c r="D110" s="196">
        <f>ROUND(G110/(G$16+G$18),2)</f>
        <v/>
      </c>
      <c r="E110" s="266" t="n"/>
      <c r="F110" s="267" t="n"/>
      <c r="G110" s="32" t="n">
        <v>8617.0493297393</v>
      </c>
      <c r="H110" s="268" t="n"/>
      <c r="I110" s="32" t="n"/>
      <c r="J110" s="32">
        <f>ROUND(D110*(J16+J18),2)</f>
        <v/>
      </c>
    </row>
    <row r="111" ht="14.25" customFormat="1" customHeight="1" s="12">
      <c r="A111" s="262" t="n"/>
      <c r="B111" s="262" t="n"/>
      <c r="C111" s="265" t="inlineStr">
        <is>
          <t>Итого СМР (с НР и СП)</t>
        </is>
      </c>
      <c r="D111" s="262" t="n"/>
      <c r="E111" s="266" t="n"/>
      <c r="F111" s="267" t="n"/>
      <c r="G111" s="32">
        <f>G16+G50+G107+G109+G110</f>
        <v/>
      </c>
      <c r="H111" s="268" t="n"/>
      <c r="I111" s="32" t="n"/>
      <c r="J111" s="32">
        <f>J16+J50+J107+J109+J110</f>
        <v/>
      </c>
    </row>
    <row r="112" ht="14.25" customFormat="1" customHeight="1" s="12">
      <c r="A112" s="262" t="n"/>
      <c r="B112" s="262" t="n"/>
      <c r="C112" s="265" t="inlineStr">
        <is>
          <t>ВСЕГО СМР + ОБОРУДОВАНИЕ</t>
        </is>
      </c>
      <c r="D112" s="262" t="n"/>
      <c r="E112" s="266" t="n"/>
      <c r="F112" s="267" t="n"/>
      <c r="G112" s="32">
        <f>G111+G56</f>
        <v/>
      </c>
      <c r="H112" s="268" t="n"/>
      <c r="I112" s="32" t="n"/>
      <c r="J112" s="32">
        <f>J111+J56</f>
        <v/>
      </c>
    </row>
    <row r="113" ht="34.5" customFormat="1" customHeight="1" s="12">
      <c r="A113" s="262" t="n"/>
      <c r="B113" s="262" t="n"/>
      <c r="C113" s="265" t="inlineStr">
        <is>
          <t>ИТОГО ПОКАЗАТЕЛЬ НА ЕД. ИЗМ.</t>
        </is>
      </c>
      <c r="D113" s="262" t="inlineStr">
        <is>
          <t>ед.</t>
        </is>
      </c>
      <c r="E113" s="266" t="n">
        <v>2</v>
      </c>
      <c r="F113" s="267" t="n"/>
      <c r="G113" s="32">
        <f>G112/E113</f>
        <v/>
      </c>
      <c r="H113" s="268" t="n"/>
      <c r="I113" s="32" t="n"/>
      <c r="J113" s="32">
        <f>J112/E113</f>
        <v/>
      </c>
    </row>
    <row r="115" ht="14.25" customFormat="1" customHeight="1" s="12">
      <c r="A115" s="4" t="inlineStr">
        <is>
          <t>Составил ______________________    Е. М. Добровольская</t>
        </is>
      </c>
    </row>
    <row r="116" ht="14.25" customFormat="1" customHeight="1" s="12">
      <c r="A116" s="33" t="inlineStr">
        <is>
          <t xml:space="preserve">                         (подпись, инициалы, фамилия)</t>
        </is>
      </c>
    </row>
    <row r="117" ht="14.25" customFormat="1" customHeight="1" s="12">
      <c r="A117" s="4" t="n"/>
    </row>
    <row r="118" ht="14.25" customFormat="1" customHeight="1" s="12">
      <c r="A118" s="4" t="inlineStr">
        <is>
          <t>Проверил ______________________        А.В. Костянецкая</t>
        </is>
      </c>
    </row>
    <row r="119" ht="14.25" customFormat="1" customHeight="1" s="12">
      <c r="A119" s="33" t="inlineStr">
        <is>
          <t xml:space="preserve">                        (подпись, инициалы, фамилия)</t>
        </is>
      </c>
    </row>
  </sheetData>
  <mergeCells count="20">
    <mergeCell ref="H9:H10"/>
    <mergeCell ref="A4:J4"/>
    <mergeCell ref="H2:J2"/>
    <mergeCell ref="B20:H20"/>
    <mergeCell ref="C9:C10"/>
    <mergeCell ref="E9:E10"/>
    <mergeCell ref="A7:H7"/>
    <mergeCell ref="B59:H59"/>
    <mergeCell ref="B9:B10"/>
    <mergeCell ref="D9:D10"/>
    <mergeCell ref="B51:J51"/>
    <mergeCell ref="B52:H52"/>
    <mergeCell ref="B12:H12"/>
    <mergeCell ref="A8:H8"/>
    <mergeCell ref="F9:G9"/>
    <mergeCell ref="B17:H17"/>
    <mergeCell ref="A9:A10"/>
    <mergeCell ref="B58:J58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8" sqref="D18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0" t="inlineStr">
        <is>
          <t>Приложение №6</t>
        </is>
      </c>
    </row>
    <row r="2" ht="21.75" customHeight="1">
      <c r="A2" s="270" t="n"/>
      <c r="B2" s="270" t="n"/>
      <c r="C2" s="270" t="n"/>
      <c r="D2" s="270" t="n"/>
      <c r="E2" s="270" t="n"/>
      <c r="F2" s="270" t="n"/>
      <c r="G2" s="270" t="n"/>
    </row>
    <row r="3">
      <c r="A3" s="229" t="inlineStr">
        <is>
          <t>Расчет стоимости оборудования</t>
        </is>
      </c>
    </row>
    <row r="4" ht="25.5" customHeight="1">
      <c r="A4" s="232" t="inlineStr">
        <is>
          <t>Наименование разрабатываемого показателя УНЦ - Цифровой ТТ на три фазы с устройством фундамента напряжение 220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62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23" t="n"/>
    </row>
    <row r="7">
      <c r="A7" s="325" t="n"/>
      <c r="B7" s="325" t="n"/>
      <c r="C7" s="325" t="n"/>
      <c r="D7" s="325" t="n"/>
      <c r="E7" s="325" t="n"/>
      <c r="F7" s="262" t="inlineStr">
        <is>
          <t>на ед. изм.</t>
        </is>
      </c>
      <c r="G7" s="262" t="inlineStr">
        <is>
          <t>общая</t>
        </is>
      </c>
    </row>
    <row r="8">
      <c r="A8" s="262" t="n">
        <v>1</v>
      </c>
      <c r="B8" s="262" t="n">
        <v>2</v>
      </c>
      <c r="C8" s="262" t="n">
        <v>3</v>
      </c>
      <c r="D8" s="262" t="n">
        <v>4</v>
      </c>
      <c r="E8" s="262" t="n">
        <v>5</v>
      </c>
      <c r="F8" s="262" t="n">
        <v>6</v>
      </c>
      <c r="G8" s="262" t="n">
        <v>7</v>
      </c>
    </row>
    <row r="9" ht="15" customHeight="1">
      <c r="A9" s="25" t="n"/>
      <c r="B9" s="265" t="inlineStr">
        <is>
          <t>ИНЖЕНЕРНОЕ ОБОРУДОВАНИЕ</t>
        </is>
      </c>
      <c r="C9" s="322" t="n"/>
      <c r="D9" s="322" t="n"/>
      <c r="E9" s="322" t="n"/>
      <c r="F9" s="322" t="n"/>
      <c r="G9" s="323" t="n"/>
    </row>
    <row r="10" ht="27" customHeight="1">
      <c r="A10" s="262" t="n"/>
      <c r="B10" s="269" t="n"/>
      <c r="C10" s="265" t="inlineStr">
        <is>
          <t>ИТОГО ИНЖЕНЕРНОЕ ОБОРУДОВАНИЕ</t>
        </is>
      </c>
      <c r="D10" s="269" t="n"/>
      <c r="E10" s="105" t="n"/>
      <c r="F10" s="267" t="n"/>
      <c r="G10" s="267" t="n">
        <v>0</v>
      </c>
    </row>
    <row r="11">
      <c r="A11" s="262" t="n"/>
      <c r="B11" s="265" t="inlineStr">
        <is>
          <t>ТЕХНОЛОГИЧЕСКОЕ ОБОРУДОВАНИЕ</t>
        </is>
      </c>
      <c r="C11" s="322" t="n"/>
      <c r="D11" s="322" t="n"/>
      <c r="E11" s="322" t="n"/>
      <c r="F11" s="322" t="n"/>
      <c r="G11" s="323" t="n"/>
    </row>
    <row r="12">
      <c r="A12" s="262" t="n">
        <v>1</v>
      </c>
      <c r="B12" s="170" t="inlineStr">
        <is>
          <t>БЦ.14_1.610</t>
        </is>
      </c>
      <c r="C12" s="265" t="inlineStr">
        <is>
          <t>Оптический трансформатор тока 220 кВ</t>
        </is>
      </c>
      <c r="D12" s="265" t="inlineStr">
        <is>
          <t>шт.</t>
        </is>
      </c>
      <c r="E12" s="262">
        <f>'Прил.5 Расчет СМР и ОБ'!E53</f>
        <v/>
      </c>
      <c r="F12" s="267">
        <f>'Прил.5 Расчет СМР и ОБ'!F53</f>
        <v/>
      </c>
      <c r="G12" s="32">
        <f>E12*F12</f>
        <v/>
      </c>
    </row>
    <row r="13" ht="25.5" customHeight="1">
      <c r="A13" s="262" t="n"/>
      <c r="B13" s="265" t="n"/>
      <c r="C13" s="265" t="inlineStr">
        <is>
          <t>ИТОГО ТЕХНОЛОГИЧЕСКОЕ ОБОРУДОВАНИЕ</t>
        </is>
      </c>
      <c r="D13" s="265" t="n"/>
      <c r="E13" s="274" t="n"/>
      <c r="F13" s="267" t="n"/>
      <c r="G13" s="32">
        <f>SUM(G12:G12)</f>
        <v/>
      </c>
    </row>
    <row r="14" ht="19.5" customHeight="1">
      <c r="A14" s="262" t="n"/>
      <c r="B14" s="265" t="n"/>
      <c r="C14" s="265" t="inlineStr">
        <is>
          <t>Всего по разделу «Оборудование»</t>
        </is>
      </c>
      <c r="D14" s="265" t="n"/>
      <c r="E14" s="274" t="n"/>
      <c r="F14" s="267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70" t="inlineStr">
        <is>
          <t>Приложение №7</t>
        </is>
      </c>
    </row>
    <row r="2">
      <c r="A2" s="270" t="n"/>
      <c r="B2" s="270" t="n"/>
      <c r="C2" s="270" t="n"/>
      <c r="D2" s="270" t="n"/>
    </row>
    <row r="3" ht="24.75" customHeight="1">
      <c r="A3" s="229" t="inlineStr">
        <is>
          <t>Расчет показателя УНЦ</t>
        </is>
      </c>
    </row>
    <row r="4" ht="24.75" customHeight="1">
      <c r="A4" s="229" t="n"/>
      <c r="B4" s="229" t="n"/>
      <c r="C4" s="229" t="n"/>
      <c r="D4" s="229" t="n"/>
    </row>
    <row r="5" ht="47.25" customHeight="1">
      <c r="A5" s="276" t="inlineStr">
        <is>
          <t xml:space="preserve">Наименование разрабатываемого показателя УНЦ - </t>
        </is>
      </c>
      <c r="D5" s="276">
        <f>'Прил.5 Расчет СМР и ОБ'!D6</f>
        <v/>
      </c>
    </row>
    <row r="6" ht="19.9" customHeight="1">
      <c r="A6" s="276" t="inlineStr">
        <is>
          <t>Единица измерения  — 1 ед</t>
        </is>
      </c>
      <c r="D6" s="276" t="n"/>
    </row>
    <row r="7">
      <c r="A7" s="213" t="n"/>
      <c r="B7" s="213" t="n"/>
      <c r="C7" s="213" t="n"/>
      <c r="D7" s="213" t="n"/>
    </row>
    <row r="8" ht="14.45" customHeight="1">
      <c r="A8" s="277" t="inlineStr">
        <is>
          <t>Код показателя</t>
        </is>
      </c>
      <c r="B8" s="277" t="inlineStr">
        <is>
          <t>Наименование показателя</t>
        </is>
      </c>
      <c r="C8" s="277" t="inlineStr">
        <is>
          <t>Наименование РМ, входящих в состав показателя</t>
        </is>
      </c>
      <c r="D8" s="277" t="inlineStr">
        <is>
          <t>Норматив цены на 01.01.2023, тыс.руб.</t>
        </is>
      </c>
    </row>
    <row r="9" ht="15" customHeight="1">
      <c r="A9" s="325" t="n"/>
      <c r="B9" s="325" t="n"/>
      <c r="C9" s="325" t="n"/>
      <c r="D9" s="325" t="n"/>
    </row>
    <row r="10">
      <c r="A10" s="214" t="n">
        <v>1</v>
      </c>
      <c r="B10" s="214" t="n">
        <v>2</v>
      </c>
      <c r="C10" s="214" t="n">
        <v>3</v>
      </c>
      <c r="D10" s="214" t="n">
        <v>4</v>
      </c>
    </row>
    <row r="11" ht="41.45" customHeight="1">
      <c r="A11" s="214" t="inlineStr">
        <is>
          <t>И5-07-4</t>
        </is>
      </c>
      <c r="B11" s="214" t="inlineStr">
        <is>
          <t xml:space="preserve">УНЦ элементов ПС с устройством фундаментов </t>
        </is>
      </c>
      <c r="C11" s="215">
        <f>D5</f>
        <v/>
      </c>
      <c r="D11" s="216">
        <f>'Прил.4 РМ'!C41/1000</f>
        <v/>
      </c>
      <c r="E11" s="143" t="n"/>
    </row>
    <row r="12">
      <c r="A12" s="217" t="n"/>
      <c r="B12" s="218" t="n"/>
      <c r="C12" s="217" t="n"/>
      <c r="D12" s="217" t="n"/>
    </row>
    <row r="13">
      <c r="A13" s="213" t="inlineStr">
        <is>
          <t>Составил ______________________      Е. М. Добровольская</t>
        </is>
      </c>
      <c r="B13" s="219" t="n"/>
      <c r="C13" s="219" t="n"/>
      <c r="D13" s="217" t="n"/>
    </row>
    <row r="14">
      <c r="A14" s="220" t="inlineStr">
        <is>
          <t xml:space="preserve">                         (подпись, инициалы, фамилия)</t>
        </is>
      </c>
      <c r="B14" s="219" t="n"/>
      <c r="C14" s="219" t="n"/>
      <c r="D14" s="217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9" zoomScale="60" zoomScaleNormal="85" workbookViewId="0">
      <selection activeCell="B30" sqref="B30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7" t="inlineStr">
        <is>
          <t>Приложение № 10</t>
        </is>
      </c>
    </row>
    <row r="5" ht="18.75" customHeight="1">
      <c r="B5" s="138" t="n"/>
    </row>
    <row r="6" ht="15.75" customHeight="1">
      <c r="B6" s="242" t="inlineStr">
        <is>
          <t>Используемые индексы изменений сметной стоимости и нормы сопутствующих затрат</t>
        </is>
      </c>
    </row>
    <row r="7">
      <c r="B7" s="278" t="inlineStr">
        <is>
          <t>*Стоимость ПНР принята на основании СД ОП</t>
        </is>
      </c>
    </row>
    <row r="8">
      <c r="B8" s="278" t="n"/>
      <c r="C8" s="278" t="n"/>
      <c r="D8" s="278" t="n"/>
      <c r="E8" s="278" t="n"/>
    </row>
    <row r="9" ht="47.25" customHeight="1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>
      <c r="B10" s="243" t="n">
        <v>1</v>
      </c>
      <c r="C10" s="243" t="n">
        <v>2</v>
      </c>
      <c r="D10" s="243" t="n">
        <v>3</v>
      </c>
    </row>
    <row r="11" ht="45" customHeight="1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29.25" customHeight="1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13.47</v>
      </c>
    </row>
    <row r="13" ht="29.25" customHeight="1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8.039999999999999</v>
      </c>
    </row>
    <row r="14" ht="30.75" customHeight="1">
      <c r="B14" s="243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3" t="n">
        <v>6.26</v>
      </c>
    </row>
    <row r="15" ht="89.25" customHeight="1">
      <c r="B15" s="243" t="inlineStr">
        <is>
          <t>Временные здания и сооружения</t>
        </is>
      </c>
      <c r="C15" s="2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0.039</v>
      </c>
    </row>
    <row r="16" ht="94.5" customHeight="1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0.021</v>
      </c>
    </row>
    <row r="17" ht="34.5" customHeight="1">
      <c r="B17" s="243" t="inlineStr">
        <is>
          <t>Пусконаладочные работы*</t>
        </is>
      </c>
      <c r="C17" s="243" t="n"/>
      <c r="D17" s="243" t="inlineStr">
        <is>
          <t>Расчет</t>
        </is>
      </c>
    </row>
    <row r="18" ht="31.5" customHeight="1">
      <c r="B18" s="243" t="inlineStr">
        <is>
          <t>Строительный контроль</t>
        </is>
      </c>
      <c r="C18" s="243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43" t="inlineStr">
        <is>
          <t>Авторский надзор - 0,2%</t>
        </is>
      </c>
      <c r="C19" s="243" t="inlineStr">
        <is>
          <t>Приказ от 4.08.2020 № 421/пр п.173</t>
        </is>
      </c>
      <c r="D19" s="139" t="n">
        <v>0.002</v>
      </c>
    </row>
    <row r="20" ht="24" customHeight="1">
      <c r="B20" s="243" t="inlineStr">
        <is>
          <t>Непредвиденные расходы</t>
        </is>
      </c>
      <c r="C20" s="243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topLeftCell="A22" workbookViewId="0">
      <selection activeCell="D16" sqref="D16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4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129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130" t="n">
        <v>1</v>
      </c>
      <c r="F9" s="129" t="n"/>
      <c r="G9" s="131" t="n"/>
    </row>
    <row r="10" ht="15.75" customHeight="1">
      <c r="A10" s="128" t="inlineStr">
        <is>
          <t>1.4</t>
        </is>
      </c>
      <c r="B10" s="129" t="inlineStr">
        <is>
          <t>Средний разряд работ</t>
        </is>
      </c>
      <c r="C10" s="243" t="n"/>
      <c r="D10" s="243" t="n"/>
      <c r="E10" s="132" t="n">
        <v>4</v>
      </c>
      <c r="F10" s="129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133" t="n">
        <v>1.34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>
      <c r="A12" s="128" t="inlineStr">
        <is>
          <t>1.6</t>
        </is>
      </c>
      <c r="B12" s="222" t="inlineStr">
        <is>
          <t>Коэффициент инфляции, определяемый поквартально</t>
        </is>
      </c>
      <c r="C12" s="243" t="inlineStr">
        <is>
          <t>Кинф</t>
        </is>
      </c>
      <c r="D12" s="243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3" t="inlineStr">
        <is>
          <t>ФОТр.тек.</t>
        </is>
      </c>
      <c r="D13" s="243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  <row r="14">
      <c r="A14" s="199" t="n"/>
      <c r="B14" s="200" t="inlineStr">
        <is>
          <t>Инженер I категории</t>
        </is>
      </c>
      <c r="C14" s="199" t="n"/>
      <c r="D14" s="199" t="n"/>
      <c r="E14" s="199" t="n"/>
      <c r="F14" s="199" t="n"/>
    </row>
    <row r="15" ht="63.75" customHeight="1">
      <c r="A15" s="201" t="inlineStr">
        <is>
          <t>1.1</t>
        </is>
      </c>
      <c r="B15" s="20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3" t="inlineStr">
        <is>
          <t>С1ср</t>
        </is>
      </c>
      <c r="D15" s="203" t="inlineStr">
        <is>
          <t>-</t>
        </is>
      </c>
      <c r="E15" s="204" t="n">
        <v>47872.94</v>
      </c>
      <c r="F15" s="20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201" t="inlineStr">
        <is>
          <t>1.2</t>
        </is>
      </c>
      <c r="B16" s="202" t="inlineStr">
        <is>
          <t>Среднегодовое нормативное число часов работы одного рабочего в месяц, часы (ч.)</t>
        </is>
      </c>
      <c r="C16" s="203" t="inlineStr">
        <is>
          <t>tср</t>
        </is>
      </c>
      <c r="D16" s="203" t="inlineStr">
        <is>
          <t>1973ч/12мес.</t>
        </is>
      </c>
      <c r="E16" s="204">
        <f>1973/12</f>
        <v/>
      </c>
      <c r="F16" s="202" t="inlineStr">
        <is>
          <t>Производственный календарь 2023 год
(40-часов.неделя)</t>
        </is>
      </c>
    </row>
    <row r="17">
      <c r="A17" s="201" t="inlineStr">
        <is>
          <t>1.3</t>
        </is>
      </c>
      <c r="B17" s="202" t="inlineStr">
        <is>
          <t>Коэффициент увеличения</t>
        </is>
      </c>
      <c r="C17" s="203" t="inlineStr">
        <is>
          <t>Кув</t>
        </is>
      </c>
      <c r="D17" s="203" t="inlineStr">
        <is>
          <t>-</t>
        </is>
      </c>
      <c r="E17" s="204" t="n">
        <v>1</v>
      </c>
      <c r="F17" s="202" t="n"/>
    </row>
    <row r="18">
      <c r="A18" s="201" t="inlineStr">
        <is>
          <t>1.4</t>
        </is>
      </c>
      <c r="B18" s="202" t="inlineStr">
        <is>
          <t>Средний разряд работ</t>
        </is>
      </c>
      <c r="C18" s="203" t="n"/>
      <c r="D18" s="203" t="n"/>
      <c r="E18" s="205" t="n">
        <v>1</v>
      </c>
      <c r="F18" s="202" t="inlineStr">
        <is>
          <t>РТМ</t>
        </is>
      </c>
    </row>
    <row r="19" ht="51" customHeight="1">
      <c r="A19" s="201" t="inlineStr">
        <is>
          <t>1.5</t>
        </is>
      </c>
      <c r="B19" s="202" t="inlineStr">
        <is>
          <t>Тарифный коэффициент среднего разряда работ</t>
        </is>
      </c>
      <c r="C19" s="203" t="inlineStr">
        <is>
          <t>КТ</t>
        </is>
      </c>
      <c r="D19" s="203" t="inlineStr">
        <is>
          <t>-</t>
        </is>
      </c>
      <c r="E19" s="206" t="n">
        <v>2.15</v>
      </c>
      <c r="F19" s="20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201" t="inlineStr">
        <is>
          <t>1.6</t>
        </is>
      </c>
      <c r="B20" s="207" t="inlineStr">
        <is>
          <t>Коэффициент инфляции, определяемый поквартально</t>
        </is>
      </c>
      <c r="C20" s="203" t="inlineStr">
        <is>
          <t>Кинф</t>
        </is>
      </c>
      <c r="D20" s="203" t="inlineStr">
        <is>
          <t>-</t>
        </is>
      </c>
      <c r="E20" s="208" t="n">
        <v>1.139</v>
      </c>
      <c r="F20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>
      <c r="A21" s="201" t="inlineStr">
        <is>
          <t>1.7</t>
        </is>
      </c>
      <c r="B21" s="210" t="inlineStr">
        <is>
          <t>Размер средств на оплату труда рабочих-строителей в текущем уровне цен (ФОТи.тек.), руб/чел.-ч</t>
        </is>
      </c>
      <c r="C21" s="203" t="inlineStr">
        <is>
          <t>ФОТр.тек.</t>
        </is>
      </c>
      <c r="D21" s="203" t="inlineStr">
        <is>
          <t>(С1ср/tср*КТ*Т*Кув)*Кинф</t>
        </is>
      </c>
      <c r="E21" s="211">
        <f>((E15*E17/E16)*E19)*E20</f>
        <v/>
      </c>
      <c r="F21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A22" s="199" t="n"/>
      <c r="B22" s="200" t="inlineStr">
        <is>
          <t>Инженер II категории</t>
        </is>
      </c>
      <c r="C22" s="199" t="n"/>
      <c r="D22" s="199" t="n"/>
      <c r="E22" s="199" t="n"/>
      <c r="F22" s="199" t="n"/>
    </row>
    <row r="23" ht="63.75" customHeight="1">
      <c r="A23" s="201" t="inlineStr">
        <is>
          <t>1.1</t>
        </is>
      </c>
      <c r="B23" s="20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03" t="inlineStr">
        <is>
          <t>С1ср</t>
        </is>
      </c>
      <c r="D23" s="203" t="inlineStr">
        <is>
          <t>-</t>
        </is>
      </c>
      <c r="E23" s="204" t="n">
        <v>47872.94</v>
      </c>
      <c r="F23" s="20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25.5" customHeight="1">
      <c r="A24" s="201" t="inlineStr">
        <is>
          <t>1.2</t>
        </is>
      </c>
      <c r="B24" s="202" t="inlineStr">
        <is>
          <t>Среднегодовое нормативное число часов работы одного рабочего в месяц, часы (ч.)</t>
        </is>
      </c>
      <c r="C24" s="203" t="inlineStr">
        <is>
          <t>tср</t>
        </is>
      </c>
      <c r="D24" s="203" t="inlineStr">
        <is>
          <t>1973ч/12мес.</t>
        </is>
      </c>
      <c r="E24" s="204">
        <f>1973/12</f>
        <v/>
      </c>
      <c r="F24" s="202" t="inlineStr">
        <is>
          <t>Производственный календарь 2023 год
(40-часов.неделя)</t>
        </is>
      </c>
    </row>
    <row r="25">
      <c r="A25" s="201" t="inlineStr">
        <is>
          <t>1.3</t>
        </is>
      </c>
      <c r="B25" s="202" t="inlineStr">
        <is>
          <t>Коэффициент увеличения</t>
        </is>
      </c>
      <c r="C25" s="203" t="inlineStr">
        <is>
          <t>Кув</t>
        </is>
      </c>
      <c r="D25" s="203" t="inlineStr">
        <is>
          <t>-</t>
        </is>
      </c>
      <c r="E25" s="204" t="n">
        <v>1</v>
      </c>
      <c r="F25" s="202" t="n"/>
    </row>
    <row r="26">
      <c r="A26" s="201" t="inlineStr">
        <is>
          <t>1.4</t>
        </is>
      </c>
      <c r="B26" s="202" t="inlineStr">
        <is>
          <t>Средний разряд работ</t>
        </is>
      </c>
      <c r="C26" s="203" t="n"/>
      <c r="D26" s="203" t="n"/>
      <c r="E26" s="205" t="n">
        <v>1</v>
      </c>
      <c r="F26" s="202" t="inlineStr">
        <is>
          <t>РТМ</t>
        </is>
      </c>
    </row>
    <row r="27" ht="51" customHeight="1">
      <c r="A27" s="201" t="inlineStr">
        <is>
          <t>1.5</t>
        </is>
      </c>
      <c r="B27" s="202" t="inlineStr">
        <is>
          <t>Тарифный коэффициент среднего разряда работ</t>
        </is>
      </c>
      <c r="C27" s="203" t="inlineStr">
        <is>
          <t>КТ</t>
        </is>
      </c>
      <c r="D27" s="203" t="inlineStr">
        <is>
          <t>-</t>
        </is>
      </c>
      <c r="E27" s="206" t="n">
        <v>1.96</v>
      </c>
      <c r="F27" s="20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51.75" customHeight="1">
      <c r="A28" s="201" t="inlineStr">
        <is>
          <t>1.6</t>
        </is>
      </c>
      <c r="B28" s="207" t="inlineStr">
        <is>
          <t>Коэффициент инфляции, определяемый поквартально</t>
        </is>
      </c>
      <c r="C28" s="203" t="inlineStr">
        <is>
          <t>Кинф</t>
        </is>
      </c>
      <c r="D28" s="203" t="inlineStr">
        <is>
          <t>-</t>
        </is>
      </c>
      <c r="E28" s="208" t="n">
        <v>1.139</v>
      </c>
      <c r="F28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9" ht="38.25" customHeight="1">
      <c r="A29" s="201" t="inlineStr">
        <is>
          <t>1.7</t>
        </is>
      </c>
      <c r="B29" s="210" t="inlineStr">
        <is>
          <t>Размер средств на оплату труда рабочих-строителей в текущем уровне цен (ФОТи.тек.), руб/чел.-ч</t>
        </is>
      </c>
      <c r="C29" s="203" t="inlineStr">
        <is>
          <t>ФОТр.тек.</t>
        </is>
      </c>
      <c r="D29" s="203" t="inlineStr">
        <is>
          <t>(С1ср/tср*КТ*Т*Кув)*Кинф</t>
        </is>
      </c>
      <c r="E29" s="211">
        <f>((E23*E25/E24)*E27)*E28</f>
        <v/>
      </c>
      <c r="F29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2025-01-24T12:02:20Z</dcterms:modified>
  <cp:lastModifiedBy>Danil</cp:lastModifiedBy>
  <cp:lastPrinted>2023-11-28T08:09:39Z</cp:lastPrinted>
</cp:coreProperties>
</file>