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  <numFmt numFmtId="171" formatCode="0.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right" vertical="center" wrapText="1"/>
    </xf>
    <xf numFmtId="169" fontId="22" fillId="0" borderId="1" applyAlignment="1" pivotButton="0" quotePrefix="0" xfId="0">
      <alignment vertical="center" wrapText="1"/>
    </xf>
    <xf numFmtId="17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4" fontId="1" fillId="0" borderId="0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2" fontId="4" fillId="0" borderId="0" pivotButton="0" quotePrefix="0" xfId="0"/>
    <xf numFmtId="4" fontId="4" fillId="0" borderId="0" pivotButton="0" quotePrefix="0" xfId="0"/>
    <xf numFmtId="0" fontId="17" fillId="0" borderId="1" applyAlignment="1" pivotButton="0" quotePrefix="0" xfId="0">
      <alignment vertical="center"/>
    </xf>
    <xf numFmtId="49" fontId="17" fillId="0" borderId="1" applyAlignment="1" pivotButton="0" quotePrefix="1" xfId="0">
      <alignment vertical="center"/>
    </xf>
    <xf numFmtId="0" fontId="17" fillId="0" borderId="1" applyAlignment="1" pivotButton="0" quotePrefix="0" xfId="0">
      <alignment vertical="center" wrapText="1"/>
    </xf>
    <xf numFmtId="171" fontId="17" fillId="0" borderId="1" applyAlignment="1" pivotButton="0" quotePrefix="0" xfId="0">
      <alignment horizontal="right" vertical="center"/>
    </xf>
    <xf numFmtId="0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Normal="70" workbookViewId="0">
      <selection activeCell="D27" sqref="D27"/>
    </sheetView>
  </sheetViews>
  <sheetFormatPr baseColWidth="8" defaultRowHeight="15"/>
  <cols>
    <col width="36.85546875" customWidth="1" style="211" min="3" max="3"/>
    <col width="43.85546875" customWidth="1" style="284" min="4" max="4"/>
  </cols>
  <sheetData>
    <row r="3" ht="15.75" customHeight="1" s="211">
      <c r="B3" s="245" t="inlineStr">
        <is>
          <t>Приложение № 1</t>
        </is>
      </c>
    </row>
    <row r="4" ht="18.75" customHeight="1" s="211">
      <c r="B4" s="246" t="inlineStr">
        <is>
          <t>Сравнительная таблица отбора объекта-представителя</t>
        </is>
      </c>
    </row>
    <row r="5" ht="84" customHeight="1" s="211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16" t="n"/>
      <c r="C6" s="116" t="n"/>
      <c r="D6" s="116" t="n"/>
    </row>
    <row r="7" ht="42" customHeight="1" s="211">
      <c r="B7" s="244" t="inlineStr">
        <is>
          <t>Наименование разрабатываемого показателя УНЦ - Цифровой ТТ на три фазы с устройством фундамента напряжение 500 кВ</t>
        </is>
      </c>
    </row>
    <row r="8" ht="15.75" customHeight="1" s="211">
      <c r="B8" s="244" t="inlineStr">
        <is>
          <t>Сопоставимый уровень цен: 4 кв. 2017г</t>
        </is>
      </c>
    </row>
    <row r="9" ht="15.75" customHeight="1" s="211">
      <c r="B9" s="244" t="inlineStr">
        <is>
          <t>Единица измерения  — 1 ед</t>
        </is>
      </c>
    </row>
    <row r="10" ht="18.75" customHeight="1" s="211">
      <c r="B10" s="117" t="n"/>
    </row>
    <row r="11" ht="15.75" customHeight="1" s="2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>Объект-представитель</t>
        </is>
      </c>
    </row>
    <row r="12" ht="47.25" customHeight="1" s="211">
      <c r="B12" s="250" t="n">
        <v>1</v>
      </c>
      <c r="C12" s="228" t="inlineStr">
        <is>
          <t>Наименование объекта-представителя</t>
        </is>
      </c>
      <c r="D12" s="250" t="inlineStr">
        <is>
          <t>ПС 500 кВ Дальневосточная. Реконструкция ОРУ-500 кВ яч.1-3,без замены выключателей</t>
        </is>
      </c>
    </row>
    <row r="13" ht="31.5" customHeight="1" s="211">
      <c r="B13" s="250" t="n">
        <v>2</v>
      </c>
      <c r="C13" s="228" t="inlineStr">
        <is>
          <t>Наименование субъекта Российской Федерации</t>
        </is>
      </c>
      <c r="D13" s="250" t="inlineStr">
        <is>
          <t>Приморский край, Черниговский район</t>
        </is>
      </c>
    </row>
    <row r="14" ht="15.75" customHeight="1" s="211">
      <c r="B14" s="250" t="n">
        <v>3</v>
      </c>
      <c r="C14" s="228" t="inlineStr">
        <is>
          <t>Климатический район и подрайон</t>
        </is>
      </c>
      <c r="D14" s="250" t="inlineStr">
        <is>
          <t xml:space="preserve"> IВ</t>
        </is>
      </c>
    </row>
    <row r="15" ht="15.75" customHeight="1" s="211">
      <c r="B15" s="250" t="n">
        <v>4</v>
      </c>
      <c r="C15" s="228" t="inlineStr">
        <is>
          <t>Мощность объекта</t>
        </is>
      </c>
      <c r="D15" s="250" t="n">
        <v>2</v>
      </c>
    </row>
    <row r="16" ht="107.25" customHeight="1" s="211">
      <c r="B16" s="25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>Оптический трансформатор тока 500 кВ</t>
        </is>
      </c>
    </row>
    <row r="17" ht="95.25" customHeight="1" s="211">
      <c r="B17" s="25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>
        <f>SUM(D18:D21)</f>
        <v/>
      </c>
    </row>
    <row r="18" ht="15.75" customHeight="1" s="211">
      <c r="B18" s="121" t="inlineStr">
        <is>
          <t>6.1</t>
        </is>
      </c>
      <c r="C18" s="228" t="inlineStr">
        <is>
          <t>строительно-монтажные работы</t>
        </is>
      </c>
      <c r="D18" s="235">
        <f>'Прил.2 Расч стоим'!F14+'Прил.2 Расч стоим'!G14</f>
        <v/>
      </c>
    </row>
    <row r="19" ht="15.75" customHeight="1" s="211">
      <c r="B19" s="121" t="inlineStr">
        <is>
          <t>6.2</t>
        </is>
      </c>
      <c r="C19" s="228" t="inlineStr">
        <is>
          <t>оборудование и инвентарь</t>
        </is>
      </c>
      <c r="D19" s="235">
        <f>'Прил.2 Расч стоим'!H14</f>
        <v/>
      </c>
    </row>
    <row r="20" ht="15.75" customHeight="1" s="211">
      <c r="B20" s="121" t="inlineStr">
        <is>
          <t>6.3</t>
        </is>
      </c>
      <c r="C20" s="228" t="inlineStr">
        <is>
          <t>пусконаладочные работы</t>
        </is>
      </c>
      <c r="D20" s="235" t="n">
        <v>0</v>
      </c>
    </row>
    <row r="21" ht="31.5" customHeight="1" s="211">
      <c r="B21" s="121" t="inlineStr">
        <is>
          <t>6.4</t>
        </is>
      </c>
      <c r="C21" s="228" t="inlineStr">
        <is>
          <t>прочие и лимитированные затраты</t>
        </is>
      </c>
      <c r="D21" s="235">
        <f>D18*3.9%*0.8+(D18*3.9%*0.8+D18)*4.8%*0.8</f>
        <v/>
      </c>
    </row>
    <row r="22" ht="15.75" customHeight="1" s="211">
      <c r="B22" s="250" t="n">
        <v>7</v>
      </c>
      <c r="C22" s="228" t="inlineStr">
        <is>
          <t>Сопоставимый уровень цен</t>
        </is>
      </c>
      <c r="D22" s="250" t="inlineStr">
        <is>
          <t>4 кв. 2017г</t>
        </is>
      </c>
    </row>
    <row r="23" ht="110.25" customHeight="1" s="211">
      <c r="B23" s="25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>
        <f>D17</f>
        <v/>
      </c>
    </row>
    <row r="24" ht="61.5" customHeight="1" s="211">
      <c r="B24" s="25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35">
        <f>D23/D15</f>
        <v/>
      </c>
    </row>
    <row r="25" ht="37.5" customHeight="1" s="211">
      <c r="B25" s="122" t="n"/>
      <c r="C25" s="123" t="n"/>
      <c r="D25" s="195" t="n"/>
    </row>
    <row r="26">
      <c r="B26" s="212" t="inlineStr">
        <is>
          <t>Составил ______________________        Е. М. Добровольская</t>
        </is>
      </c>
      <c r="C26" s="222" t="n"/>
    </row>
    <row r="27">
      <c r="B27" s="223" t="inlineStr">
        <is>
          <t xml:space="preserve">                         (подпись, инициалы, фамилия)</t>
        </is>
      </c>
      <c r="C27" s="222" t="n"/>
    </row>
    <row r="28">
      <c r="B28" s="212" t="n"/>
      <c r="C28" s="222" t="n"/>
    </row>
    <row r="29">
      <c r="B29" s="212" t="inlineStr">
        <is>
          <t>Проверил ______________________        А.В. Костянецкая</t>
        </is>
      </c>
      <c r="C29" s="222" t="n"/>
    </row>
    <row r="30">
      <c r="B30" s="223" t="inlineStr">
        <is>
          <t xml:space="preserve">                        (подпись, инициалы, фамилия)</t>
        </is>
      </c>
      <c r="C30" s="222" t="n"/>
    </row>
    <row r="31" ht="15.75" customHeight="1" s="211">
      <c r="B31" s="123" t="n"/>
      <c r="C31" s="123" t="n"/>
      <c r="D31" s="19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60" zoomScaleNormal="100" workbookViewId="0">
      <selection activeCell="E21" sqref="E21"/>
    </sheetView>
  </sheetViews>
  <sheetFormatPr baseColWidth="8" defaultRowHeight="15"/>
  <cols>
    <col width="5.5703125" customWidth="1" style="211" min="1" max="1"/>
    <col width="35.28515625" customWidth="1" style="211" min="3" max="3"/>
    <col width="11.42578125" customWidth="1" style="211" min="4" max="4"/>
    <col width="21.7109375" customWidth="1" style="211" min="5" max="5"/>
    <col width="16.42578125" customWidth="1" style="211" min="6" max="6"/>
    <col width="14.85546875" customWidth="1" style="211" min="7" max="7"/>
    <col width="16.7109375" customWidth="1" style="211" min="8" max="8"/>
    <col width="13" customWidth="1" style="211" min="9" max="10"/>
    <col hidden="1" width="18" customWidth="1" style="211" min="11" max="11"/>
  </cols>
  <sheetData>
    <row r="3" ht="15.75" customHeight="1" s="211">
      <c r="B3" s="245" t="inlineStr">
        <is>
          <t>Приложение № 2</t>
        </is>
      </c>
    </row>
    <row r="4" ht="15.75" customHeight="1" s="211">
      <c r="B4" s="249" t="inlineStr">
        <is>
          <t>Расчет стоимости основных видов работ для выбора объекта-представителя</t>
        </is>
      </c>
    </row>
    <row r="5" ht="15.75" customHeight="1" s="21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 s="211">
      <c r="B6" s="244" t="inlineStr">
        <is>
          <t>Наименование разрабатываемого показателя УНЦ - Цифровой ТТ на три фазы с устройством фундамента напряжение 500 кВ</t>
        </is>
      </c>
    </row>
    <row r="7" ht="15.75" customHeight="1" s="211">
      <c r="B7" s="244" t="inlineStr">
        <is>
          <t>Единица измерения  — 1 ед</t>
        </is>
      </c>
    </row>
    <row r="8" ht="18.75" customHeight="1" s="211">
      <c r="B8" s="117" t="n"/>
    </row>
    <row r="9" ht="15.75" customHeight="1" s="211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11">
      <c r="B10" s="330" t="n"/>
      <c r="C10" s="330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2017г, тыс. руб.</t>
        </is>
      </c>
      <c r="G10" s="328" t="n"/>
      <c r="H10" s="328" t="n"/>
      <c r="I10" s="328" t="n"/>
      <c r="J10" s="329" t="n"/>
    </row>
    <row r="11" ht="31.5" customHeight="1" s="211">
      <c r="B11" s="331" t="n"/>
      <c r="C11" s="331" t="n"/>
      <c r="D11" s="331" t="n"/>
      <c r="E11" s="331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</row>
    <row r="12" ht="31.5" customHeight="1" s="211">
      <c r="B12" s="226" t="n">
        <v>1</v>
      </c>
      <c r="C12" s="252">
        <f>'Прил.1 Сравнит табл'!D16</f>
        <v/>
      </c>
      <c r="D12" s="227" t="inlineStr">
        <is>
          <t>02-01-01</t>
        </is>
      </c>
      <c r="E12" s="228" t="inlineStr">
        <is>
          <t>ОРУ. Строительные решения</t>
        </is>
      </c>
      <c r="F12" s="229" t="n">
        <v>1354.6335757</v>
      </c>
      <c r="G12" s="229" t="n"/>
      <c r="H12" s="229" t="n"/>
      <c r="I12" s="230" t="n"/>
      <c r="J12" s="231">
        <f>SUM(F12:I12)</f>
        <v/>
      </c>
    </row>
    <row r="13" ht="63" customHeight="1" s="211">
      <c r="B13" s="226" t="n">
        <v>2</v>
      </c>
      <c r="C13" s="331" t="n"/>
      <c r="D13" s="227" t="inlineStr">
        <is>
          <t>02-01-02</t>
        </is>
      </c>
      <c r="E13" s="228" t="inlineStr">
        <is>
          <t xml:space="preserve">ОРУ. Приобретение и монтаж электротехнического оборудования </t>
        </is>
      </c>
      <c r="F13" s="229" t="n"/>
      <c r="G13" s="229" t="n">
        <v>414.816</v>
      </c>
      <c r="H13" s="229" t="n">
        <v>13431.5246304</v>
      </c>
      <c r="I13" s="230" t="n"/>
      <c r="J13" s="231">
        <f>SUM(F13:I13)</f>
        <v/>
      </c>
    </row>
    <row r="14" ht="15.75" customHeight="1" s="211">
      <c r="B14" s="248" t="inlineStr">
        <is>
          <t>Всего по объекту:</t>
        </is>
      </c>
      <c r="C14" s="328" t="n"/>
      <c r="D14" s="328" t="n"/>
      <c r="E14" s="329" t="n"/>
      <c r="F14" s="232">
        <f>SUM(F12:F13)</f>
        <v/>
      </c>
      <c r="G14" s="232">
        <f>SUM(G12:G13)</f>
        <v/>
      </c>
      <c r="H14" s="232">
        <f>SUM(H12:H13)</f>
        <v/>
      </c>
      <c r="I14" s="233" t="n"/>
      <c r="J14" s="234">
        <f>SUM(F14:I14)</f>
        <v/>
      </c>
    </row>
    <row r="15" ht="15.75" customHeight="1" s="211">
      <c r="B15" s="248" t="inlineStr">
        <is>
          <t>Всего по объекту в сопоставимом уровне цен 4 кв. 2017г:</t>
        </is>
      </c>
      <c r="C15" s="328" t="n"/>
      <c r="D15" s="328" t="n"/>
      <c r="E15" s="329" t="n"/>
      <c r="F15" s="232">
        <f>F14</f>
        <v/>
      </c>
      <c r="G15" s="232">
        <f>G14</f>
        <v/>
      </c>
      <c r="H15" s="232">
        <f>H14</f>
        <v/>
      </c>
      <c r="I15" s="232">
        <f>'Прил.1 Сравнит табл'!D21</f>
        <v/>
      </c>
      <c r="J15" s="234">
        <f>SUM(F15:I15)</f>
        <v/>
      </c>
    </row>
    <row r="16" ht="18.75" customHeight="1" s="211">
      <c r="B16" s="117" t="n"/>
    </row>
    <row r="19">
      <c r="C19" s="212" t="inlineStr">
        <is>
          <t>Составил ______________________    Е. М. Добровольская</t>
        </is>
      </c>
      <c r="D19" s="222" t="n"/>
    </row>
    <row r="20">
      <c r="C20" s="223" t="inlineStr">
        <is>
          <t xml:space="preserve">                         (подпись, инициалы, фамилия)</t>
        </is>
      </c>
      <c r="D20" s="222" t="n"/>
    </row>
    <row r="21">
      <c r="C21" s="212" t="n"/>
      <c r="D21" s="222" t="n"/>
    </row>
    <row r="22">
      <c r="C22" s="212" t="inlineStr">
        <is>
          <t>Проверил ______________________        А.В. Костянецкая</t>
        </is>
      </c>
      <c r="D22" s="222" t="n"/>
    </row>
    <row r="23">
      <c r="C23" s="223" t="inlineStr">
        <is>
          <t xml:space="preserve">                        (подпись, инициалы, фамилия)</t>
        </is>
      </c>
      <c r="D23" s="222" t="n"/>
    </row>
  </sheetData>
  <mergeCells count="13">
    <mergeCell ref="D10:D11"/>
    <mergeCell ref="B4:K4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J134"/>
  <sheetViews>
    <sheetView view="pageBreakPreview" topLeftCell="A118" workbookViewId="0">
      <selection activeCell="D130" sqref="D130"/>
    </sheetView>
  </sheetViews>
  <sheetFormatPr baseColWidth="8" defaultRowHeight="15"/>
  <cols>
    <col width="8.5703125" customWidth="1" style="211" min="1" max="1"/>
    <col width="12.85546875" customWidth="1" style="211" min="2" max="2"/>
    <col width="16.85546875" customWidth="1" style="211" min="3" max="3"/>
    <col width="49.85546875" customWidth="1" style="211" min="4" max="4"/>
    <col width="12.28515625" customWidth="1" style="211" min="5" max="5"/>
    <col width="19.85546875" customWidth="1" style="211" min="6" max="6"/>
    <col width="17.85546875" customWidth="1" style="211" min="7" max="7"/>
    <col width="19.42578125" customWidth="1" style="165" min="8" max="8"/>
    <col width="14.28515625" customWidth="1" style="211" min="9" max="9"/>
  </cols>
  <sheetData>
    <row r="2" ht="15.75" customHeight="1" s="211">
      <c r="A2" s="245" t="inlineStr">
        <is>
          <t xml:space="preserve">Приложение № 3 </t>
        </is>
      </c>
    </row>
    <row r="3" ht="18.75" customHeight="1" s="211">
      <c r="A3" s="246" t="inlineStr">
        <is>
          <t>Объектная ресурсная ведомость</t>
        </is>
      </c>
    </row>
    <row r="4" ht="25.5" customHeight="1" s="211">
      <c r="B4" s="164" t="n"/>
      <c r="C4" s="261" t="n"/>
    </row>
    <row r="5" ht="15.75" customHeight="1" s="211">
      <c r="C5" s="146" t="n"/>
      <c r="D5" s="146" t="n"/>
      <c r="E5" s="146" t="n"/>
      <c r="F5" s="146" t="n"/>
      <c r="G5" s="146" t="n"/>
      <c r="H5" s="147" t="n"/>
    </row>
    <row r="6" ht="15" customHeight="1" s="211">
      <c r="A6" s="259" t="inlineStr">
        <is>
          <t>Наименование разрабатываемого показателя УНЦ - Цифровой ТТ на три фазы с устройством фундамента напряжение 500 кВ</t>
        </is>
      </c>
      <c r="G6" s="148" t="n"/>
      <c r="H6" s="149" t="n"/>
    </row>
    <row r="7" ht="14.25" customHeight="1" s="211">
      <c r="G7" s="148" t="n"/>
      <c r="H7" s="149" t="n"/>
    </row>
    <row r="8" ht="15.75" customHeight="1" s="211">
      <c r="C8" s="150" t="n"/>
      <c r="D8" s="151" t="n"/>
      <c r="E8" s="152" t="n"/>
      <c r="F8" s="153" t="n"/>
      <c r="G8" s="154" t="n"/>
      <c r="H8" s="155" t="n"/>
    </row>
    <row r="9" ht="38.25" customHeight="1" s="211">
      <c r="A9" s="250" t="inlineStr">
        <is>
          <t>п/п</t>
        </is>
      </c>
      <c r="B9" s="250" t="inlineStr">
        <is>
          <t>№ЛСР</t>
        </is>
      </c>
      <c r="C9" s="250" t="inlineStr">
        <is>
          <t>Код ресурса</t>
        </is>
      </c>
      <c r="D9" s="250" t="inlineStr">
        <is>
          <t>Наименование ресурса</t>
        </is>
      </c>
      <c r="E9" s="250" t="inlineStr">
        <is>
          <t>Ед. изм.</t>
        </is>
      </c>
      <c r="F9" s="250" t="inlineStr">
        <is>
          <t>Кол-во единиц по данным объекта-представителя</t>
        </is>
      </c>
      <c r="G9" s="250" t="inlineStr">
        <is>
          <t>Сметная стоимость в ценах на 01.01.2000 (руб.)</t>
        </is>
      </c>
      <c r="H9" s="329" t="n"/>
    </row>
    <row r="10" ht="40.5" customHeight="1" s="211">
      <c r="A10" s="331" t="n"/>
      <c r="B10" s="331" t="n"/>
      <c r="C10" s="331" t="n"/>
      <c r="D10" s="331" t="n"/>
      <c r="E10" s="331" t="n"/>
      <c r="F10" s="331" t="n"/>
      <c r="G10" s="250" t="inlineStr">
        <is>
          <t>на ед.изм.</t>
        </is>
      </c>
      <c r="H10" s="250" t="inlineStr">
        <is>
          <t>общая</t>
        </is>
      </c>
    </row>
    <row r="11" ht="15.75" customHeight="1" s="211">
      <c r="A11" s="250" t="n">
        <v>1</v>
      </c>
      <c r="B11" s="156" t="n"/>
      <c r="C11" s="250" t="n">
        <v>2</v>
      </c>
      <c r="D11" s="250" t="inlineStr">
        <is>
          <t>З</t>
        </is>
      </c>
      <c r="E11" s="250" t="n">
        <v>4</v>
      </c>
      <c r="F11" s="250" t="n">
        <v>5</v>
      </c>
      <c r="G11" s="156" t="n">
        <v>6</v>
      </c>
      <c r="H11" s="156" t="n">
        <v>7</v>
      </c>
    </row>
    <row r="12" ht="15" customHeight="1" s="211">
      <c r="A12" s="257" t="inlineStr">
        <is>
          <t>Затраты труда рабочих</t>
        </is>
      </c>
      <c r="B12" s="328" t="n"/>
      <c r="C12" s="328" t="n"/>
      <c r="D12" s="329" t="n"/>
      <c r="E12" s="157" t="n"/>
      <c r="F12" s="171">
        <f>SUM(F13:F27)</f>
        <v/>
      </c>
      <c r="G12" s="157" t="n"/>
      <c r="H12" s="172">
        <f>SUM(H13:H27)</f>
        <v/>
      </c>
    </row>
    <row r="13">
      <c r="A13" s="168" t="inlineStr">
        <is>
          <t>1</t>
        </is>
      </c>
      <c r="B13" s="168" t="n"/>
      <c r="C13" s="161" t="inlineStr">
        <is>
          <t>10-30-1</t>
        </is>
      </c>
      <c r="D13" s="178" t="inlineStr">
        <is>
          <t>Инженер I категории</t>
        </is>
      </c>
      <c r="E13" s="7" t="inlineStr">
        <is>
          <t>чел.час</t>
        </is>
      </c>
      <c r="F13" s="176" t="n">
        <v>421</v>
      </c>
      <c r="G13" s="179" t="n">
        <v>15.49</v>
      </c>
      <c r="H13" s="32">
        <f>ROUND(F13*G13,2)</f>
        <v/>
      </c>
      <c r="I13" s="159" t="n"/>
      <c r="J13" s="159" t="n"/>
    </row>
    <row r="14">
      <c r="A14" s="168" t="inlineStr">
        <is>
          <t>2</t>
        </is>
      </c>
      <c r="B14" s="168" t="n"/>
      <c r="C14" s="161" t="inlineStr">
        <is>
          <t>10-30-2</t>
        </is>
      </c>
      <c r="D14" s="178" t="inlineStr">
        <is>
          <t>Инженер II категории</t>
        </is>
      </c>
      <c r="E14" s="7" t="inlineStr">
        <is>
          <t>чел.час</t>
        </is>
      </c>
      <c r="F14" s="176" t="n">
        <v>421</v>
      </c>
      <c r="G14" s="179" t="n">
        <v>14.09</v>
      </c>
      <c r="H14" s="32">
        <f>ROUND(F14*G14,2)</f>
        <v/>
      </c>
      <c r="I14" s="159" t="n"/>
      <c r="J14" s="159" t="n"/>
    </row>
    <row r="15">
      <c r="A15" s="168" t="inlineStr">
        <is>
          <t>3</t>
        </is>
      </c>
      <c r="B15" s="168" t="n"/>
      <c r="C15" s="161" t="inlineStr">
        <is>
          <t>1-4-0</t>
        </is>
      </c>
      <c r="D15" s="178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76" t="n">
        <v>345.2766</v>
      </c>
      <c r="G15" s="179" t="n">
        <v>9.619999999999999</v>
      </c>
      <c r="H15" s="32">
        <f>ROUND(F15*G15,2)</f>
        <v/>
      </c>
      <c r="I15" s="159" t="n"/>
      <c r="J15" s="159" t="n"/>
    </row>
    <row r="16">
      <c r="A16" s="168" t="inlineStr">
        <is>
          <t>4</t>
        </is>
      </c>
      <c r="B16" s="168" t="n"/>
      <c r="C16" s="161" t="inlineStr">
        <is>
          <t>1-4-3</t>
        </is>
      </c>
      <c r="D16" s="178" t="inlineStr">
        <is>
          <t>Затраты труда рабочих (средний разряд работы 4,3)</t>
        </is>
      </c>
      <c r="E16" s="7" t="inlineStr">
        <is>
          <t>чел.час</t>
        </is>
      </c>
      <c r="F16" s="176" t="n">
        <v>291.8052</v>
      </c>
      <c r="G16" s="179" t="n">
        <v>10.06</v>
      </c>
      <c r="H16" s="32">
        <f>ROUND(F16*G16,2)</f>
        <v/>
      </c>
      <c r="I16" s="159" t="n"/>
      <c r="J16" s="159" t="n"/>
    </row>
    <row r="17">
      <c r="A17" s="168" t="inlineStr">
        <is>
          <t>5</t>
        </is>
      </c>
      <c r="B17" s="168" t="n"/>
      <c r="C17" s="161" t="inlineStr">
        <is>
          <t>1-3-8</t>
        </is>
      </c>
      <c r="D17" s="178" t="inlineStr">
        <is>
          <t>Затраты труда рабочих (средний разряд работы 3,8)</t>
        </is>
      </c>
      <c r="E17" s="7" t="inlineStr">
        <is>
          <t>чел.час</t>
        </is>
      </c>
      <c r="F17" s="176" t="n">
        <v>87.396</v>
      </c>
      <c r="G17" s="179" t="n">
        <v>9.4</v>
      </c>
      <c r="H17" s="32">
        <f>ROUND(F17*G17,2)</f>
        <v/>
      </c>
      <c r="I17" s="159" t="n"/>
      <c r="J17" s="159" t="n"/>
    </row>
    <row r="18">
      <c r="A18" s="168" t="inlineStr">
        <is>
          <t>6</t>
        </is>
      </c>
      <c r="B18" s="168" t="n"/>
      <c r="C18" s="161" t="inlineStr">
        <is>
          <t>1-4-1</t>
        </is>
      </c>
      <c r="D18" s="178" t="inlineStr">
        <is>
          <t>Затраты труда рабочих (средний разряд работы 4,1)</t>
        </is>
      </c>
      <c r="E18" s="7" t="inlineStr">
        <is>
          <t>чел.час</t>
        </is>
      </c>
      <c r="F18" s="176" t="n">
        <v>25.4742</v>
      </c>
      <c r="G18" s="179" t="n">
        <v>9.76</v>
      </c>
      <c r="H18" s="32">
        <f>ROUND(F18*G18,2)</f>
        <v/>
      </c>
      <c r="I18" s="159" t="n"/>
      <c r="J18" s="159" t="n"/>
    </row>
    <row r="19">
      <c r="A19" s="168" t="inlineStr">
        <is>
          <t>7</t>
        </is>
      </c>
      <c r="B19" s="168" t="n"/>
      <c r="C19" s="161" t="inlineStr">
        <is>
          <t>1-3-9</t>
        </is>
      </c>
      <c r="D19" s="178" t="inlineStr">
        <is>
          <t>Затраты труда рабочих (средний разряд работы 3,9)</t>
        </is>
      </c>
      <c r="E19" s="7" t="inlineStr">
        <is>
          <t>чел.час</t>
        </is>
      </c>
      <c r="F19" s="176" t="n">
        <v>23.8641</v>
      </c>
      <c r="G19" s="179" t="n">
        <v>9.51</v>
      </c>
      <c r="H19" s="32">
        <f>ROUND(F19*G19,2)</f>
        <v/>
      </c>
      <c r="I19" s="159" t="n"/>
      <c r="J19" s="159" t="n"/>
    </row>
    <row r="20">
      <c r="A20" s="168" t="inlineStr">
        <is>
          <t>8</t>
        </is>
      </c>
      <c r="B20" s="168" t="n"/>
      <c r="C20" s="161" t="inlineStr">
        <is>
          <t>1-2-0</t>
        </is>
      </c>
      <c r="D20" s="178" t="inlineStr">
        <is>
          <t>Затраты труда рабочих (средний разряд работы 2,0)</t>
        </is>
      </c>
      <c r="E20" s="7" t="inlineStr">
        <is>
          <t>чел.час</t>
        </is>
      </c>
      <c r="F20" s="176" t="n">
        <v>21.3516</v>
      </c>
      <c r="G20" s="179" t="n">
        <v>7.8</v>
      </c>
      <c r="H20" s="32">
        <f>ROUND(F20*G20,2)</f>
        <v/>
      </c>
      <c r="I20" s="159" t="n"/>
      <c r="J20" s="159" t="n"/>
    </row>
    <row r="21">
      <c r="A21" s="168" t="inlineStr">
        <is>
          <t>9</t>
        </is>
      </c>
      <c r="B21" s="168" t="n"/>
      <c r="C21" s="161" t="inlineStr">
        <is>
          <t>1-1-5</t>
        </is>
      </c>
      <c r="D21" s="178" t="inlineStr">
        <is>
          <t>Затраты труда рабочих (средний разряд работы 1,5)</t>
        </is>
      </c>
      <c r="E21" s="7" t="inlineStr">
        <is>
          <t>чел.час</t>
        </is>
      </c>
      <c r="F21" s="176" t="n">
        <v>16.0086</v>
      </c>
      <c r="G21" s="179" t="n">
        <v>7.5</v>
      </c>
      <c r="H21" s="32">
        <f>ROUND(F21*G21,2)</f>
        <v/>
      </c>
      <c r="I21" s="159" t="n"/>
      <c r="J21" s="159" t="n"/>
    </row>
    <row r="22">
      <c r="A22" s="168" t="inlineStr">
        <is>
          <t>10</t>
        </is>
      </c>
      <c r="B22" s="168" t="n"/>
      <c r="C22" s="161" t="inlineStr">
        <is>
          <t>1-4-4</t>
        </is>
      </c>
      <c r="D22" s="178" t="inlineStr">
        <is>
          <t>Затраты труда рабочих (средний разряд работы 4,4)</t>
        </is>
      </c>
      <c r="E22" s="7" t="inlineStr">
        <is>
          <t>чел.час</t>
        </is>
      </c>
      <c r="F22" s="176" t="n">
        <v>8.9939</v>
      </c>
      <c r="G22" s="179" t="n">
        <v>10.21</v>
      </c>
      <c r="H22" s="32">
        <f>ROUND(F22*G22,2)</f>
        <v/>
      </c>
      <c r="I22" s="159" t="n"/>
      <c r="J22" s="159" t="n"/>
    </row>
    <row r="23">
      <c r="A23" s="168" t="inlineStr">
        <is>
          <t>11</t>
        </is>
      </c>
      <c r="B23" s="168" t="n"/>
      <c r="C23" s="161" t="inlineStr">
        <is>
          <t>1-4-2</t>
        </is>
      </c>
      <c r="D23" s="178" t="inlineStr">
        <is>
          <t>Затраты труда рабочих (средний разряд работы 4,2)</t>
        </is>
      </c>
      <c r="E23" s="7" t="inlineStr">
        <is>
          <t>чел.час</t>
        </is>
      </c>
      <c r="F23" s="176" t="n">
        <v>7.1377</v>
      </c>
      <c r="G23" s="179" t="n">
        <v>9.92</v>
      </c>
      <c r="H23" s="32">
        <f>ROUND(F23*G23,2)</f>
        <v/>
      </c>
      <c r="I23" s="159" t="n"/>
      <c r="J23" s="159" t="n"/>
    </row>
    <row r="24">
      <c r="A24" s="168" t="inlineStr">
        <is>
          <t>12</t>
        </is>
      </c>
      <c r="B24" s="168" t="n"/>
      <c r="C24" s="161" t="inlineStr">
        <is>
          <t>1-3-2</t>
        </is>
      </c>
      <c r="D24" s="178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176" t="n">
        <v>1.0666</v>
      </c>
      <c r="G24" s="179" t="n">
        <v>8.74</v>
      </c>
      <c r="H24" s="32">
        <f>ROUND(F24*G24,2)</f>
        <v/>
      </c>
      <c r="I24" s="159" t="n"/>
      <c r="J24" s="159" t="n"/>
    </row>
    <row r="25">
      <c r="A25" s="168" t="inlineStr">
        <is>
          <t>13</t>
        </is>
      </c>
      <c r="B25" s="168" t="n"/>
      <c r="C25" s="161" t="inlineStr">
        <is>
          <t>1-3-0</t>
        </is>
      </c>
      <c r="D25" s="178" t="inlineStr">
        <is>
          <t>Затраты труда рабочих (средний разряд работы 3,0)</t>
        </is>
      </c>
      <c r="E25" s="7" t="inlineStr">
        <is>
          <t>чел.час</t>
        </is>
      </c>
      <c r="F25" s="176" t="n">
        <v>0.6153</v>
      </c>
      <c r="G25" s="179" t="n">
        <v>8.529999999999999</v>
      </c>
      <c r="H25" s="32">
        <f>ROUND(F25*G25,2)</f>
        <v/>
      </c>
      <c r="I25" s="159" t="n"/>
      <c r="J25" s="159" t="n"/>
    </row>
    <row r="26">
      <c r="A26" s="168" t="inlineStr">
        <is>
          <t>14</t>
        </is>
      </c>
      <c r="B26" s="168" t="n"/>
      <c r="C26" s="161" t="inlineStr">
        <is>
          <t>1-4-7</t>
        </is>
      </c>
      <c r="D26" s="178" t="inlineStr">
        <is>
          <t>Затраты труда рабочих (средний разряд работы 4,7)</t>
        </is>
      </c>
      <c r="E26" s="7" t="inlineStr">
        <is>
          <t>чел.час</t>
        </is>
      </c>
      <c r="F26" s="176" t="n">
        <v>0.1538</v>
      </c>
      <c r="G26" s="179" t="n">
        <v>10.65</v>
      </c>
      <c r="H26" s="32">
        <f>ROUND(F26*G26,2)</f>
        <v/>
      </c>
      <c r="I26" s="159" t="n"/>
      <c r="J26" s="159" t="n"/>
    </row>
    <row r="27">
      <c r="A27" s="168" t="inlineStr">
        <is>
          <t>15</t>
        </is>
      </c>
      <c r="B27" s="168" t="n"/>
      <c r="C27" s="161" t="inlineStr">
        <is>
          <t>1-3-5</t>
        </is>
      </c>
      <c r="D27" s="178" t="inlineStr">
        <is>
          <t>Затраты труда рабочих (средний разряд работы 3,5)</t>
        </is>
      </c>
      <c r="E27" s="7" t="inlineStr">
        <is>
          <t>чел.час</t>
        </is>
      </c>
      <c r="F27" s="176" t="n">
        <v>0.0718</v>
      </c>
      <c r="G27" s="179" t="n">
        <v>9.07</v>
      </c>
      <c r="H27" s="32">
        <f>ROUND(F27*G27,2)</f>
        <v/>
      </c>
      <c r="I27" s="159" t="n"/>
      <c r="J27" s="159" t="n"/>
    </row>
    <row r="28">
      <c r="A28" s="332" t="inlineStr">
        <is>
          <t>Затраты труда машинистов</t>
        </is>
      </c>
      <c r="B28" s="333" t="n"/>
      <c r="C28" s="333" t="n"/>
      <c r="D28" s="334" t="n"/>
      <c r="E28" s="283" t="n"/>
      <c r="F28" s="161" t="n"/>
      <c r="G28" s="158" t="n"/>
      <c r="H28" s="173">
        <f>H29</f>
        <v/>
      </c>
      <c r="J28" s="159" t="n"/>
    </row>
    <row r="29">
      <c r="A29" s="168">
        <f>A27+1</f>
        <v/>
      </c>
      <c r="B29" s="170" t="n"/>
      <c r="C29" s="168" t="n">
        <v>2</v>
      </c>
      <c r="D29" s="267" t="inlineStr">
        <is>
          <t>Затраты труда машинистов</t>
        </is>
      </c>
      <c r="E29" s="268" t="inlineStr">
        <is>
          <t>чел.час</t>
        </is>
      </c>
      <c r="F29" s="175" t="n">
        <v>206.397</v>
      </c>
      <c r="G29" s="282" t="n"/>
      <c r="H29" s="32" t="n">
        <v>2572.43</v>
      </c>
    </row>
    <row r="30" ht="15" customHeight="1" s="211">
      <c r="A30" s="257" t="inlineStr">
        <is>
          <t>Машины и механизмы</t>
        </is>
      </c>
      <c r="B30" s="328" t="n"/>
      <c r="C30" s="328" t="n"/>
      <c r="D30" s="329" t="n"/>
      <c r="E30" s="157" t="n"/>
      <c r="F30" s="157" t="n"/>
      <c r="G30" s="157" t="n"/>
      <c r="H30" s="174">
        <f>SUM(H31:H52)</f>
        <v/>
      </c>
    </row>
    <row r="31">
      <c r="A31" s="268">
        <f>A29+1</f>
        <v/>
      </c>
      <c r="B31" s="168" t="n"/>
      <c r="C31" s="168" t="inlineStr">
        <is>
          <t>91.05.05-014</t>
        </is>
      </c>
      <c r="D31" s="267" t="inlineStr">
        <is>
          <t>Краны на автомобильном ходу, грузоподъемность 10 т</t>
        </is>
      </c>
      <c r="E31" s="268" t="inlineStr">
        <is>
          <t>маш.час</t>
        </is>
      </c>
      <c r="F31" s="268" t="n">
        <v>100.02</v>
      </c>
      <c r="G31" s="270" t="n">
        <v>111.99</v>
      </c>
      <c r="H31" s="32">
        <f>ROUND(F31*G31,2)</f>
        <v/>
      </c>
    </row>
    <row r="32">
      <c r="A32" s="268">
        <f>A31+1</f>
        <v/>
      </c>
      <c r="B32" s="168" t="n"/>
      <c r="C32" s="168" t="inlineStr">
        <is>
          <t>91.02.04-041</t>
        </is>
      </c>
      <c r="D32" s="267" t="inlineStr">
        <is>
          <t>Установки буровые с крутящим моментом 250-350 кНм</t>
        </is>
      </c>
      <c r="E32" s="268" t="inlineStr">
        <is>
          <t>маш.час</t>
        </is>
      </c>
      <c r="F32" s="268" t="n">
        <v>5.19</v>
      </c>
      <c r="G32" s="270" t="n">
        <v>870.54</v>
      </c>
      <c r="H32" s="32">
        <f>ROUND(F32*G32,2)</f>
        <v/>
      </c>
    </row>
    <row r="33">
      <c r="A33" s="268">
        <f>A32+1</f>
        <v/>
      </c>
      <c r="B33" s="168" t="n"/>
      <c r="C33" s="168" t="inlineStr">
        <is>
          <t>91.10.01-002</t>
        </is>
      </c>
      <c r="D33" s="267" t="inlineStr">
        <is>
          <t>Агрегаты наполнительно-опрессовочные: до 300 м3/ч</t>
        </is>
      </c>
      <c r="E33" s="268" t="inlineStr">
        <is>
          <t>маш.час</t>
        </is>
      </c>
      <c r="F33" s="268" t="n">
        <v>11.16</v>
      </c>
      <c r="G33" s="270" t="n">
        <v>287.99</v>
      </c>
      <c r="H33" s="32">
        <f>ROUND(F33*G33,2)</f>
        <v/>
      </c>
    </row>
    <row r="34">
      <c r="A34" s="268">
        <f>A33+1</f>
        <v/>
      </c>
      <c r="B34" s="168" t="n"/>
      <c r="C34" s="168" t="inlineStr">
        <is>
          <t>91.05.05-016</t>
        </is>
      </c>
      <c r="D34" s="267" t="inlineStr">
        <is>
          <t>Краны на автомобильном ходу, грузоподъемность 25 т</t>
        </is>
      </c>
      <c r="E34" s="268" t="inlineStr">
        <is>
          <t>маш.час</t>
        </is>
      </c>
      <c r="F34" s="268" t="n">
        <v>5.09</v>
      </c>
      <c r="G34" s="270" t="n">
        <v>476.43</v>
      </c>
      <c r="H34" s="32">
        <f>ROUND(F34*G34,2)</f>
        <v/>
      </c>
    </row>
    <row r="35">
      <c r="A35" s="268">
        <f>A34+1</f>
        <v/>
      </c>
      <c r="B35" s="168" t="n"/>
      <c r="C35" s="168" t="inlineStr">
        <is>
          <t>91.06.06-042</t>
        </is>
      </c>
      <c r="D35" s="267" t="inlineStr">
        <is>
          <t>Подъемники гидравлические высотой подъема: 10 м</t>
        </is>
      </c>
      <c r="E35" s="268" t="inlineStr">
        <is>
          <t>маш.час</t>
        </is>
      </c>
      <c r="F35" s="268" t="n">
        <v>50.18</v>
      </c>
      <c r="G35" s="270" t="n">
        <v>29.6</v>
      </c>
      <c r="H35" s="32">
        <f>ROUND(F35*G35,2)</f>
        <v/>
      </c>
    </row>
    <row r="36">
      <c r="A36" s="268">
        <f>A35+1</f>
        <v/>
      </c>
      <c r="B36" s="168" t="n"/>
      <c r="C36" s="168" t="inlineStr">
        <is>
          <t>91.14.02-001</t>
        </is>
      </c>
      <c r="D36" s="267" t="inlineStr">
        <is>
          <t>Автомобили бортовые, грузоподъемность: до 5 т</t>
        </is>
      </c>
      <c r="E36" s="268" t="inlineStr">
        <is>
          <t>маш.час</t>
        </is>
      </c>
      <c r="F36" s="268" t="n">
        <v>21.18</v>
      </c>
      <c r="G36" s="270" t="n">
        <v>65.70999999999999</v>
      </c>
      <c r="H36" s="32">
        <f>ROUND(F36*G36,2)</f>
        <v/>
      </c>
    </row>
    <row r="37" ht="25.5" customHeight="1" s="211">
      <c r="A37" s="268">
        <f>A36+1</f>
        <v/>
      </c>
      <c r="B37" s="168" t="n"/>
      <c r="C37" s="168" t="inlineStr">
        <is>
          <t>91.17.04-036</t>
        </is>
      </c>
      <c r="D37" s="267" t="inlineStr">
        <is>
          <t>Агрегаты сварочные передвижные номинальным сварочным током 250-400 А: с дизельным двигателем</t>
        </is>
      </c>
      <c r="E37" s="268" t="inlineStr">
        <is>
          <t>маш.час</t>
        </is>
      </c>
      <c r="F37" s="268" t="n">
        <v>29.26</v>
      </c>
      <c r="G37" s="270" t="n">
        <v>14</v>
      </c>
      <c r="H37" s="32">
        <f>ROUND(F37*G37,2)</f>
        <v/>
      </c>
    </row>
    <row r="38">
      <c r="A38" s="268">
        <f>A37+1</f>
        <v/>
      </c>
      <c r="B38" s="168" t="n"/>
      <c r="C38" s="168" t="inlineStr">
        <is>
          <t>91.14.01-003</t>
        </is>
      </c>
      <c r="D38" s="267" t="inlineStr">
        <is>
          <t>Автобетоносмесители: 6 м3</t>
        </is>
      </c>
      <c r="E38" s="268" t="inlineStr">
        <is>
          <t>маш.час</t>
        </is>
      </c>
      <c r="F38" s="268" t="n">
        <v>2.02</v>
      </c>
      <c r="G38" s="270" t="n">
        <v>177.59</v>
      </c>
      <c r="H38" s="32">
        <f>ROUND(F38*G38,2)</f>
        <v/>
      </c>
    </row>
    <row r="39">
      <c r="A39" s="268">
        <f>A38+1</f>
        <v/>
      </c>
      <c r="B39" s="168" t="n"/>
      <c r="C39" s="168" t="inlineStr">
        <is>
          <t>91.07.02-011</t>
        </is>
      </c>
      <c r="D39" s="267" t="inlineStr">
        <is>
          <t>Автобетононасосы, производительность 65 м3/ч</t>
        </is>
      </c>
      <c r="E39" s="268" t="inlineStr">
        <is>
          <t>маш.час</t>
        </is>
      </c>
      <c r="F39" s="268" t="n">
        <v>1.11</v>
      </c>
      <c r="G39" s="270" t="n">
        <v>283.4</v>
      </c>
      <c r="H39" s="32">
        <f>ROUND(F39*G39,2)</f>
        <v/>
      </c>
    </row>
    <row r="40" ht="25.5" customHeight="1" s="211">
      <c r="A40" s="268">
        <f>A39+1</f>
        <v/>
      </c>
      <c r="B40" s="168" t="n"/>
      <c r="C40" s="168" t="inlineStr">
        <is>
          <t>91.17.04-233</t>
        </is>
      </c>
      <c r="D40" s="267" t="inlineStr">
        <is>
          <t>Установки для сварки: ручной дуговой (постоянного тока)</t>
        </is>
      </c>
      <c r="E40" s="268" t="inlineStr">
        <is>
          <t>маш.час</t>
        </is>
      </c>
      <c r="F40" s="268" t="n">
        <v>34.47</v>
      </c>
      <c r="G40" s="270" t="n">
        <v>8.1</v>
      </c>
      <c r="H40" s="32">
        <f>ROUND(F40*G40,2)</f>
        <v/>
      </c>
    </row>
    <row r="41">
      <c r="A41" s="268">
        <f>A40+1</f>
        <v/>
      </c>
      <c r="B41" s="168" t="n"/>
      <c r="C41" s="168" t="inlineStr">
        <is>
          <t>91.05.05-018</t>
        </is>
      </c>
      <c r="D41" s="267" t="inlineStr">
        <is>
          <t>Краны на автомобильном ходу, грузоподъемность 63 т</t>
        </is>
      </c>
      <c r="E41" s="268" t="inlineStr">
        <is>
          <t>маш.час</t>
        </is>
      </c>
      <c r="F41" s="268" t="n">
        <v>0.15</v>
      </c>
      <c r="G41" s="270" t="n">
        <v>823.23</v>
      </c>
      <c r="H41" s="32">
        <f>ROUND(F41*G41,2)</f>
        <v/>
      </c>
    </row>
    <row r="42">
      <c r="A42" s="268">
        <f>A41+1</f>
        <v/>
      </c>
      <c r="B42" s="168" t="n"/>
      <c r="C42" s="168" t="inlineStr">
        <is>
          <t>91.14.02-002</t>
        </is>
      </c>
      <c r="D42" s="267" t="inlineStr">
        <is>
          <t>Автомобили бортовые, грузоподъемность: до 8 т</t>
        </is>
      </c>
      <c r="E42" s="268" t="inlineStr">
        <is>
          <t>маш.час</t>
        </is>
      </c>
      <c r="F42" s="268" t="n">
        <v>0.29</v>
      </c>
      <c r="G42" s="270" t="n">
        <v>85.84</v>
      </c>
      <c r="H42" s="32">
        <f>ROUND(F42*G42,2)</f>
        <v/>
      </c>
    </row>
    <row r="43">
      <c r="A43" s="268">
        <f>A42+1</f>
        <v/>
      </c>
      <c r="B43" s="168" t="n"/>
      <c r="C43" s="168" t="inlineStr">
        <is>
          <t>91.06.01-003</t>
        </is>
      </c>
      <c r="D43" s="267" t="inlineStr">
        <is>
          <t>Домкраты гидравлические, грузоподъемность 63-100 т</t>
        </is>
      </c>
      <c r="E43" s="268" t="inlineStr">
        <is>
          <t>маш.час</t>
        </is>
      </c>
      <c r="F43" s="268" t="n">
        <v>27.18</v>
      </c>
      <c r="G43" s="270" t="n">
        <v>0.9</v>
      </c>
      <c r="H43" s="32">
        <f>ROUND(F43*G43,2)</f>
        <v/>
      </c>
    </row>
    <row r="44">
      <c r="A44" s="268">
        <f>A43+1</f>
        <v/>
      </c>
      <c r="B44" s="168" t="n"/>
      <c r="C44" s="168" t="inlineStr">
        <is>
          <t>91.13.01-038</t>
        </is>
      </c>
      <c r="D44" s="267" t="inlineStr">
        <is>
          <t>Машины поливомоечные 6000 л</t>
        </is>
      </c>
      <c r="E44" s="268" t="inlineStr">
        <is>
          <t>маш.час</t>
        </is>
      </c>
      <c r="F44" s="268" t="n">
        <v>0.2</v>
      </c>
      <c r="G44" s="270" t="n">
        <v>110</v>
      </c>
      <c r="H44" s="32">
        <f>ROUND(F44*G44,2)</f>
        <v/>
      </c>
    </row>
    <row r="45" ht="25.5" customHeight="1" s="211">
      <c r="A45" s="268">
        <f>A44+1</f>
        <v/>
      </c>
      <c r="B45" s="168" t="n"/>
      <c r="C45" s="168" t="inlineStr">
        <is>
          <t>91.01.05-104</t>
        </is>
      </c>
      <c r="D45" s="267" t="inlineStr">
        <is>
          <t>Экскаваторы одноковшовые дизельные на пневмоколесном ходу, емкость ковша 0,4 м3</t>
        </is>
      </c>
      <c r="E45" s="268" t="inlineStr">
        <is>
          <t>маш.час</t>
        </is>
      </c>
      <c r="F45" s="268" t="n">
        <v>0.15</v>
      </c>
      <c r="G45" s="270" t="n">
        <v>98.90000000000001</v>
      </c>
      <c r="H45" s="32">
        <f>ROUND(F45*G45,2)</f>
        <v/>
      </c>
    </row>
    <row r="46" ht="38.25" customHeight="1" s="211">
      <c r="A46" s="268">
        <f>A45+1</f>
        <v/>
      </c>
      <c r="B46" s="168" t="n"/>
      <c r="C46" s="168" t="inlineStr">
        <is>
          <t>91.18.01-007</t>
        </is>
      </c>
      <c r="D46" s="26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6" s="268" t="inlineStr">
        <is>
          <t>маш.час</t>
        </is>
      </c>
      <c r="F46" s="268" t="n">
        <v>0.15</v>
      </c>
      <c r="G46" s="270" t="n">
        <v>90</v>
      </c>
      <c r="H46" s="32">
        <f>ROUND(F46*G46,2)</f>
        <v/>
      </c>
    </row>
    <row r="47">
      <c r="A47" s="268">
        <f>A46+1</f>
        <v/>
      </c>
      <c r="B47" s="168" t="n"/>
      <c r="C47" s="168" t="inlineStr">
        <is>
          <t>91.21.12-002</t>
        </is>
      </c>
      <c r="D47" s="267" t="inlineStr">
        <is>
          <t>Ножницы листовые кривошипные гильотинные</t>
        </is>
      </c>
      <c r="E47" s="268" t="inlineStr">
        <is>
          <t>маш.час</t>
        </is>
      </c>
      <c r="F47" s="268" t="n">
        <v>0.06</v>
      </c>
      <c r="G47" s="270" t="n">
        <v>70</v>
      </c>
      <c r="H47" s="32">
        <f>ROUND(F47*G47,2)</f>
        <v/>
      </c>
    </row>
    <row r="48">
      <c r="A48" s="268">
        <f>A47+1</f>
        <v/>
      </c>
      <c r="B48" s="168" t="n"/>
      <c r="C48" s="168" t="inlineStr">
        <is>
          <t>91.21.16-014</t>
        </is>
      </c>
      <c r="D48" s="267" t="inlineStr">
        <is>
          <t>Пресс: листогибочный кривошипный 1000 кН (100 тс)</t>
        </is>
      </c>
      <c r="E48" s="268" t="inlineStr">
        <is>
          <t>маш.час</t>
        </is>
      </c>
      <c r="F48" s="268" t="n">
        <v>0.06</v>
      </c>
      <c r="G48" s="270" t="n">
        <v>56.24</v>
      </c>
      <c r="H48" s="32">
        <f>ROUND(F48*G48,2)</f>
        <v/>
      </c>
    </row>
    <row r="49">
      <c r="A49" s="268">
        <f>A48+1</f>
        <v/>
      </c>
      <c r="B49" s="168" t="n"/>
      <c r="C49" s="168" t="inlineStr">
        <is>
          <t>91.21.16-013</t>
        </is>
      </c>
      <c r="D49" s="267" t="inlineStr">
        <is>
          <t>Пресс: кривошипный простого действия 25 кН (2,5 тс)</t>
        </is>
      </c>
      <c r="E49" s="268" t="inlineStr">
        <is>
          <t>маш.час</t>
        </is>
      </c>
      <c r="F49" s="268" t="n">
        <v>0.06</v>
      </c>
      <c r="G49" s="270" t="n">
        <v>16.92</v>
      </c>
      <c r="H49" s="32">
        <f>ROUND(F49*G49,2)</f>
        <v/>
      </c>
    </row>
    <row r="50" ht="25.5" customHeight="1" s="211">
      <c r="A50" s="268">
        <f>A49+1</f>
        <v/>
      </c>
      <c r="B50" s="168" t="n"/>
      <c r="C50" s="168" t="inlineStr">
        <is>
          <t>91.21.01-012</t>
        </is>
      </c>
      <c r="D50" s="267" t="inlineStr">
        <is>
          <t>Агрегаты окрасочные высокого давления для окраски поверхностей конструкций, мощность 1 кВт</t>
        </is>
      </c>
      <c r="E50" s="268" t="inlineStr">
        <is>
          <t>маш.час</t>
        </is>
      </c>
      <c r="F50" s="268" t="n">
        <v>0.13</v>
      </c>
      <c r="G50" s="270" t="n">
        <v>6.82</v>
      </c>
      <c r="H50" s="32">
        <f>ROUND(F50*G50,2)</f>
        <v/>
      </c>
    </row>
    <row r="51" ht="25.5" customHeight="1" s="211">
      <c r="A51" s="268">
        <f>A50+1</f>
        <v/>
      </c>
      <c r="B51" s="168" t="n"/>
      <c r="C51" s="168" t="inlineStr">
        <is>
          <t>91.08.09-023</t>
        </is>
      </c>
      <c r="D51" s="267" t="inlineStr">
        <is>
          <t>Трамбовки пневматические при работе от: передвижных компрессорных станций</t>
        </is>
      </c>
      <c r="E51" s="268" t="inlineStr">
        <is>
          <t>маш.час</t>
        </is>
      </c>
      <c r="F51" s="268" t="n">
        <v>0.58</v>
      </c>
      <c r="G51" s="270" t="n">
        <v>0.55</v>
      </c>
      <c r="H51" s="32">
        <f>ROUND(F51*G51,2)</f>
        <v/>
      </c>
    </row>
    <row r="52">
      <c r="A52" s="268">
        <f>A51+1</f>
        <v/>
      </c>
      <c r="B52" s="168" t="n"/>
      <c r="C52" s="168" t="inlineStr">
        <is>
          <t>91.21.19-031</t>
        </is>
      </c>
      <c r="D52" s="267" t="inlineStr">
        <is>
          <t>Станок: сверлильный</t>
        </is>
      </c>
      <c r="E52" s="268" t="inlineStr">
        <is>
          <t>маш.час</t>
        </is>
      </c>
      <c r="F52" s="268" t="n">
        <v>0.06</v>
      </c>
      <c r="G52" s="270" t="n">
        <v>2.36</v>
      </c>
      <c r="H52" s="32">
        <f>ROUND(F52*G52,2)</f>
        <v/>
      </c>
    </row>
    <row r="53" ht="15" customHeight="1" s="211">
      <c r="A53" s="258" t="inlineStr">
        <is>
          <t>Оборудование</t>
        </is>
      </c>
      <c r="B53" s="328" t="n"/>
      <c r="C53" s="328" t="n"/>
      <c r="D53" s="329" t="n"/>
      <c r="E53" s="162" t="n"/>
      <c r="F53" s="163" t="n"/>
      <c r="G53" s="158" t="n"/>
      <c r="H53" s="177">
        <f>SUM(H54:H56)</f>
        <v/>
      </c>
    </row>
    <row r="54" ht="63.75" customHeight="1" s="211">
      <c r="A54" s="268">
        <f>A52+1</f>
        <v/>
      </c>
      <c r="B54" s="258" t="n"/>
      <c r="C54" s="168" t="inlineStr">
        <is>
          <t>Прайс из СД ОП</t>
        </is>
      </c>
      <c r="D54" s="267" t="inlineStr">
        <is>
          <t xml:space="preserve">Трансформатор тока однофазный элегазовый номинальное напряжение 500 кВ коэффициент трансформации 1000-2000/1А; номинальная мощность вторичных обмоток 10/10/50/50/50/50 ВА; ТОГП-500 УХЛ1 </t>
        </is>
      </c>
      <c r="E54" s="268" t="inlineStr">
        <is>
          <t>шт.</t>
        </is>
      </c>
      <c r="F54" s="268" t="n">
        <v>6</v>
      </c>
      <c r="G54" s="270" t="n">
        <v>503432.03</v>
      </c>
      <c r="H54" s="32" t="n">
        <v>3020592.18</v>
      </c>
    </row>
    <row r="55" ht="15" customHeight="1" s="211">
      <c r="A55" s="268" t="n">
        <v>40</v>
      </c>
      <c r="B55" s="258" t="n"/>
      <c r="C55" s="168" t="inlineStr">
        <is>
          <t>Прайс из СД ОП</t>
        </is>
      </c>
      <c r="D55" s="267" t="inlineStr">
        <is>
          <t>Коробка зажимов КЗ-11</t>
        </is>
      </c>
      <c r="E55" s="268" t="inlineStr">
        <is>
          <t>шт.</t>
        </is>
      </c>
      <c r="F55" s="268" t="n">
        <v>2</v>
      </c>
      <c r="G55" s="270" t="n">
        <v>1485.03</v>
      </c>
      <c r="H55" s="32" t="n">
        <v>2970.06</v>
      </c>
    </row>
    <row r="56" ht="15" customHeight="1" s="211">
      <c r="A56" s="268" t="n">
        <v>41</v>
      </c>
      <c r="B56" s="258" t="n"/>
      <c r="C56" s="168" t="inlineStr">
        <is>
          <t>Прайс из СД ОП</t>
        </is>
      </c>
      <c r="D56" s="267" t="inlineStr">
        <is>
          <t>Коробка зажимов КЗ-11-АСКУЭ</t>
        </is>
      </c>
      <c r="E56" s="268" t="inlineStr">
        <is>
          <t>шт.</t>
        </is>
      </c>
      <c r="F56" s="268" t="n">
        <v>2</v>
      </c>
      <c r="G56" s="270" t="n">
        <v>777.96</v>
      </c>
      <c r="H56" s="32" t="n">
        <v>1555.92</v>
      </c>
    </row>
    <row r="57" ht="15" customHeight="1" s="211">
      <c r="A57" s="257" t="inlineStr">
        <is>
          <t>Материалы</t>
        </is>
      </c>
      <c r="B57" s="328" t="n"/>
      <c r="C57" s="328" t="n"/>
      <c r="D57" s="329" t="n"/>
      <c r="E57" s="169" t="n"/>
      <c r="F57" s="169" t="n"/>
      <c r="G57" s="157" t="n"/>
      <c r="H57" s="174">
        <f>SUM(H58:H124)</f>
        <v/>
      </c>
    </row>
    <row r="58" ht="25.5" customHeight="1" s="211">
      <c r="A58" s="268">
        <f>A56+1</f>
        <v/>
      </c>
      <c r="B58" s="168" t="n"/>
      <c r="C58" s="168" t="inlineStr">
        <is>
          <t>07.2.07.04-0004</t>
        </is>
      </c>
      <c r="D58" s="267" t="inlineStr">
        <is>
          <t>Конструкции стальные индивидуальные решетчатые сварные, масса 0,5-1 т</t>
        </is>
      </c>
      <c r="E58" s="268" t="inlineStr">
        <is>
          <t>т</t>
        </is>
      </c>
      <c r="F58" s="268" t="n">
        <v>3.012</v>
      </c>
      <c r="G58" s="270" t="n">
        <v>10367.82</v>
      </c>
      <c r="H58" s="32">
        <f>ROUND(F58*G58,2)</f>
        <v/>
      </c>
      <c r="I58" s="142" t="n"/>
    </row>
    <row r="59" ht="38.25" customHeight="1" s="211">
      <c r="A59" s="268">
        <f>A58+1</f>
        <v/>
      </c>
      <c r="B59" s="168" t="n"/>
      <c r="C59" s="161" t="inlineStr">
        <is>
          <t>05.1.05.16-0131</t>
        </is>
      </c>
      <c r="D59" s="267" t="inlineStr">
        <is>
          <t>Сваи железобетонные С 120.35-12, бетон B25, объем 1,49 м3, расход арматуры 165,3 кг (прим. Свая СВС(л)219/4500(6)-500)</t>
        </is>
      </c>
      <c r="E59" s="268" t="inlineStr">
        <is>
          <t>шт</t>
        </is>
      </c>
      <c r="F59" s="181" t="n">
        <v>24</v>
      </c>
      <c r="G59" s="270" t="n">
        <v>2537.75</v>
      </c>
      <c r="H59" s="32">
        <f>ROUND(F59*G59,2)</f>
        <v/>
      </c>
    </row>
    <row r="60" ht="25.5" customHeight="1" s="211">
      <c r="A60" s="268">
        <f>A59+1</f>
        <v/>
      </c>
      <c r="B60" s="168" t="n"/>
      <c r="C60" s="161" t="inlineStr">
        <is>
          <t>08.3.05.05-0057</t>
        </is>
      </c>
      <c r="D60" s="267" t="inlineStr">
        <is>
          <t>Сталь листовая оцинкованная, толщина 0,75 мм (прим. Лист L=70 8х70 оцинков.)</t>
        </is>
      </c>
      <c r="E60" s="268" t="inlineStr">
        <is>
          <t>т</t>
        </is>
      </c>
      <c r="F60" s="181" t="n">
        <v>0.60096</v>
      </c>
      <c r="G60" s="270" t="n">
        <v>11144</v>
      </c>
      <c r="H60" s="32">
        <f>ROUND(F60*G60,2)</f>
        <v/>
      </c>
    </row>
    <row r="61" ht="25.5" customHeight="1" s="211">
      <c r="A61" s="268">
        <f>A60+1</f>
        <v/>
      </c>
      <c r="B61" s="168" t="n"/>
      <c r="C61" s="168" t="inlineStr">
        <is>
          <t>21.1.06.10-0411</t>
        </is>
      </c>
      <c r="D61" s="267" t="inlineStr">
        <is>
          <t>Кабель силовой с медными жилами ВВГнг(A)-LS 5х16мк(N, РЕ)-1000</t>
        </is>
      </c>
      <c r="E61" s="268" t="inlineStr">
        <is>
          <t>1000 м</t>
        </is>
      </c>
      <c r="F61" s="268">
        <f>0.015*3*2</f>
        <v/>
      </c>
      <c r="G61" s="270" t="n">
        <v>98440.41</v>
      </c>
      <c r="H61" s="32">
        <f>ROUND(F61*G61,2)</f>
        <v/>
      </c>
    </row>
    <row r="62" ht="25.5" customHeight="1" s="211">
      <c r="A62" s="268">
        <f>A61+1</f>
        <v/>
      </c>
      <c r="B62" s="168" t="n"/>
      <c r="C62" s="168" t="inlineStr">
        <is>
          <t>05.1.05.03-0003</t>
        </is>
      </c>
      <c r="D62" s="267" t="inlineStr">
        <is>
          <t>Оголовки для свайных фундаментов ОГ 1/ бетон B30, объем 0,05 м3, расход арматуры 4,02 кг</t>
        </is>
      </c>
      <c r="E62" s="268" t="inlineStr">
        <is>
          <t>шт</t>
        </is>
      </c>
      <c r="F62" s="268" t="n">
        <v>24</v>
      </c>
      <c r="G62" s="270" t="n">
        <v>82.44</v>
      </c>
      <c r="H62" s="32">
        <f>ROUND(F62*G62,2)</f>
        <v/>
      </c>
    </row>
    <row r="63" ht="25.5" customHeight="1" s="211">
      <c r="A63" s="268">
        <f>A62+1</f>
        <v/>
      </c>
      <c r="B63" s="168" t="n"/>
      <c r="C63" s="168" t="inlineStr">
        <is>
          <t>08.3.11.01-0062</t>
        </is>
      </c>
      <c r="D63" s="267" t="inlineStr">
        <is>
          <t>Швеллеры: № 24 сталь марки Ст3пс (Швеллер 24П, L=1350 мм оцинков.)</t>
        </is>
      </c>
      <c r="E63" s="268" t="inlineStr">
        <is>
          <t>т</t>
        </is>
      </c>
      <c r="F63" s="268">
        <f>24*1.35*24/1000</f>
        <v/>
      </c>
      <c r="G63" s="270" t="n">
        <v>4600</v>
      </c>
      <c r="H63" s="32">
        <f>ROUND(F63*G63,2)</f>
        <v/>
      </c>
    </row>
    <row r="64" ht="25.5" customHeight="1" s="211">
      <c r="A64" s="268">
        <f>A63+1</f>
        <v/>
      </c>
      <c r="B64" s="168" t="n"/>
      <c r="C64" s="168" t="inlineStr">
        <is>
          <t>01.5.02.04-0011</t>
        </is>
      </c>
      <c r="D64" s="267" t="inlineStr">
        <is>
          <t>Экран шумозащитный, марка "ТрансТехКомпозит" (Экран Эк-1)</t>
        </is>
      </c>
      <c r="E64" s="268" t="inlineStr">
        <is>
          <t>м2</t>
        </is>
      </c>
      <c r="F64" s="268" t="n">
        <v>2</v>
      </c>
      <c r="G64" s="270" t="n">
        <v>3754.74</v>
      </c>
      <c r="H64" s="32">
        <f>ROUND(F64*G64,2)</f>
        <v/>
      </c>
    </row>
    <row r="65" ht="25.5" customHeight="1" s="211">
      <c r="A65" s="268">
        <f>A64+1</f>
        <v/>
      </c>
      <c r="B65" s="168" t="n"/>
      <c r="C65" s="168" t="inlineStr">
        <is>
          <t>08.3.11.01-0062</t>
        </is>
      </c>
      <c r="D65" s="267" t="inlineStr">
        <is>
          <t>Швеллеры: № 24 сталь марки Ст3пс (Швеллер 24П, L=1500 мм оцинков.)</t>
        </is>
      </c>
      <c r="E65" s="268" t="inlineStr">
        <is>
          <t>т</t>
        </is>
      </c>
      <c r="F65" s="268">
        <f>24*1.5*12/1000</f>
        <v/>
      </c>
      <c r="G65" s="270" t="n">
        <v>4600</v>
      </c>
      <c r="H65" s="32">
        <f>ROUND(F65*G65,2)</f>
        <v/>
      </c>
    </row>
    <row r="66">
      <c r="A66" s="268">
        <f>A65+1</f>
        <v/>
      </c>
      <c r="B66" s="168" t="n"/>
      <c r="C66" s="168" t="inlineStr">
        <is>
          <t>21.1.08.03-0574</t>
        </is>
      </c>
      <c r="D66" s="267" t="inlineStr">
        <is>
          <t>Кабель контрольный КВВГЭнг(А)-LS 4x2,5</t>
        </is>
      </c>
      <c r="E66" s="268" t="inlineStr">
        <is>
          <t>1000 м</t>
        </is>
      </c>
      <c r="F66" s="268">
        <f>0.022*3*2</f>
        <v/>
      </c>
      <c r="G66" s="270" t="n">
        <v>38348.22</v>
      </c>
      <c r="H66" s="32">
        <f>ROUND(F66*G66,2)</f>
        <v/>
      </c>
    </row>
    <row r="67" ht="25.5" customHeight="1" s="211">
      <c r="A67" s="268">
        <f>A66+1</f>
        <v/>
      </c>
      <c r="B67" s="168" t="n"/>
      <c r="C67" s="168" t="inlineStr">
        <is>
          <t>05.1.01.10-0131</t>
        </is>
      </c>
      <c r="D67" s="267" t="inlineStr">
        <is>
          <t>Лотки каналов и тоннелей железобетонные для прокладки коммуникаций</t>
        </is>
      </c>
      <c r="E67" s="268" t="inlineStr">
        <is>
          <t>м3</t>
        </is>
      </c>
      <c r="F67" s="268">
        <f>0.28*2</f>
        <v/>
      </c>
      <c r="G67" s="270" t="n">
        <v>1837.28</v>
      </c>
      <c r="H67" s="32">
        <f>ROUND(F67*G67,2)</f>
        <v/>
      </c>
    </row>
    <row r="68">
      <c r="A68" s="268">
        <f>A67+1</f>
        <v/>
      </c>
      <c r="B68" s="168" t="n"/>
      <c r="C68" s="168" t="inlineStr">
        <is>
          <t>02.2.05.04-1777</t>
        </is>
      </c>
      <c r="D68" s="267" t="inlineStr">
        <is>
          <t>Щебень М 800, фракция 20-40 мм, группа 2</t>
        </is>
      </c>
      <c r="E68" s="268" t="inlineStr">
        <is>
          <t>м3</t>
        </is>
      </c>
      <c r="F68" s="268">
        <f>1.6*1*2</f>
        <v/>
      </c>
      <c r="G68" s="270" t="n">
        <v>108.4</v>
      </c>
      <c r="H68" s="32">
        <f>ROUND(F68*G68,2)</f>
        <v/>
      </c>
    </row>
    <row r="69">
      <c r="A69" s="268">
        <f>A68+1</f>
        <v/>
      </c>
      <c r="B69" s="168" t="n"/>
      <c r="C69" s="168" t="inlineStr">
        <is>
          <t>20.1.01.02-0012</t>
        </is>
      </c>
      <c r="D69" s="267" t="inlineStr">
        <is>
          <t>Зажим аппаратный прессуемый: 2А6А-500-4</t>
        </is>
      </c>
      <c r="E69" s="268" t="inlineStr">
        <is>
          <t>100 шт</t>
        </is>
      </c>
      <c r="F69" s="268" t="n">
        <v>0.12</v>
      </c>
      <c r="G69" s="270" t="n">
        <v>40971</v>
      </c>
      <c r="H69" s="32">
        <f>ROUND(F69*G69,2)</f>
        <v/>
      </c>
    </row>
    <row r="70" ht="51" customHeight="1" s="211">
      <c r="A70" s="268">
        <f>A69+1</f>
        <v/>
      </c>
      <c r="B70" s="168" t="n"/>
      <c r="C70" s="168" t="inlineStr">
        <is>
          <t>21.2.01.02-0102</t>
        </is>
      </c>
      <c r="D70" s="26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E70" s="268" t="inlineStr">
        <is>
          <t>т</t>
        </is>
      </c>
      <c r="F70" s="268" t="n">
        <v>0.11322</v>
      </c>
      <c r="G70" s="270" t="n">
        <v>35127.27</v>
      </c>
      <c r="H70" s="32">
        <f>ROUND(F70*G70,2)</f>
        <v/>
      </c>
    </row>
    <row r="71" ht="25.5" customHeight="1" s="211">
      <c r="A71" s="268">
        <f>A70+1</f>
        <v/>
      </c>
      <c r="B71" s="168" t="n"/>
      <c r="C71" s="168" t="inlineStr">
        <is>
          <t>01.7.15.03-0036</t>
        </is>
      </c>
      <c r="D71" s="267" t="inlineStr">
        <is>
          <t>Болты с гайками и шайбами оцинкованные, диаметр: 24 мм</t>
        </is>
      </c>
      <c r="E71" s="268" t="inlineStr">
        <is>
          <t>кг</t>
        </is>
      </c>
      <c r="F71" s="268" t="n">
        <v>127.54176</v>
      </c>
      <c r="G71" s="270" t="n">
        <v>24.79</v>
      </c>
      <c r="H71" s="32">
        <f>ROUND(F71*G71,2)</f>
        <v/>
      </c>
    </row>
    <row r="72" ht="25.5" customHeight="1" s="211">
      <c r="A72" s="268">
        <f>A71+1</f>
        <v/>
      </c>
      <c r="B72" s="168" t="n"/>
      <c r="C72" s="168" t="inlineStr">
        <is>
          <t>08.3.11.01-0049</t>
        </is>
      </c>
      <c r="D72" s="267" t="inlineStr">
        <is>
          <t>Швеллеры № 10, марка стали Ст3пс (Швеллер 10П, L=600 мм оцинков.)</t>
        </is>
      </c>
      <c r="E72" s="268" t="inlineStr">
        <is>
          <t>т</t>
        </is>
      </c>
      <c r="F72" s="268">
        <f>8.59*0.6*16/1000</f>
        <v/>
      </c>
      <c r="G72" s="270" t="n">
        <v>4900</v>
      </c>
      <c r="H72" s="32">
        <f>ROUND(F72*G72,2)</f>
        <v/>
      </c>
    </row>
    <row r="73">
      <c r="A73" s="268">
        <f>A72+1</f>
        <v/>
      </c>
      <c r="B73" s="168" t="n"/>
      <c r="C73" s="168" t="inlineStr">
        <is>
          <t>04.1.02.05-0001</t>
        </is>
      </c>
      <c r="D73" s="267" t="inlineStr">
        <is>
          <t>Бетон тяжелый, класс: В3,5 (М50)</t>
        </is>
      </c>
      <c r="E73" s="268" t="inlineStr">
        <is>
          <t>м3</t>
        </is>
      </c>
      <c r="F73" s="268" t="n">
        <v>2.4</v>
      </c>
      <c r="G73" s="270" t="n">
        <v>545.6</v>
      </c>
      <c r="H73" s="32">
        <f>ROUND(F73*G73,2)</f>
        <v/>
      </c>
    </row>
    <row r="74">
      <c r="A74" s="268">
        <f>A73+1</f>
        <v/>
      </c>
      <c r="B74" s="168" t="n"/>
      <c r="C74" s="168" t="inlineStr">
        <is>
          <t>08.3.07.01-0043</t>
        </is>
      </c>
      <c r="D74" s="267" t="inlineStr">
        <is>
          <t>Сталь полосовая: 40х5 мм, марка Ст3сп</t>
        </is>
      </c>
      <c r="E74" s="268" t="inlineStr">
        <is>
          <t>т</t>
        </is>
      </c>
      <c r="F74" s="268" t="n">
        <v>0.1884</v>
      </c>
      <c r="G74" s="270" t="n">
        <v>6159.22</v>
      </c>
      <c r="H74" s="32">
        <f>ROUND(F74*G74,2)</f>
        <v/>
      </c>
    </row>
    <row r="75" ht="25.5" customHeight="1" s="211">
      <c r="A75" s="268">
        <f>A74+1</f>
        <v/>
      </c>
      <c r="B75" s="168" t="n"/>
      <c r="C75" s="168" t="inlineStr">
        <is>
          <t>08.3.11.01-0049</t>
        </is>
      </c>
      <c r="D75" s="267" t="inlineStr">
        <is>
          <t>Швеллеры № 10, марка стали Ст3пс (Швеллер 10П, L=490 мм оцинков.)</t>
        </is>
      </c>
      <c r="E75" s="268" t="inlineStr">
        <is>
          <t>т</t>
        </is>
      </c>
      <c r="F75" s="268">
        <f>8.59*0.49*8/1000</f>
        <v/>
      </c>
      <c r="G75" s="270" t="n">
        <v>4900</v>
      </c>
      <c r="H75" s="32">
        <f>ROUND(F75*G75,2)</f>
        <v/>
      </c>
    </row>
    <row r="76">
      <c r="A76" s="268">
        <f>A75+1</f>
        <v/>
      </c>
      <c r="B76" s="168" t="n"/>
      <c r="C76" s="168" t="inlineStr">
        <is>
          <t>14.4.02.09-0301</t>
        </is>
      </c>
      <c r="D76" s="267" t="inlineStr">
        <is>
          <t>Краска "Цинол"</t>
        </is>
      </c>
      <c r="E76" s="268" t="inlineStr">
        <is>
          <t>кг</t>
        </is>
      </c>
      <c r="F76" s="268" t="n">
        <v>3.936</v>
      </c>
      <c r="G76" s="270" t="n">
        <v>238.48</v>
      </c>
      <c r="H76" s="32">
        <f>ROUND(F76*G76,2)</f>
        <v/>
      </c>
    </row>
    <row r="77">
      <c r="A77" s="268">
        <f>A76+1</f>
        <v/>
      </c>
      <c r="B77" s="168" t="n"/>
      <c r="C77" s="168" t="inlineStr">
        <is>
          <t>01.7.11.07-0032</t>
        </is>
      </c>
      <c r="D77" s="267" t="inlineStr">
        <is>
          <t>Электроды диаметром: 4 мм Э42</t>
        </is>
      </c>
      <c r="E77" s="268" t="inlineStr">
        <is>
          <t>т</t>
        </is>
      </c>
      <c r="F77" s="268" t="n">
        <v>0.085357</v>
      </c>
      <c r="G77" s="270" t="n">
        <v>10315.01</v>
      </c>
      <c r="H77" s="32">
        <f>ROUND(F77*G77,2)</f>
        <v/>
      </c>
    </row>
    <row r="78" ht="25.5" customHeight="1" s="211">
      <c r="A78" s="268">
        <f>A77+1</f>
        <v/>
      </c>
      <c r="B78" s="168" t="n"/>
      <c r="C78" s="168" t="inlineStr">
        <is>
          <t>07.2.07.04-0007</t>
        </is>
      </c>
      <c r="D78" s="267" t="inlineStr">
        <is>
          <t>Конструкции стальные индивидуальные: решетчатые сварные массой до 0,1 т</t>
        </is>
      </c>
      <c r="E78" s="268" t="inlineStr">
        <is>
          <t>т</t>
        </is>
      </c>
      <c r="F78" s="268" t="n">
        <v>0.066</v>
      </c>
      <c r="G78" s="270" t="n">
        <v>11500</v>
      </c>
      <c r="H78" s="32">
        <f>ROUND(F78*G78,2)</f>
        <v/>
      </c>
    </row>
    <row r="79" ht="25.5" customHeight="1" s="211">
      <c r="A79" s="268">
        <f>A78+1</f>
        <v/>
      </c>
      <c r="B79" s="168" t="n"/>
      <c r="C79" s="168" t="inlineStr">
        <is>
          <t>08.3.07.01-0076</t>
        </is>
      </c>
      <c r="D79" s="267" t="inlineStr">
        <is>
          <t>Сталь полосовая, марка стали: Ст3сп шириной 50-200 мм толщиной 4-5 мм</t>
        </is>
      </c>
      <c r="E79" s="268" t="inlineStr">
        <is>
          <t>т</t>
        </is>
      </c>
      <c r="F79" s="268" t="n">
        <v>0.09968</v>
      </c>
      <c r="G79" s="270" t="n">
        <v>5000</v>
      </c>
      <c r="H79" s="32">
        <f>ROUND(F79*G79,2)</f>
        <v/>
      </c>
    </row>
    <row r="80">
      <c r="A80" s="268">
        <f>A79+1</f>
        <v/>
      </c>
      <c r="B80" s="168" t="n"/>
      <c r="C80" s="168" t="inlineStr">
        <is>
          <t>01.7.17.11-0001</t>
        </is>
      </c>
      <c r="D80" s="267" t="inlineStr">
        <is>
          <t>Бумага шлифовальная</t>
        </is>
      </c>
      <c r="E80" s="268" t="inlineStr">
        <is>
          <t>кг</t>
        </is>
      </c>
      <c r="F80" s="268" t="n">
        <v>8</v>
      </c>
      <c r="G80" s="270" t="n">
        <v>50</v>
      </c>
      <c r="H80" s="32">
        <f>ROUND(F80*G80,2)</f>
        <v/>
      </c>
    </row>
    <row r="81">
      <c r="A81" s="268">
        <f>A80+1</f>
        <v/>
      </c>
      <c r="B81" s="168" t="n"/>
      <c r="C81" s="168" t="inlineStr">
        <is>
          <t>20.1.01.02-0067</t>
        </is>
      </c>
      <c r="D81" s="267" t="inlineStr">
        <is>
          <t>Зажим аппаратный прессуемый: А4А-400-2</t>
        </is>
      </c>
      <c r="E81" s="268" t="inlineStr">
        <is>
          <t>100 шт</t>
        </is>
      </c>
      <c r="F81" s="268" t="n">
        <v>0.06</v>
      </c>
      <c r="G81" s="270" t="n">
        <v>6505</v>
      </c>
      <c r="H81" s="32">
        <f>ROUND(F81*G81,2)</f>
        <v/>
      </c>
    </row>
    <row r="82">
      <c r="A82" s="268">
        <f>A81+1</f>
        <v/>
      </c>
      <c r="B82" s="168" t="n"/>
      <c r="C82" s="168" t="inlineStr">
        <is>
          <t>20.2.11.01-0008</t>
        </is>
      </c>
      <c r="D82" s="267" t="inlineStr">
        <is>
          <t>Распорка дистанционная: глухая РГ-3-500</t>
        </is>
      </c>
      <c r="E82" s="268" t="inlineStr">
        <is>
          <t>шт</t>
        </is>
      </c>
      <c r="F82" s="268" t="n">
        <v>12</v>
      </c>
      <c r="G82" s="270" t="n">
        <v>30.58</v>
      </c>
      <c r="H82" s="32">
        <f>ROUND(F82*G82,2)</f>
        <v/>
      </c>
    </row>
    <row r="83" ht="25.5" customHeight="1" s="211">
      <c r="A83" s="268">
        <f>A82+1</f>
        <v/>
      </c>
      <c r="B83" s="168" t="n"/>
      <c r="C83" s="168" t="inlineStr">
        <is>
          <t>20.1.02.23-0121</t>
        </is>
      </c>
      <c r="D83" s="267" t="inlineStr">
        <is>
          <t>Проводник заземляющий П-750 (прим. Перемычка ПГС 95-280)</t>
        </is>
      </c>
      <c r="E83" s="268" t="inlineStr">
        <is>
          <t>шт</t>
        </is>
      </c>
      <c r="F83" s="268" t="n">
        <v>8</v>
      </c>
      <c r="G83" s="270" t="n">
        <v>13.55</v>
      </c>
      <c r="H83" s="32">
        <f>ROUND(F83*G83,2)</f>
        <v/>
      </c>
    </row>
    <row r="84">
      <c r="A84" s="268">
        <f>A83+1</f>
        <v/>
      </c>
      <c r="B84" s="168" t="n"/>
      <c r="C84" s="168" t="inlineStr">
        <is>
          <t>14.4.02.09-0301</t>
        </is>
      </c>
      <c r="D84" s="267" t="inlineStr">
        <is>
          <t>Краска "Цинол"</t>
        </is>
      </c>
      <c r="E84" s="268" t="inlineStr">
        <is>
          <t>кг</t>
        </is>
      </c>
      <c r="F84" s="268" t="n">
        <v>0.921408</v>
      </c>
      <c r="G84" s="270" t="n">
        <v>238.48</v>
      </c>
      <c r="H84" s="32">
        <f>ROUND(F84*G84,2)</f>
        <v/>
      </c>
    </row>
    <row r="85">
      <c r="A85" s="268">
        <f>A84+1</f>
        <v/>
      </c>
      <c r="B85" s="168" t="n"/>
      <c r="C85" s="168" t="inlineStr">
        <is>
          <t>20.2.08.01-0003</t>
        </is>
      </c>
      <c r="D85" s="267" t="inlineStr">
        <is>
          <t>DIN-рейка металлическая ТН 35/7,5 длина 1000 мм</t>
        </is>
      </c>
      <c r="E85" s="268" t="inlineStr">
        <is>
          <t>100 шт</t>
        </is>
      </c>
      <c r="F85" s="268" t="n">
        <v>0.02</v>
      </c>
      <c r="G85" s="270" t="n">
        <v>985</v>
      </c>
      <c r="H85" s="32">
        <f>ROUND(F85*G85,2)</f>
        <v/>
      </c>
    </row>
    <row r="86">
      <c r="A86" s="268">
        <f>A85+1</f>
        <v/>
      </c>
      <c r="B86" s="168" t="n"/>
      <c r="C86" s="168" t="inlineStr">
        <is>
          <t>18.5.08.09-0001</t>
        </is>
      </c>
      <c r="D86" s="267" t="inlineStr">
        <is>
          <t>Патрубки</t>
        </is>
      </c>
      <c r="E86" s="268" t="inlineStr">
        <is>
          <t>10 шт.</t>
        </is>
      </c>
      <c r="F86" s="268" t="n">
        <v>0.76</v>
      </c>
      <c r="G86" s="270" t="n">
        <v>277.5</v>
      </c>
      <c r="H86" s="32">
        <f>ROUND(F86*G86,2)</f>
        <v/>
      </c>
    </row>
    <row r="87">
      <c r="A87" s="268">
        <f>A86+1</f>
        <v/>
      </c>
      <c r="B87" s="168" t="n"/>
      <c r="C87" s="168" t="inlineStr">
        <is>
          <t>01.7.15.03-0042</t>
        </is>
      </c>
      <c r="D87" s="267" t="inlineStr">
        <is>
          <t>Болты с гайками и шайбами строительные</t>
        </is>
      </c>
      <c r="E87" s="268" t="inlineStr">
        <is>
          <t>кг</t>
        </is>
      </c>
      <c r="F87" s="268" t="n">
        <v>17.415</v>
      </c>
      <c r="G87" s="270" t="n">
        <v>9.039999999999999</v>
      </c>
      <c r="H87" s="32">
        <f>ROUND(F87*G87,2)</f>
        <v/>
      </c>
    </row>
    <row r="88">
      <c r="A88" s="268">
        <f>A87+1</f>
        <v/>
      </c>
      <c r="B88" s="168" t="n"/>
      <c r="C88" s="168" t="inlineStr">
        <is>
          <t>14.4.02.09-0001</t>
        </is>
      </c>
      <c r="D88" s="267" t="inlineStr">
        <is>
          <t>Краска</t>
        </is>
      </c>
      <c r="E88" s="268" t="inlineStr">
        <is>
          <t>кг</t>
        </is>
      </c>
      <c r="F88" s="268" t="n">
        <v>4.188</v>
      </c>
      <c r="G88" s="270" t="n">
        <v>28.6</v>
      </c>
      <c r="H88" s="32">
        <f>ROUND(F88*G88,2)</f>
        <v/>
      </c>
    </row>
    <row r="89">
      <c r="A89" s="268">
        <f>A88+1</f>
        <v/>
      </c>
      <c r="B89" s="168" t="n"/>
      <c r="C89" s="168" t="inlineStr">
        <is>
          <t>01.7.11.07-0034</t>
        </is>
      </c>
      <c r="D89" s="267" t="inlineStr">
        <is>
          <t>Электроды диаметром: 4 мм Э42А</t>
        </is>
      </c>
      <c r="E89" s="268" t="inlineStr">
        <is>
          <t>кг</t>
        </is>
      </c>
      <c r="F89" s="268" t="n">
        <v>10.682</v>
      </c>
      <c r="G89" s="270" t="n">
        <v>10.57</v>
      </c>
      <c r="H89" s="32">
        <f>ROUND(F89*G89,2)</f>
        <v/>
      </c>
    </row>
    <row r="90">
      <c r="A90" s="268">
        <f>A89+1</f>
        <v/>
      </c>
      <c r="B90" s="168" t="n"/>
      <c r="C90" s="168" t="inlineStr">
        <is>
          <t>25.2.01.01-0001</t>
        </is>
      </c>
      <c r="D90" s="267" t="inlineStr">
        <is>
          <t>Бирки-оконцеватели</t>
        </is>
      </c>
      <c r="E90" s="268" t="inlineStr">
        <is>
          <t>100 шт</t>
        </is>
      </c>
      <c r="F90" s="268" t="n">
        <v>1.64</v>
      </c>
      <c r="G90" s="270" t="n">
        <v>63</v>
      </c>
      <c r="H90" s="32">
        <f>ROUND(F90*G90,2)</f>
        <v/>
      </c>
    </row>
    <row r="91" ht="25.5" customHeight="1" s="211">
      <c r="A91" s="268">
        <f>A90+1</f>
        <v/>
      </c>
      <c r="B91" s="168" t="n"/>
      <c r="C91" s="168" t="inlineStr">
        <is>
          <t>999-9950</t>
        </is>
      </c>
      <c r="D91" s="267" t="inlineStr">
        <is>
          <t>Вспомогательные ненормируемые ресурсы (2% от Оплаты труда рабочих)</t>
        </is>
      </c>
      <c r="E91" s="268" t="inlineStr">
        <is>
          <t>руб</t>
        </is>
      </c>
      <c r="F91" s="268" t="n">
        <v>86.56789999999999</v>
      </c>
      <c r="G91" s="270" t="n">
        <v>1</v>
      </c>
      <c r="H91" s="32">
        <f>ROUND(F91*G91,2)</f>
        <v/>
      </c>
    </row>
    <row r="92" ht="25.5" customHeight="1" s="211">
      <c r="A92" s="268">
        <f>A91+1</f>
        <v/>
      </c>
      <c r="B92" s="168" t="n"/>
      <c r="C92" s="168" t="inlineStr">
        <is>
          <t>01.3.01.06-0050</t>
        </is>
      </c>
      <c r="D92" s="267" t="inlineStr">
        <is>
          <t>Смазка универсальная тугоплавкая УТ (консталин жировой)</t>
        </is>
      </c>
      <c r="E92" s="268" t="inlineStr">
        <is>
          <t>т</t>
        </is>
      </c>
      <c r="F92" s="268" t="n">
        <v>0.00456</v>
      </c>
      <c r="G92" s="270" t="n">
        <v>17500</v>
      </c>
      <c r="H92" s="32">
        <f>ROUND(F92*G92,2)</f>
        <v/>
      </c>
    </row>
    <row r="93">
      <c r="A93" s="268">
        <f>A92+1</f>
        <v/>
      </c>
      <c r="B93" s="168" t="n"/>
      <c r="C93" s="168" t="inlineStr">
        <is>
          <t>01.7.20.08-0031</t>
        </is>
      </c>
      <c r="D93" s="267" t="inlineStr">
        <is>
          <t>Бязь суровая арт. 6804</t>
        </is>
      </c>
      <c r="E93" s="268" t="inlineStr">
        <is>
          <t>10 м2</t>
        </is>
      </c>
      <c r="F93" s="268" t="n">
        <v>0.93</v>
      </c>
      <c r="G93" s="270" t="n">
        <v>79.09999999999999</v>
      </c>
      <c r="H93" s="32">
        <f>ROUND(F93*G93,2)</f>
        <v/>
      </c>
    </row>
    <row r="94">
      <c r="A94" s="268">
        <f>A93+1</f>
        <v/>
      </c>
      <c r="B94" s="168" t="n"/>
      <c r="C94" s="168" t="inlineStr">
        <is>
          <t>62.1.01.09-0209</t>
        </is>
      </c>
      <c r="D94" s="267" t="inlineStr">
        <is>
          <t>Выключатели автоматические: АП50Б 2МТ 4А</t>
        </is>
      </c>
      <c r="E94" s="268" t="inlineStr">
        <is>
          <t>шт</t>
        </is>
      </c>
      <c r="F94" s="268" t="n">
        <v>1</v>
      </c>
      <c r="G94" s="270" t="n">
        <v>68.7</v>
      </c>
      <c r="H94" s="32">
        <f>ROUND(F94*G94,2)</f>
        <v/>
      </c>
    </row>
    <row r="95">
      <c r="A95" s="268">
        <f>A94+1</f>
        <v/>
      </c>
      <c r="B95" s="168" t="n"/>
      <c r="C95" s="168" t="inlineStr">
        <is>
          <t>01.7.15.07-0014</t>
        </is>
      </c>
      <c r="D95" s="267" t="inlineStr">
        <is>
          <t>Дюбели распорные полипропиленовые</t>
        </is>
      </c>
      <c r="E95" s="268" t="inlineStr">
        <is>
          <t>100 шт</t>
        </is>
      </c>
      <c r="F95" s="268" t="n">
        <v>0.784</v>
      </c>
      <c r="G95" s="270" t="n">
        <v>86</v>
      </c>
      <c r="H95" s="32">
        <f>ROUND(F95*G95,2)</f>
        <v/>
      </c>
    </row>
    <row r="96">
      <c r="A96" s="268">
        <f>A95+1</f>
        <v/>
      </c>
      <c r="B96" s="168" t="n"/>
      <c r="C96" s="168" t="inlineStr">
        <is>
          <t>07.1.04.02-0001</t>
        </is>
      </c>
      <c r="D96" s="267" t="inlineStr">
        <is>
          <t>Детали крепления стальные</t>
        </is>
      </c>
      <c r="E96" s="268" t="inlineStr">
        <is>
          <t>кг</t>
        </is>
      </c>
      <c r="F96" s="268" t="n">
        <v>4.280472</v>
      </c>
      <c r="G96" s="270" t="n">
        <v>10.05</v>
      </c>
      <c r="H96" s="32">
        <f>ROUND(F96*G96,2)</f>
        <v/>
      </c>
    </row>
    <row r="97" ht="25.5" customHeight="1" s="211">
      <c r="A97" s="268">
        <f>A96+1</f>
        <v/>
      </c>
      <c r="B97" s="168" t="n"/>
      <c r="C97" s="168" t="inlineStr">
        <is>
          <t>14.2.01.05-0001</t>
        </is>
      </c>
      <c r="D97" s="267" t="inlineStr">
        <is>
          <t>Композиция "Алпол" (на основе термопластичных полимеров)</t>
        </is>
      </c>
      <c r="E97" s="268" t="inlineStr">
        <is>
          <t>кг</t>
        </is>
      </c>
      <c r="F97" s="268" t="n">
        <v>0.71985</v>
      </c>
      <c r="G97" s="270" t="n">
        <v>54.99</v>
      </c>
      <c r="H97" s="32">
        <f>ROUND(F97*G97,2)</f>
        <v/>
      </c>
    </row>
    <row r="98">
      <c r="A98" s="268">
        <f>A97+1</f>
        <v/>
      </c>
      <c r="B98" s="168" t="n"/>
      <c r="C98" s="168" t="inlineStr">
        <is>
          <t>20.1.02.23-0082</t>
        </is>
      </c>
      <c r="D98" s="267" t="inlineStr">
        <is>
          <t>Перемычки гибкие, тип ПГС-50</t>
        </is>
      </c>
      <c r="E98" s="268" t="inlineStr">
        <is>
          <t>10 шт.</t>
        </is>
      </c>
      <c r="F98" s="268" t="n">
        <v>0.88</v>
      </c>
      <c r="G98" s="270" t="n">
        <v>39</v>
      </c>
      <c r="H98" s="32">
        <f>ROUND(F98*G98,2)</f>
        <v/>
      </c>
    </row>
    <row r="99">
      <c r="A99" s="268">
        <f>A98+1</f>
        <v/>
      </c>
      <c r="B99" s="168" t="n"/>
      <c r="C99" s="168" t="inlineStr">
        <is>
          <t>01.7.11.07-0230</t>
        </is>
      </c>
      <c r="D99" s="267" t="inlineStr">
        <is>
          <t>Электроды: УОНИ 13/55</t>
        </is>
      </c>
      <c r="E99" s="268" t="inlineStr">
        <is>
          <t>кг</t>
        </is>
      </c>
      <c r="F99" s="268" t="n">
        <v>2.120832</v>
      </c>
      <c r="G99" s="270" t="n">
        <v>15.26</v>
      </c>
      <c r="H99" s="32">
        <f>ROUND(F99*G99,2)</f>
        <v/>
      </c>
    </row>
    <row r="100">
      <c r="A100" s="268">
        <f>A99+1</f>
        <v/>
      </c>
      <c r="B100" s="168" t="n"/>
      <c r="C100" s="168" t="inlineStr">
        <is>
          <t>01.3.01.06-0046</t>
        </is>
      </c>
      <c r="D100" s="267" t="inlineStr">
        <is>
          <t>Смазка солидол жировой марки «Ж»</t>
        </is>
      </c>
      <c r="E100" s="268" t="inlineStr">
        <is>
          <t>т</t>
        </is>
      </c>
      <c r="F100" s="268" t="n">
        <v>0.003024</v>
      </c>
      <c r="G100" s="270" t="n">
        <v>9661.5</v>
      </c>
      <c r="H100" s="32">
        <f>ROUND(F100*G100,2)</f>
        <v/>
      </c>
    </row>
    <row r="101" ht="25.5" customHeight="1" s="211">
      <c r="A101" s="268">
        <f>A100+1</f>
        <v/>
      </c>
      <c r="B101" s="168" t="n"/>
      <c r="C101" s="168" t="inlineStr">
        <is>
          <t>08.3.08.02-0091</t>
        </is>
      </c>
      <c r="D101" s="267" t="inlineStr">
        <is>
          <t>Сталь угловая, марки Ст3, перфорированная УП 35х35 мм</t>
        </is>
      </c>
      <c r="E101" s="268" t="inlineStr">
        <is>
          <t>м</t>
        </is>
      </c>
      <c r="F101" s="268" t="n">
        <v>1.9</v>
      </c>
      <c r="G101" s="270" t="n">
        <v>15.13</v>
      </c>
      <c r="H101" s="32">
        <f>ROUND(F101*G101,2)</f>
        <v/>
      </c>
    </row>
    <row r="102">
      <c r="A102" s="268">
        <f>A101+1</f>
        <v/>
      </c>
      <c r="B102" s="168" t="n"/>
      <c r="C102" s="168" t="inlineStr">
        <is>
          <t>01.7.15.04-0011</t>
        </is>
      </c>
      <c r="D102" s="267" t="inlineStr">
        <is>
          <t>Винты с полукруглой головкой длиной: 50 мм</t>
        </is>
      </c>
      <c r="E102" s="268" t="inlineStr">
        <is>
          <t>т</t>
        </is>
      </c>
      <c r="F102" s="268" t="n">
        <v>0.0022484</v>
      </c>
      <c r="G102" s="270" t="n">
        <v>12430</v>
      </c>
      <c r="H102" s="32">
        <f>ROUND(F102*G102,2)</f>
        <v/>
      </c>
    </row>
    <row r="103">
      <c r="A103" s="268">
        <f>A102+1</f>
        <v/>
      </c>
      <c r="B103" s="168" t="n"/>
      <c r="C103" s="168" t="inlineStr">
        <is>
          <t>01.7.02.07-0011</t>
        </is>
      </c>
      <c r="D103" s="267" t="inlineStr">
        <is>
          <t>Прессшпан листовой, марки А</t>
        </is>
      </c>
      <c r="E103" s="268" t="inlineStr">
        <is>
          <t>кг</t>
        </is>
      </c>
      <c r="F103" s="268" t="n">
        <v>0.5610000000000001</v>
      </c>
      <c r="G103" s="270" t="n">
        <v>47.57</v>
      </c>
      <c r="H103" s="32">
        <f>ROUND(F103*G103,2)</f>
        <v/>
      </c>
    </row>
    <row r="104" ht="25.5" customHeight="1" s="211">
      <c r="A104" s="268">
        <f>A103+1</f>
        <v/>
      </c>
      <c r="B104" s="168" t="n"/>
      <c r="C104" s="168" t="inlineStr">
        <is>
          <t>08.3.05.02-0052</t>
        </is>
      </c>
      <c r="D104" s="267" t="inlineStr">
        <is>
          <t>Сталь листовая горячекатаная марки Ст3 толщиной: 2-6 мм</t>
        </is>
      </c>
      <c r="E104" s="268" t="inlineStr">
        <is>
          <t>т</t>
        </is>
      </c>
      <c r="F104" s="268" t="n">
        <v>0.002</v>
      </c>
      <c r="G104" s="270" t="n">
        <v>5941.89</v>
      </c>
      <c r="H104" s="32">
        <f>ROUND(F104*G104,2)</f>
        <v/>
      </c>
    </row>
    <row r="105" ht="25.5" customHeight="1" s="211">
      <c r="A105" s="268">
        <f>A104+1</f>
        <v/>
      </c>
      <c r="B105" s="168" t="n"/>
      <c r="C105" s="168" t="inlineStr">
        <is>
          <t>01.7.06.05-0041</t>
        </is>
      </c>
      <c r="D105" s="267" t="inlineStr">
        <is>
          <t>Лента изоляционная прорезиненная односторонняя ширина 20 мм, толщина 0,25-0,35 мм</t>
        </is>
      </c>
      <c r="E105" s="268" t="inlineStr">
        <is>
          <t>кг</t>
        </is>
      </c>
      <c r="F105" s="268" t="n">
        <v>0.332</v>
      </c>
      <c r="G105" s="270" t="n">
        <v>30.4</v>
      </c>
      <c r="H105" s="32">
        <f>ROUND(F105*G105,2)</f>
        <v/>
      </c>
    </row>
    <row r="106" ht="25.5" customHeight="1" s="211">
      <c r="A106" s="268">
        <f>A105+1</f>
        <v/>
      </c>
      <c r="B106" s="168" t="n"/>
      <c r="C106" s="168" t="inlineStr">
        <is>
          <t>08.3.05.02-0101</t>
        </is>
      </c>
      <c r="D106" s="267" t="inlineStr">
        <is>
          <t>Сталь листовая углеродистая обыкновенного качества марки ВСт3пс5 толщиной: 4-6 мм</t>
        </is>
      </c>
      <c r="E106" s="268" t="inlineStr">
        <is>
          <t>т</t>
        </is>
      </c>
      <c r="F106" s="268" t="n">
        <v>0.00144</v>
      </c>
      <c r="G106" s="270" t="n">
        <v>5763</v>
      </c>
      <c r="H106" s="32">
        <f>ROUND(F106*G106,2)</f>
        <v/>
      </c>
    </row>
    <row r="107">
      <c r="A107" s="268">
        <f>A106+1</f>
        <v/>
      </c>
      <c r="B107" s="168" t="n"/>
      <c r="C107" s="168" t="inlineStr">
        <is>
          <t>01.3.01.02-0002</t>
        </is>
      </c>
      <c r="D107" s="267" t="inlineStr">
        <is>
          <t>Вазелин технический</t>
        </is>
      </c>
      <c r="E107" s="268" t="inlineStr">
        <is>
          <t>кг</t>
        </is>
      </c>
      <c r="F107" s="268" t="n">
        <v>0.166</v>
      </c>
      <c r="G107" s="270" t="n">
        <v>44.97</v>
      </c>
      <c r="H107" s="32">
        <f>ROUND(F107*G107,2)</f>
        <v/>
      </c>
    </row>
    <row r="108">
      <c r="A108" s="268">
        <f>A107+1</f>
        <v/>
      </c>
      <c r="B108" s="168" t="n"/>
      <c r="C108" s="168" t="inlineStr">
        <is>
          <t>01.7.03.01-0001</t>
        </is>
      </c>
      <c r="D108" s="267" t="inlineStr">
        <is>
          <t>Вода</t>
        </is>
      </c>
      <c r="E108" s="268" t="inlineStr">
        <is>
          <t>м3</t>
        </is>
      </c>
      <c r="F108" s="268" t="n">
        <v>2.675232</v>
      </c>
      <c r="G108" s="270" t="n">
        <v>2.44</v>
      </c>
      <c r="H108" s="32">
        <f>ROUND(F108*G108,2)</f>
        <v/>
      </c>
    </row>
    <row r="109">
      <c r="A109" s="268">
        <f>A108+1</f>
        <v/>
      </c>
      <c r="B109" s="168" t="n"/>
      <c r="C109" s="168" t="inlineStr">
        <is>
          <t>14.4.03.17-0011</t>
        </is>
      </c>
      <c r="D109" s="267" t="inlineStr">
        <is>
          <t>Лак электроизоляционный 318</t>
        </is>
      </c>
      <c r="E109" s="268" t="inlineStr">
        <is>
          <t>кг</t>
        </is>
      </c>
      <c r="F109" s="268" t="n">
        <v>0.166</v>
      </c>
      <c r="G109" s="270" t="n">
        <v>35.63</v>
      </c>
      <c r="H109" s="32">
        <f>ROUND(F109*G109,2)</f>
        <v/>
      </c>
    </row>
    <row r="110" ht="25.5" customHeight="1" s="211">
      <c r="A110" s="268">
        <f>A109+1</f>
        <v/>
      </c>
      <c r="B110" s="168" t="n"/>
      <c r="C110" s="168" t="inlineStr">
        <is>
          <t>23.3.01.08-0010</t>
        </is>
      </c>
      <c r="D110" s="267" t="inlineStr">
        <is>
          <t>Трубы стальные обсадные инвентарные, диаметр: 1200 мм (секция ножевая длиной 2 м)</t>
        </is>
      </c>
      <c r="E110" s="268" t="inlineStr">
        <is>
          <t>м</t>
        </is>
      </c>
      <c r="F110" s="268" t="n">
        <v>4.8e-05</v>
      </c>
      <c r="G110" s="270" t="n">
        <v>53482.1</v>
      </c>
      <c r="H110" s="32">
        <f>ROUND(F110*G110,2)</f>
        <v/>
      </c>
    </row>
    <row r="111">
      <c r="A111" s="268">
        <f>A110+1</f>
        <v/>
      </c>
      <c r="B111" s="168" t="n"/>
      <c r="C111" s="168" t="inlineStr">
        <is>
          <t>14.5.09.07-0029</t>
        </is>
      </c>
      <c r="D111" s="267" t="inlineStr">
        <is>
          <t>Растворитель марки: Р-4</t>
        </is>
      </c>
      <c r="E111" s="268" t="inlineStr">
        <is>
          <t>т</t>
        </is>
      </c>
      <c r="F111" s="268" t="n">
        <v>0.0002704</v>
      </c>
      <c r="G111" s="270" t="n">
        <v>9420</v>
      </c>
      <c r="H111" s="32">
        <f>ROUND(F111*G111,2)</f>
        <v/>
      </c>
    </row>
    <row r="112">
      <c r="A112" s="268">
        <f>A111+1</f>
        <v/>
      </c>
      <c r="B112" s="168" t="n"/>
      <c r="C112" s="168" t="inlineStr">
        <is>
          <t>01.7.20.04-0005</t>
        </is>
      </c>
      <c r="D112" s="267" t="inlineStr">
        <is>
          <t>Нитки швейные</t>
        </is>
      </c>
      <c r="E112" s="268" t="inlineStr">
        <is>
          <t>кг</t>
        </is>
      </c>
      <c r="F112" s="268" t="n">
        <v>0.017</v>
      </c>
      <c r="G112" s="270" t="n">
        <v>133.05</v>
      </c>
      <c r="H112" s="32">
        <f>ROUND(F112*G112,2)</f>
        <v/>
      </c>
    </row>
    <row r="113">
      <c r="A113" s="268">
        <f>A112+1</f>
        <v/>
      </c>
      <c r="B113" s="168" t="n"/>
      <c r="C113" s="168" t="inlineStr">
        <is>
          <t>20.2.02.01-0019</t>
        </is>
      </c>
      <c r="D113" s="267" t="inlineStr">
        <is>
          <t>Втулки изолирующие</t>
        </is>
      </c>
      <c r="E113" s="268" t="inlineStr">
        <is>
          <t>1000 шт</t>
        </is>
      </c>
      <c r="F113" s="268" t="n">
        <v>0.0076</v>
      </c>
      <c r="G113" s="270" t="n">
        <v>270</v>
      </c>
      <c r="H113" s="32">
        <f>ROUND(F113*G113,2)</f>
        <v/>
      </c>
    </row>
    <row r="114">
      <c r="A114" s="268">
        <f>A113+1</f>
        <v/>
      </c>
      <c r="B114" s="168" t="n"/>
      <c r="C114" s="168" t="inlineStr">
        <is>
          <t>14.4.04.09-0017</t>
        </is>
      </c>
      <c r="D114" s="267" t="inlineStr">
        <is>
          <t>Эмаль ХВ-124 защитная, зеленая</t>
        </is>
      </c>
      <c r="E114" s="268" t="inlineStr">
        <is>
          <t>т</t>
        </is>
      </c>
      <c r="F114" s="268" t="n">
        <v>6e-05</v>
      </c>
      <c r="G114" s="270" t="n">
        <v>28300.4</v>
      </c>
      <c r="H114" s="32">
        <f>ROUND(F114*G114,2)</f>
        <v/>
      </c>
    </row>
    <row r="115">
      <c r="A115" s="268">
        <f>A114+1</f>
        <v/>
      </c>
      <c r="B115" s="168" t="n"/>
      <c r="C115" s="168" t="inlineStr">
        <is>
          <t>14.4.01.01-0003</t>
        </is>
      </c>
      <c r="D115" s="267" t="inlineStr">
        <is>
          <t>Грунтовка: ГФ-021 красно-коричневая</t>
        </is>
      </c>
      <c r="E115" s="268" t="inlineStr">
        <is>
          <t>т</t>
        </is>
      </c>
      <c r="F115" s="268" t="n">
        <v>0.0001055</v>
      </c>
      <c r="G115" s="270" t="n">
        <v>15620</v>
      </c>
      <c r="H115" s="32">
        <f>ROUND(F115*G115,2)</f>
        <v/>
      </c>
    </row>
    <row r="116">
      <c r="A116" s="268">
        <f>A115+1</f>
        <v/>
      </c>
      <c r="B116" s="168" t="n"/>
      <c r="C116" s="168" t="inlineStr">
        <is>
          <t>01.7.15.14-0043</t>
        </is>
      </c>
      <c r="D116" s="267" t="inlineStr">
        <is>
          <t>Шуруп самонарезающий: (LN) 3,5/11 мм</t>
        </is>
      </c>
      <c r="E116" s="268" t="inlineStr">
        <is>
          <t>100 шт</t>
        </is>
      </c>
      <c r="F116" s="268" t="n">
        <v>0.714</v>
      </c>
      <c r="G116" s="270" t="n">
        <v>2</v>
      </c>
      <c r="H116" s="32">
        <f>ROUND(F116*G116,2)</f>
        <v/>
      </c>
    </row>
    <row r="117" ht="25.5" customHeight="1" s="211">
      <c r="A117" s="268">
        <f>A116+1</f>
        <v/>
      </c>
      <c r="B117" s="168" t="n"/>
      <c r="C117" s="168" t="inlineStr">
        <is>
          <t>23.3.01.08-0009</t>
        </is>
      </c>
      <c r="D117" s="267" t="inlineStr">
        <is>
          <t>Трубы стальные обсадные инвентарные, диаметр: 1200 мм (секция длиной 6 м)</t>
        </is>
      </c>
      <c r="E117" s="268" t="inlineStr">
        <is>
          <t>м</t>
        </is>
      </c>
      <c r="F117" s="268" t="n">
        <v>3.6e-05</v>
      </c>
      <c r="G117" s="270" t="n">
        <v>32330.52</v>
      </c>
      <c r="H117" s="32">
        <f>ROUND(F117*G117,2)</f>
        <v/>
      </c>
    </row>
    <row r="118">
      <c r="A118" s="268">
        <f>A117+1</f>
        <v/>
      </c>
      <c r="B118" s="168" t="n"/>
      <c r="C118" s="168" t="inlineStr">
        <is>
          <t>01.7.15.07-0007</t>
        </is>
      </c>
      <c r="D118" s="267" t="inlineStr">
        <is>
          <t>Дюбели пластмассовые диаметр 14 мм</t>
        </is>
      </c>
      <c r="E118" s="268" t="inlineStr">
        <is>
          <t>100 шт</t>
        </is>
      </c>
      <c r="F118" s="268" t="n">
        <v>0.04</v>
      </c>
      <c r="G118" s="270" t="n">
        <v>26.6</v>
      </c>
      <c r="H118" s="32">
        <f>ROUND(F118*G118,2)</f>
        <v/>
      </c>
    </row>
    <row r="119">
      <c r="A119" s="268">
        <f>A118+1</f>
        <v/>
      </c>
      <c r="B119" s="168" t="n"/>
      <c r="C119" s="168" t="inlineStr">
        <is>
          <t>14.4.04.09-0016</t>
        </is>
      </c>
      <c r="D119" s="267" t="inlineStr">
        <is>
          <t>Эмаль ХВ-124 голубая</t>
        </is>
      </c>
      <c r="E119" s="268" t="inlineStr">
        <is>
          <t>т</t>
        </is>
      </c>
      <c r="F119" s="268" t="n">
        <v>4.71e-05</v>
      </c>
      <c r="G119" s="270" t="n">
        <v>22050</v>
      </c>
      <c r="H119" s="32">
        <f>ROUND(F119*G119,2)</f>
        <v/>
      </c>
    </row>
    <row r="120" ht="25.5" customHeight="1" s="211">
      <c r="A120" s="268">
        <f>A119+1</f>
        <v/>
      </c>
      <c r="B120" s="168" t="n"/>
      <c r="C120" s="168" t="inlineStr">
        <is>
          <t>01.7.15.03-0031</t>
        </is>
      </c>
      <c r="D120" s="267" t="inlineStr">
        <is>
          <t>Болты с гайками и шайбами оцинкованные, диаметр: 6 мм</t>
        </is>
      </c>
      <c r="E120" s="268" t="inlineStr">
        <is>
          <t>кг</t>
        </is>
      </c>
      <c r="F120" s="268" t="n">
        <v>0.02</v>
      </c>
      <c r="G120" s="270" t="n">
        <v>28.22</v>
      </c>
      <c r="H120" s="32">
        <f>ROUND(F120*G120,2)</f>
        <v/>
      </c>
    </row>
    <row r="121">
      <c r="A121" s="268">
        <f>A120+1</f>
        <v/>
      </c>
      <c r="B121" s="168" t="n"/>
      <c r="C121" s="168" t="inlineStr">
        <is>
          <t>14.5.09.02-0002</t>
        </is>
      </c>
      <c r="D121" s="267" t="inlineStr">
        <is>
          <t>Ксилол нефтяной марки А</t>
        </is>
      </c>
      <c r="E121" s="268" t="inlineStr">
        <is>
          <t>т</t>
        </is>
      </c>
      <c r="F121" s="268" t="n">
        <v>5.76e-05</v>
      </c>
      <c r="G121" s="270" t="n">
        <v>7640</v>
      </c>
      <c r="H121" s="32">
        <f>ROUND(F121*G121,2)</f>
        <v/>
      </c>
    </row>
    <row r="122">
      <c r="A122" s="268">
        <f>A121+1</f>
        <v/>
      </c>
      <c r="B122" s="168" t="n"/>
      <c r="C122" s="168" t="inlineStr">
        <is>
          <t>01.7.02.09-0002</t>
        </is>
      </c>
      <c r="D122" s="267" t="inlineStr">
        <is>
          <t>Шпагат бумажный</t>
        </is>
      </c>
      <c r="E122" s="268" t="inlineStr">
        <is>
          <t>кг</t>
        </is>
      </c>
      <c r="F122" s="268" t="n">
        <v>0.033</v>
      </c>
      <c r="G122" s="270" t="n">
        <v>11.5</v>
      </c>
      <c r="H122" s="32">
        <f>ROUND(F122*G122,2)</f>
        <v/>
      </c>
    </row>
    <row r="123">
      <c r="A123" s="268">
        <f>A122+1</f>
        <v/>
      </c>
      <c r="B123" s="168" t="n"/>
      <c r="C123" s="168" t="inlineStr">
        <is>
          <t>14.5.09.11-0101</t>
        </is>
      </c>
      <c r="D123" s="267" t="inlineStr">
        <is>
          <t>Уайт-спирит</t>
        </is>
      </c>
      <c r="E123" s="268" t="inlineStr">
        <is>
          <t>т</t>
        </is>
      </c>
      <c r="F123" s="268" t="n">
        <v>2e-05</v>
      </c>
      <c r="G123" s="270" t="n">
        <v>6667</v>
      </c>
      <c r="H123" s="32">
        <f>ROUND(F123*G123,2)</f>
        <v/>
      </c>
    </row>
    <row r="124" ht="51" customHeight="1" s="211">
      <c r="A124" s="268">
        <f>A123+1</f>
        <v/>
      </c>
      <c r="B124" s="168" t="n"/>
      <c r="C124" s="168" t="inlineStr">
        <is>
          <t>23.5.02.02-0093</t>
        </is>
      </c>
      <c r="D124" s="267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5 мм</t>
        </is>
      </c>
      <c r="E124" s="268" t="inlineStr">
        <is>
          <t>м</t>
        </is>
      </c>
      <c r="F124" s="268" t="n">
        <v>4.8e-05</v>
      </c>
      <c r="G124" s="270" t="n">
        <v>230.72</v>
      </c>
      <c r="H124" s="32">
        <f>ROUND(F124*G124,2)</f>
        <v/>
      </c>
    </row>
    <row r="125">
      <c r="C125" s="153" t="n"/>
      <c r="D125" s="151" t="n"/>
      <c r="E125" s="152" t="n"/>
      <c r="F125" s="152" t="n"/>
      <c r="G125" s="154" t="n"/>
      <c r="H125" s="167" t="n"/>
    </row>
    <row r="126" ht="25.5" customHeight="1" s="211">
      <c r="B126" s="164" t="n"/>
      <c r="C126" s="262" t="n"/>
    </row>
    <row r="130" ht="14.25" customFormat="1" customHeight="1" s="222">
      <c r="A130" s="212" t="inlineStr">
        <is>
          <t>Составил ______________________    Е. М. Добровольская</t>
        </is>
      </c>
    </row>
    <row r="131" ht="14.25" customFormat="1" customHeight="1" s="222">
      <c r="A131" s="223" t="inlineStr">
        <is>
          <t xml:space="preserve">                         (подпись, инициалы, фамилия)</t>
        </is>
      </c>
    </row>
    <row r="132" ht="14.25" customFormat="1" customHeight="1" s="222">
      <c r="A132" s="212" t="n"/>
    </row>
    <row r="133" ht="14.25" customFormat="1" customHeight="1" s="222">
      <c r="A133" s="212" t="inlineStr">
        <is>
          <t>Проверил ______________________        А.В. Костянецкая</t>
        </is>
      </c>
    </row>
    <row r="134" ht="14.25" customFormat="1" customHeight="1" s="222">
      <c r="A134" s="22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3:H3"/>
    <mergeCell ref="D9:D10"/>
    <mergeCell ref="E9:E10"/>
    <mergeCell ref="A6:F7"/>
    <mergeCell ref="F9:F10"/>
    <mergeCell ref="A53:D53"/>
    <mergeCell ref="A9:A10"/>
    <mergeCell ref="A12:D12"/>
    <mergeCell ref="A2:H2"/>
    <mergeCell ref="C126:H126"/>
    <mergeCell ref="A30:D30"/>
    <mergeCell ref="A57:D57"/>
    <mergeCell ref="C4:H4"/>
    <mergeCell ref="G9:H9"/>
    <mergeCell ref="A28:D2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hidden="1" width="12.8554687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212" t="n"/>
      <c r="C1" s="212" t="n"/>
      <c r="D1" s="212" t="n"/>
      <c r="E1" s="212" t="n"/>
    </row>
    <row r="2">
      <c r="B2" s="212" t="n"/>
      <c r="C2" s="212" t="n"/>
      <c r="D2" s="212" t="n"/>
      <c r="E2" s="278" t="inlineStr">
        <is>
          <t>Приложение № 4</t>
        </is>
      </c>
    </row>
    <row r="3">
      <c r="B3" s="212" t="n"/>
      <c r="C3" s="212" t="n"/>
      <c r="D3" s="212" t="n"/>
      <c r="E3" s="212" t="n"/>
    </row>
    <row r="4">
      <c r="B4" s="212" t="n"/>
      <c r="C4" s="212" t="n"/>
      <c r="D4" s="212" t="n"/>
      <c r="E4" s="212" t="n"/>
    </row>
    <row r="5">
      <c r="B5" s="237" t="inlineStr">
        <is>
          <t>Ресурсная модель</t>
        </is>
      </c>
    </row>
    <row r="6">
      <c r="B6" s="140" t="n"/>
      <c r="C6" s="212" t="n"/>
      <c r="D6" s="212" t="n"/>
      <c r="E6" s="212" t="n"/>
    </row>
    <row r="7" ht="25.5" customHeight="1" s="211">
      <c r="B7" s="265" t="inlineStr">
        <is>
          <t>Наименование разрабатываемого показателя УНЦ - Цифровой ТТ на три фазы с устройством фундамента напряжение 500 кВ</t>
        </is>
      </c>
    </row>
    <row r="8">
      <c r="B8" s="266" t="inlineStr">
        <is>
          <t>Единица измерения  — 1 ед</t>
        </is>
      </c>
    </row>
    <row r="9">
      <c r="B9" s="140" t="n"/>
      <c r="C9" s="212" t="n"/>
      <c r="D9" s="212" t="n"/>
      <c r="E9" s="212" t="n"/>
    </row>
    <row r="10" ht="51" customHeight="1" s="21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17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17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17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1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17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17">
        <f>'Прил.5 Расчет СМР и ОБ'!J60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17">
        <f>'Прил.5 Расчет СМР и ОБ'!J125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21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1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1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ОБ'!D129</f>
        <v/>
      </c>
      <c r="D21" s="27" t="n"/>
      <c r="E21" s="25" t="n"/>
    </row>
    <row r="22">
      <c r="B22" s="25" t="inlineStr">
        <is>
          <t>Накладные расходы, руб.</t>
        </is>
      </c>
      <c r="C22" s="21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ОБ'!D128</f>
        <v/>
      </c>
      <c r="D23" s="27" t="n"/>
      <c r="E23" s="25" t="n"/>
    </row>
    <row r="24">
      <c r="B24" s="25" t="inlineStr">
        <is>
          <t>ВСЕГО СМР с НР и СП</t>
        </is>
      </c>
      <c r="C24" s="217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217">
        <f>'Прил.5 Расчет СМР и ОБ'!J53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217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133187.97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38.25" customHeight="1" s="21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21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1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17">
        <f>C40/'Прил.5 Расчет СМР и ОБ'!E132</f>
        <v/>
      </c>
      <c r="D41" s="25" t="n"/>
      <c r="E41" s="25" t="n"/>
    </row>
    <row r="42">
      <c r="B42" s="219" t="n"/>
      <c r="C42" s="212" t="n"/>
      <c r="D42" s="212" t="n"/>
      <c r="E42" s="212" t="n"/>
    </row>
    <row r="43">
      <c r="B43" s="219" t="inlineStr">
        <is>
          <t>Составил ____________________________ Е. М. Добровольская</t>
        </is>
      </c>
      <c r="C43" s="212" t="n"/>
      <c r="D43" s="212" t="n"/>
      <c r="E43" s="212" t="n"/>
    </row>
    <row r="44">
      <c r="B44" s="219" t="inlineStr">
        <is>
          <t xml:space="preserve">(должность, подпись, инициалы, фамилия) </t>
        </is>
      </c>
      <c r="C44" s="212" t="n"/>
      <c r="D44" s="212" t="n"/>
      <c r="E44" s="212" t="n"/>
    </row>
    <row r="45">
      <c r="B45" s="219" t="n"/>
      <c r="C45" s="212" t="n"/>
      <c r="D45" s="212" t="n"/>
      <c r="E45" s="212" t="n"/>
    </row>
    <row r="46">
      <c r="B46" s="219" t="inlineStr">
        <is>
          <t>Проверил ____________________________ А.В. Костянецкая</t>
        </is>
      </c>
      <c r="C46" s="212" t="n"/>
      <c r="D46" s="212" t="n"/>
      <c r="E46" s="212" t="n"/>
    </row>
    <row r="47">
      <c r="B47" s="266" t="inlineStr">
        <is>
          <t>(должность, подпись, инициалы, фамилия)</t>
        </is>
      </c>
      <c r="D47" s="212" t="n"/>
      <c r="E47" s="212" t="n"/>
    </row>
    <row r="49">
      <c r="B49" s="212" t="n"/>
      <c r="C49" s="212" t="n"/>
      <c r="D49" s="212" t="n"/>
      <c r="E49" s="212" t="n"/>
    </row>
    <row r="50">
      <c r="B50" s="212" t="n"/>
      <c r="C50" s="212" t="n"/>
      <c r="D50" s="212" t="n"/>
      <c r="E50" s="2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8"/>
  <sheetViews>
    <sheetView view="pageBreakPreview" topLeftCell="A57" workbookViewId="0">
      <selection activeCell="C135" sqref="C135"/>
    </sheetView>
  </sheetViews>
  <sheetFormatPr baseColWidth="8" defaultColWidth="9.140625" defaultRowHeight="15" outlineLevelRow="1"/>
  <cols>
    <col width="5.7109375" customWidth="1" style="222" min="1" max="1"/>
    <col width="22.5703125" customWidth="1" style="222" min="2" max="2"/>
    <col width="39.140625" customWidth="1" style="222" min="3" max="3"/>
    <col width="10.7109375" customWidth="1" style="222" min="4" max="4"/>
    <col width="12.7109375" customWidth="1" style="222" min="5" max="5"/>
    <col width="14.5703125" customWidth="1" style="222" min="6" max="6"/>
    <col width="13.42578125" customWidth="1" style="222" min="7" max="7"/>
    <col width="12.7109375" customWidth="1" style="222" min="8" max="8"/>
    <col width="13.85546875" customWidth="1" style="222" min="9" max="9"/>
    <col width="17.5703125" customWidth="1" style="222" min="10" max="10"/>
    <col width="15.7109375" customWidth="1" style="222" min="11" max="11"/>
    <col width="9.140625" customWidth="1" style="222" min="12" max="12"/>
  </cols>
  <sheetData>
    <row r="1">
      <c r="M1" s="222" t="n"/>
      <c r="N1" s="222" t="n"/>
    </row>
    <row r="2" ht="15.75" customHeight="1" s="211">
      <c r="H2" s="273" t="inlineStr">
        <is>
          <t>Приложение №5</t>
        </is>
      </c>
      <c r="M2" s="222" t="n"/>
      <c r="N2" s="222" t="n"/>
    </row>
    <row r="3">
      <c r="M3" s="222" t="n"/>
      <c r="N3" s="222" t="n"/>
    </row>
    <row r="4" ht="12.75" customFormat="1" customHeight="1" s="212">
      <c r="A4" s="237" t="inlineStr">
        <is>
          <t>Расчет стоимости СМР и оборудования</t>
        </is>
      </c>
    </row>
    <row r="5" ht="12.75" customFormat="1" customHeight="1" s="212">
      <c r="A5" s="237" t="n"/>
      <c r="B5" s="237" t="n"/>
      <c r="C5" s="285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212">
      <c r="A6" s="180" t="inlineStr">
        <is>
          <t>Наименование разрабатываемого показателя УНЦ</t>
        </is>
      </c>
      <c r="B6" s="180" t="n"/>
      <c r="C6" s="180" t="n"/>
      <c r="D6" s="180" t="inlineStr">
        <is>
          <t>Цифровой ТТ на три фазы с устройством фундамента напряжение 500 кВ</t>
        </is>
      </c>
      <c r="E6" s="180" t="n"/>
      <c r="F6" s="180" t="n"/>
      <c r="G6" s="180" t="n"/>
      <c r="H6" s="180" t="n"/>
      <c r="I6" s="145" t="n"/>
      <c r="J6" s="145" t="n"/>
    </row>
    <row r="7" ht="12.75" customFormat="1" customHeight="1" s="212">
      <c r="A7" s="240" t="inlineStr">
        <is>
          <t>Единица измерения  — 1 ед.</t>
        </is>
      </c>
      <c r="I7" s="265" t="n"/>
      <c r="J7" s="265" t="n"/>
    </row>
    <row r="8" ht="13.5" customFormat="1" customHeight="1" s="212">
      <c r="A8" s="240" t="n"/>
    </row>
    <row r="9" ht="27" customHeight="1" s="211">
      <c r="A9" s="268" t="inlineStr">
        <is>
          <t>№ пп.</t>
        </is>
      </c>
      <c r="B9" s="268" t="inlineStr">
        <is>
          <t>Код ресурса</t>
        </is>
      </c>
      <c r="C9" s="268" t="inlineStr">
        <is>
          <t>Наименование</t>
        </is>
      </c>
      <c r="D9" s="268" t="inlineStr">
        <is>
          <t>Ед. изм.</t>
        </is>
      </c>
      <c r="E9" s="268" t="inlineStr">
        <is>
          <t>Кол-во единиц по проектным данным</t>
        </is>
      </c>
      <c r="F9" s="268" t="inlineStr">
        <is>
          <t>Сметная стоимость в ценах на 01.01.2000 (руб.)</t>
        </is>
      </c>
      <c r="G9" s="329" t="n"/>
      <c r="H9" s="268" t="inlineStr">
        <is>
          <t>Удельный вес, %</t>
        </is>
      </c>
      <c r="I9" s="268" t="inlineStr">
        <is>
          <t>Сметная стоимость в ценах на 01.01.2023 (руб.)</t>
        </is>
      </c>
      <c r="J9" s="329" t="n"/>
      <c r="M9" s="222" t="n"/>
      <c r="N9" s="222" t="n"/>
    </row>
    <row r="10" ht="28.5" customHeight="1" s="211">
      <c r="A10" s="331" t="n"/>
      <c r="B10" s="331" t="n"/>
      <c r="C10" s="331" t="n"/>
      <c r="D10" s="331" t="n"/>
      <c r="E10" s="331" t="n"/>
      <c r="F10" s="268" t="inlineStr">
        <is>
          <t>на ед. изм.</t>
        </is>
      </c>
      <c r="G10" s="268" t="inlineStr">
        <is>
          <t>общая</t>
        </is>
      </c>
      <c r="H10" s="331" t="n"/>
      <c r="I10" s="268" t="inlineStr">
        <is>
          <t>на ед. изм.</t>
        </is>
      </c>
      <c r="J10" s="268" t="inlineStr">
        <is>
          <t>общая</t>
        </is>
      </c>
      <c r="M10" s="222" t="n"/>
      <c r="N10" s="222" t="n"/>
    </row>
    <row r="11">
      <c r="A11" s="268" t="n">
        <v>1</v>
      </c>
      <c r="B11" s="268" t="n">
        <v>2</v>
      </c>
      <c r="C11" s="268" t="n">
        <v>3</v>
      </c>
      <c r="D11" s="268" t="n">
        <v>4</v>
      </c>
      <c r="E11" s="268" t="n">
        <v>5</v>
      </c>
      <c r="F11" s="268" t="n">
        <v>6</v>
      </c>
      <c r="G11" s="268" t="n">
        <v>7</v>
      </c>
      <c r="H11" s="268" t="n">
        <v>8</v>
      </c>
      <c r="I11" s="276" t="n">
        <v>9</v>
      </c>
      <c r="J11" s="276" t="n">
        <v>10</v>
      </c>
      <c r="M11" s="222" t="n"/>
      <c r="N11" s="222" t="n"/>
    </row>
    <row r="12">
      <c r="A12" s="268" t="n"/>
      <c r="B12" s="272" t="inlineStr">
        <is>
          <t>Затраты труда рабочих-строителей</t>
        </is>
      </c>
      <c r="C12" s="328" t="n"/>
      <c r="D12" s="328" t="n"/>
      <c r="E12" s="328" t="n"/>
      <c r="F12" s="328" t="n"/>
      <c r="G12" s="328" t="n"/>
      <c r="H12" s="329" t="n"/>
      <c r="I12" s="186" t="n"/>
      <c r="J12" s="186" t="n"/>
    </row>
    <row r="13" ht="25.5" customHeight="1" s="211">
      <c r="A13" s="268" t="n">
        <v>1</v>
      </c>
      <c r="B13" s="168" t="inlineStr">
        <is>
          <t>1-4-0</t>
        </is>
      </c>
      <c r="C13" s="267" t="inlineStr">
        <is>
          <t>Затраты труда рабочих-строителей среднего разряда (4,0)</t>
        </is>
      </c>
      <c r="D13" s="268" t="inlineStr">
        <is>
          <t>чел.-ч.</t>
        </is>
      </c>
      <c r="E13" s="175" t="n">
        <v>833.7130977131</v>
      </c>
      <c r="F13" s="32" t="n">
        <v>9.619999999999999</v>
      </c>
      <c r="G13" s="32">
        <f>'Прил. 3'!H12-'Прил. 3'!H13-'Прил. 3'!H14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68" t="n">
        <v>2</v>
      </c>
      <c r="B14" s="168" t="inlineStr">
        <is>
          <t>10-30-1</t>
        </is>
      </c>
      <c r="C14" s="267" t="inlineStr">
        <is>
          <t>Инженер I категории</t>
        </is>
      </c>
      <c r="D14" s="268" t="inlineStr">
        <is>
          <t>чел.-ч.</t>
        </is>
      </c>
      <c r="E14" s="175" t="n">
        <v>421</v>
      </c>
      <c r="F14" s="32" t="n">
        <v>15.49</v>
      </c>
      <c r="G14" s="32">
        <f>'Прил. 3'!H13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68" t="n">
        <v>3</v>
      </c>
      <c r="B15" s="168" t="inlineStr">
        <is>
          <t>10-30-2</t>
        </is>
      </c>
      <c r="C15" s="267" t="inlineStr">
        <is>
          <t>Инженер II категории</t>
        </is>
      </c>
      <c r="D15" s="268" t="inlineStr">
        <is>
          <t>чел.-ч.</t>
        </is>
      </c>
      <c r="E15" s="175" t="n">
        <v>421</v>
      </c>
      <c r="F15" s="32" t="n">
        <v>14.09</v>
      </c>
      <c r="G15" s="32">
        <f>'Прил. 3'!H14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222">
      <c r="A16" s="268" t="n"/>
      <c r="B16" s="268" t="n"/>
      <c r="C16" s="272" t="inlineStr">
        <is>
          <t>Итого по разделу "Затраты труда рабочих-строителей"</t>
        </is>
      </c>
      <c r="D16" s="268" t="inlineStr">
        <is>
          <t>чел.-ч.</t>
        </is>
      </c>
      <c r="E16" s="175">
        <f>SUM(E13:E15)</f>
        <v/>
      </c>
      <c r="F16" s="32" t="n"/>
      <c r="G16" s="32">
        <f>SUM(G13:G15)</f>
        <v/>
      </c>
      <c r="H16" s="271" t="n">
        <v>1</v>
      </c>
      <c r="I16" s="186" t="n"/>
      <c r="J16" s="32">
        <f>SUM(J13:J15)</f>
        <v/>
      </c>
      <c r="K16" s="224" t="n"/>
    </row>
    <row r="17" ht="14.25" customFormat="1" customHeight="1" s="222">
      <c r="A17" s="268" t="n"/>
      <c r="B17" s="267" t="inlineStr">
        <is>
          <t>Затраты труда машинистов</t>
        </is>
      </c>
      <c r="C17" s="328" t="n"/>
      <c r="D17" s="328" t="n"/>
      <c r="E17" s="328" t="n"/>
      <c r="F17" s="328" t="n"/>
      <c r="G17" s="328" t="n"/>
      <c r="H17" s="329" t="n"/>
      <c r="I17" s="186" t="n"/>
      <c r="J17" s="186" t="n"/>
    </row>
    <row r="18" ht="14.25" customFormat="1" customHeight="1" s="222">
      <c r="A18" s="268" t="n">
        <v>4</v>
      </c>
      <c r="B18" s="268" t="n">
        <v>2</v>
      </c>
      <c r="C18" s="267" t="inlineStr">
        <is>
          <t>Затраты труда машинистов</t>
        </is>
      </c>
      <c r="D18" s="268" t="inlineStr">
        <is>
          <t>чел.-ч.</t>
        </is>
      </c>
      <c r="E18" s="175" t="n">
        <v>206.397</v>
      </c>
      <c r="F18" s="32">
        <f>G18/E18</f>
        <v/>
      </c>
      <c r="G18" s="32">
        <f>'Прил. 3'!H29</f>
        <v/>
      </c>
      <c r="H18" s="271" t="n">
        <v>1</v>
      </c>
      <c r="I18" s="32">
        <f>ROUND(F18*'Прил. 10'!D11,2)</f>
        <v/>
      </c>
      <c r="J18" s="32">
        <f>ROUND(I18*E18,2)</f>
        <v/>
      </c>
      <c r="K18" s="225" t="n"/>
    </row>
    <row r="19" ht="14.25" customFormat="1" customHeight="1" s="222">
      <c r="A19" s="268" t="n"/>
      <c r="B19" s="272" t="inlineStr">
        <is>
          <t>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86" t="n"/>
      <c r="J19" s="186" t="n"/>
    </row>
    <row r="20" ht="14.25" customFormat="1" customHeight="1" s="222">
      <c r="A20" s="268" t="n"/>
      <c r="B20" s="267" t="inlineStr">
        <is>
          <t>Основные машины и механизмы</t>
        </is>
      </c>
      <c r="C20" s="328" t="n"/>
      <c r="D20" s="328" t="n"/>
      <c r="E20" s="328" t="n"/>
      <c r="F20" s="328" t="n"/>
      <c r="G20" s="328" t="n"/>
      <c r="H20" s="329" t="n"/>
      <c r="I20" s="186" t="n"/>
      <c r="J20" s="186" t="n"/>
    </row>
    <row r="21" ht="25.5" customFormat="1" customHeight="1" s="222">
      <c r="A21" s="268" t="n">
        <v>5</v>
      </c>
      <c r="B21" s="168" t="inlineStr">
        <is>
          <t>91.05.05-014</t>
        </is>
      </c>
      <c r="C21" s="267" t="inlineStr">
        <is>
          <t>Краны на автомобильном ходу, грузоподъемность 10 т</t>
        </is>
      </c>
      <c r="D21" s="268" t="inlineStr">
        <is>
          <t>маш.час</t>
        </is>
      </c>
      <c r="E21" s="175" t="n">
        <v>100.02</v>
      </c>
      <c r="F21" s="270" t="n">
        <v>111.99</v>
      </c>
      <c r="G21" s="32">
        <f>ROUND(E21*F21,2)</f>
        <v/>
      </c>
      <c r="H21" s="187">
        <f>G21/$G$45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22">
      <c r="A22" s="268" t="n">
        <v>6</v>
      </c>
      <c r="B22" s="168" t="inlineStr">
        <is>
          <t>91.02.04-041</t>
        </is>
      </c>
      <c r="C22" s="267" t="inlineStr">
        <is>
          <t>Установки буровые с крутящим моментом 250-350 кНм</t>
        </is>
      </c>
      <c r="D22" s="268" t="inlineStr">
        <is>
          <t>маш.час</t>
        </is>
      </c>
      <c r="E22" s="175" t="n">
        <v>5.19</v>
      </c>
      <c r="F22" s="270" t="n">
        <v>870.54</v>
      </c>
      <c r="G22" s="32">
        <f>ROUND(E22*F22,2)</f>
        <v/>
      </c>
      <c r="H22" s="187">
        <f>G22/$G$45</f>
        <v/>
      </c>
      <c r="I22" s="32">
        <f>ROUND(F22*'Прил. 10'!D12,2)</f>
        <v/>
      </c>
      <c r="J22" s="32">
        <f>ROUND(I22*E22,2)</f>
        <v/>
      </c>
    </row>
    <row r="23" ht="25.5" customFormat="1" customHeight="1" s="222">
      <c r="A23" s="268" t="n">
        <v>7</v>
      </c>
      <c r="B23" s="168" t="inlineStr">
        <is>
          <t>91.10.01-002</t>
        </is>
      </c>
      <c r="C23" s="267" t="inlineStr">
        <is>
          <t>Агрегаты наполнительно-опрессовочные: до 300 м3/ч</t>
        </is>
      </c>
      <c r="D23" s="268" t="inlineStr">
        <is>
          <t>маш.час</t>
        </is>
      </c>
      <c r="E23" s="175" t="n">
        <v>11.16</v>
      </c>
      <c r="F23" s="270" t="n">
        <v>287.99</v>
      </c>
      <c r="G23" s="32">
        <f>ROUND(E23*F23,2)</f>
        <v/>
      </c>
      <c r="H23" s="187">
        <f>G23/$G$45</f>
        <v/>
      </c>
      <c r="I23" s="32">
        <f>ROUND(F23*'Прил. 10'!$D$12,2)</f>
        <v/>
      </c>
      <c r="J23" s="32">
        <f>ROUND(I23*E23,2)</f>
        <v/>
      </c>
    </row>
    <row r="24" ht="25.5" customFormat="1" customHeight="1" s="222">
      <c r="A24" s="268" t="n">
        <v>8</v>
      </c>
      <c r="B24" s="168" t="inlineStr">
        <is>
          <t>91.05.05-016</t>
        </is>
      </c>
      <c r="C24" s="267" t="inlineStr">
        <is>
          <t>Краны на автомобильном ходу, грузоподъемность 25 т</t>
        </is>
      </c>
      <c r="D24" s="268" t="inlineStr">
        <is>
          <t>маш.час</t>
        </is>
      </c>
      <c r="E24" s="175" t="n">
        <v>5.09</v>
      </c>
      <c r="F24" s="270" t="n">
        <v>476.43</v>
      </c>
      <c r="G24" s="32">
        <f>ROUND(E24*F24,2)</f>
        <v/>
      </c>
      <c r="H24" s="187">
        <f>G24/$G$45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222">
      <c r="A25" s="268" t="n">
        <v>9</v>
      </c>
      <c r="B25" s="168" t="inlineStr">
        <is>
          <t>91.06.06-042</t>
        </is>
      </c>
      <c r="C25" s="267" t="inlineStr">
        <is>
          <t>Подъемники гидравлические высотой подъема: 10 м</t>
        </is>
      </c>
      <c r="D25" s="268" t="inlineStr">
        <is>
          <t>маш.час</t>
        </is>
      </c>
      <c r="E25" s="175" t="n">
        <v>50.18</v>
      </c>
      <c r="F25" s="270" t="n">
        <v>29.6</v>
      </c>
      <c r="G25" s="32">
        <f>ROUND(E25*F25,2)</f>
        <v/>
      </c>
      <c r="H25" s="187">
        <f>G25/$G$45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22">
      <c r="A26" s="268" t="n"/>
      <c r="B26" s="268" t="n"/>
      <c r="C26" s="267" t="inlineStr">
        <is>
          <t>Итого основные машины и механизмы</t>
        </is>
      </c>
      <c r="D26" s="268" t="n"/>
      <c r="E26" s="175" t="n"/>
      <c r="F26" s="32" t="n"/>
      <c r="G26" s="32">
        <f>SUM(G21:G25)</f>
        <v/>
      </c>
      <c r="H26" s="271">
        <f>G26/G45</f>
        <v/>
      </c>
      <c r="I26" s="188" t="n"/>
      <c r="J26" s="32">
        <f>SUM(J21:J24)</f>
        <v/>
      </c>
    </row>
    <row r="27" hidden="1" outlineLevel="1" ht="25.5" customFormat="1" customHeight="1" s="222">
      <c r="A27" s="268" t="n">
        <v>10</v>
      </c>
      <c r="B27" s="168" t="inlineStr">
        <is>
          <t>91.14.02-001</t>
        </is>
      </c>
      <c r="C27" s="267" t="inlineStr">
        <is>
          <t>Автомобили бортовые, грузоподъемность: до 5 т</t>
        </is>
      </c>
      <c r="D27" s="268" t="inlineStr">
        <is>
          <t>маш.час</t>
        </is>
      </c>
      <c r="E27" s="175" t="n">
        <v>21.18</v>
      </c>
      <c r="F27" s="270" t="n">
        <v>65.70999999999999</v>
      </c>
      <c r="G27" s="32">
        <f>ROUND(E27*F27,2)</f>
        <v/>
      </c>
      <c r="H27" s="187">
        <f>G27/$G$45</f>
        <v/>
      </c>
      <c r="I27" s="32">
        <f>ROUND(F27*'Прил. 10'!$D$12,2)</f>
        <v/>
      </c>
      <c r="J27" s="32">
        <f>ROUND(I27*E27,2)</f>
        <v/>
      </c>
    </row>
    <row r="28" hidden="1" outlineLevel="1" ht="38.25" customFormat="1" customHeight="1" s="222">
      <c r="A28" s="268" t="n">
        <v>11</v>
      </c>
      <c r="B28" s="168" t="inlineStr">
        <is>
          <t>91.17.04-036</t>
        </is>
      </c>
      <c r="C28" s="267" t="inlineStr">
        <is>
          <t>Агрегаты сварочные передвижные номинальным сварочным током 250-400 А: с дизельным двигателем</t>
        </is>
      </c>
      <c r="D28" s="268" t="inlineStr">
        <is>
          <t>маш.час</t>
        </is>
      </c>
      <c r="E28" s="175" t="n">
        <v>29.26</v>
      </c>
      <c r="F28" s="270" t="n">
        <v>14</v>
      </c>
      <c r="G28" s="32">
        <f>ROUND(E28*F28,2)</f>
        <v/>
      </c>
      <c r="H28" s="187">
        <f>G28/$G$45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222">
      <c r="A29" s="268" t="n">
        <v>12</v>
      </c>
      <c r="B29" s="168" t="inlineStr">
        <is>
          <t>91.14.01-003</t>
        </is>
      </c>
      <c r="C29" s="267" t="inlineStr">
        <is>
          <t>Автобетоносмесители: 6 м3</t>
        </is>
      </c>
      <c r="D29" s="268" t="inlineStr">
        <is>
          <t>маш.час</t>
        </is>
      </c>
      <c r="E29" s="175" t="n">
        <v>2.02</v>
      </c>
      <c r="F29" s="270" t="n">
        <v>177.59</v>
      </c>
      <c r="G29" s="32">
        <f>ROUND(E29*F29,2)</f>
        <v/>
      </c>
      <c r="H29" s="187">
        <f>G29/$G$45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222">
      <c r="A30" s="268" t="n">
        <v>13</v>
      </c>
      <c r="B30" s="168" t="inlineStr">
        <is>
          <t>91.07.02-011</t>
        </is>
      </c>
      <c r="C30" s="267" t="inlineStr">
        <is>
          <t>Автобетононасосы, производительность 65 м3/ч</t>
        </is>
      </c>
      <c r="D30" s="268" t="inlineStr">
        <is>
          <t>маш.час</t>
        </is>
      </c>
      <c r="E30" s="175" t="n">
        <v>1.11</v>
      </c>
      <c r="F30" s="270" t="n">
        <v>283.4</v>
      </c>
      <c r="G30" s="32">
        <f>ROUND(E30*F30,2)</f>
        <v/>
      </c>
      <c r="H30" s="187">
        <f>G30/$G$45</f>
        <v/>
      </c>
      <c r="I30" s="32">
        <f>ROUND(F30*'Прил. 10'!$D$12,2)</f>
        <v/>
      </c>
      <c r="J30" s="32">
        <f>ROUND(I30*E30,2)</f>
        <v/>
      </c>
    </row>
    <row r="31" hidden="1" outlineLevel="1" ht="25.5" customFormat="1" customHeight="1" s="222">
      <c r="A31" s="268" t="n">
        <v>14</v>
      </c>
      <c r="B31" s="168" t="inlineStr">
        <is>
          <t>91.17.04-233</t>
        </is>
      </c>
      <c r="C31" s="267" t="inlineStr">
        <is>
          <t>Установки для сварки: ручной дуговой (постоянного тока)</t>
        </is>
      </c>
      <c r="D31" s="268" t="inlineStr">
        <is>
          <t>маш.час</t>
        </is>
      </c>
      <c r="E31" s="175" t="n">
        <v>34.47</v>
      </c>
      <c r="F31" s="270" t="n">
        <v>8.1</v>
      </c>
      <c r="G31" s="32">
        <f>ROUND(E31*F31,2)</f>
        <v/>
      </c>
      <c r="H31" s="187">
        <f>G31/$G$45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222">
      <c r="A32" s="268" t="n">
        <v>15</v>
      </c>
      <c r="B32" s="168" t="inlineStr">
        <is>
          <t>91.05.05-018</t>
        </is>
      </c>
      <c r="C32" s="267" t="inlineStr">
        <is>
          <t>Краны на автомобильном ходу, грузоподъемность 63 т</t>
        </is>
      </c>
      <c r="D32" s="268" t="inlineStr">
        <is>
          <t>маш.час</t>
        </is>
      </c>
      <c r="E32" s="175" t="n">
        <v>0.15</v>
      </c>
      <c r="F32" s="270" t="n">
        <v>823.23</v>
      </c>
      <c r="G32" s="32">
        <f>ROUND(E32*F32,2)</f>
        <v/>
      </c>
      <c r="H32" s="187">
        <f>G32/$G$45</f>
        <v/>
      </c>
      <c r="I32" s="32">
        <f>ROUND(F32*'Прил. 10'!$D$12,2)</f>
        <v/>
      </c>
      <c r="J32" s="32">
        <f>ROUND(I32*E32,2)</f>
        <v/>
      </c>
    </row>
    <row r="33" hidden="1" outlineLevel="1" ht="25.5" customFormat="1" customHeight="1" s="222">
      <c r="A33" s="268" t="n">
        <v>16</v>
      </c>
      <c r="B33" s="168" t="inlineStr">
        <is>
          <t>91.14.02-002</t>
        </is>
      </c>
      <c r="C33" s="267" t="inlineStr">
        <is>
          <t>Автомобили бортовые, грузоподъемность: до 8 т</t>
        </is>
      </c>
      <c r="D33" s="268" t="inlineStr">
        <is>
          <t>маш.час</t>
        </is>
      </c>
      <c r="E33" s="175" t="n">
        <v>0.29</v>
      </c>
      <c r="F33" s="270" t="n">
        <v>85.84</v>
      </c>
      <c r="G33" s="32">
        <f>ROUND(E33*F33,2)</f>
        <v/>
      </c>
      <c r="H33" s="187">
        <f>G33/$G$45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222">
      <c r="A34" s="268" t="n">
        <v>17</v>
      </c>
      <c r="B34" s="168" t="inlineStr">
        <is>
          <t>91.06.01-003</t>
        </is>
      </c>
      <c r="C34" s="267" t="inlineStr">
        <is>
          <t>Домкраты гидравлические, грузоподъемность 63-100 т</t>
        </is>
      </c>
      <c r="D34" s="268" t="inlineStr">
        <is>
          <t>маш.час</t>
        </is>
      </c>
      <c r="E34" s="175" t="n">
        <v>27.18</v>
      </c>
      <c r="F34" s="270" t="n">
        <v>0.9</v>
      </c>
      <c r="G34" s="32">
        <f>ROUND(E34*F34,2)</f>
        <v/>
      </c>
      <c r="H34" s="187">
        <f>G34/$G$45</f>
        <v/>
      </c>
      <c r="I34" s="32">
        <f>ROUND(F34*'Прил. 10'!$D$12,2)</f>
        <v/>
      </c>
      <c r="J34" s="32">
        <f>ROUND(I34*E34,2)</f>
        <v/>
      </c>
    </row>
    <row r="35" hidden="1" outlineLevel="1" ht="14.25" customFormat="1" customHeight="1" s="222">
      <c r="A35" s="268" t="n">
        <v>18</v>
      </c>
      <c r="B35" s="168" t="inlineStr">
        <is>
          <t>91.13.01-038</t>
        </is>
      </c>
      <c r="C35" s="267" t="inlineStr">
        <is>
          <t>Машины поливомоечные 6000 л</t>
        </is>
      </c>
      <c r="D35" s="268" t="inlineStr">
        <is>
          <t>маш.час</t>
        </is>
      </c>
      <c r="E35" s="175" t="n">
        <v>0.2</v>
      </c>
      <c r="F35" s="270" t="n">
        <v>110</v>
      </c>
      <c r="G35" s="32">
        <f>ROUND(E35*F35,2)</f>
        <v/>
      </c>
      <c r="H35" s="187">
        <f>G35/$G$45</f>
        <v/>
      </c>
      <c r="I35" s="32">
        <f>ROUND(F35*'Прил. 10'!$D$12,2)</f>
        <v/>
      </c>
      <c r="J35" s="32">
        <f>ROUND(I35*E35,2)</f>
        <v/>
      </c>
    </row>
    <row r="36" hidden="1" outlineLevel="1" ht="38.25" customFormat="1" customHeight="1" s="222">
      <c r="A36" s="268" t="n">
        <v>19</v>
      </c>
      <c r="B36" s="168" t="inlineStr">
        <is>
          <t>91.01.05-104</t>
        </is>
      </c>
      <c r="C36" s="267" t="inlineStr">
        <is>
          <t>Экскаваторы одноковшовые дизельные на пневмоколесном ходу, емкость ковша 0,4 м3</t>
        </is>
      </c>
      <c r="D36" s="268" t="inlineStr">
        <is>
          <t>маш.час</t>
        </is>
      </c>
      <c r="E36" s="175" t="n">
        <v>0.15</v>
      </c>
      <c r="F36" s="270" t="n">
        <v>98.90000000000001</v>
      </c>
      <c r="G36" s="32">
        <f>ROUND(E36*F36,2)</f>
        <v/>
      </c>
      <c r="H36" s="187">
        <f>G36/$G$45</f>
        <v/>
      </c>
      <c r="I36" s="32">
        <f>ROUND(F36*'Прил. 10'!$D$12,2)</f>
        <v/>
      </c>
      <c r="J36" s="32">
        <f>ROUND(I36*E36,2)</f>
        <v/>
      </c>
    </row>
    <row r="37" hidden="1" outlineLevel="1" ht="51" customFormat="1" customHeight="1" s="222">
      <c r="A37" s="268" t="n">
        <v>20</v>
      </c>
      <c r="B37" s="168" t="inlineStr">
        <is>
          <t>91.18.01-007</t>
        </is>
      </c>
      <c r="C37" s="26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7" s="268" t="inlineStr">
        <is>
          <t>маш.час</t>
        </is>
      </c>
      <c r="E37" s="175" t="n">
        <v>0.15</v>
      </c>
      <c r="F37" s="270" t="n">
        <v>90</v>
      </c>
      <c r="G37" s="32">
        <f>ROUND(E37*F37,2)</f>
        <v/>
      </c>
      <c r="H37" s="187">
        <f>G37/$G$45</f>
        <v/>
      </c>
      <c r="I37" s="32">
        <f>ROUND(F37*'Прил. 10'!$D$12,2)</f>
        <v/>
      </c>
      <c r="J37" s="32">
        <f>ROUND(I37*E37,2)</f>
        <v/>
      </c>
    </row>
    <row r="38" hidden="1" outlineLevel="1" ht="25.5" customFormat="1" customHeight="1" s="222">
      <c r="A38" s="268" t="n">
        <v>21</v>
      </c>
      <c r="B38" s="168" t="inlineStr">
        <is>
          <t>91.21.12-002</t>
        </is>
      </c>
      <c r="C38" s="267" t="inlineStr">
        <is>
          <t>Ножницы листовые кривошипные гильотинные</t>
        </is>
      </c>
      <c r="D38" s="268" t="inlineStr">
        <is>
          <t>маш.час</t>
        </is>
      </c>
      <c r="E38" s="175" t="n">
        <v>0.06</v>
      </c>
      <c r="F38" s="270" t="n">
        <v>70</v>
      </c>
      <c r="G38" s="32">
        <f>ROUND(E38*F38,2)</f>
        <v/>
      </c>
      <c r="H38" s="187">
        <f>G38/$G$45</f>
        <v/>
      </c>
      <c r="I38" s="32">
        <f>ROUND(F38*'Прил. 10'!$D$12,2)</f>
        <v/>
      </c>
      <c r="J38" s="32">
        <f>ROUND(I38*E38,2)</f>
        <v/>
      </c>
    </row>
    <row r="39" hidden="1" outlineLevel="1" ht="25.5" customFormat="1" customHeight="1" s="222">
      <c r="A39" s="268" t="n">
        <v>22</v>
      </c>
      <c r="B39" s="168" t="inlineStr">
        <is>
          <t>91.21.16-014</t>
        </is>
      </c>
      <c r="C39" s="267" t="inlineStr">
        <is>
          <t>Пресс: листогибочный кривошипный 1000 кН (100 тс)</t>
        </is>
      </c>
      <c r="D39" s="268" t="inlineStr">
        <is>
          <t>маш.час</t>
        </is>
      </c>
      <c r="E39" s="175" t="n">
        <v>0.06</v>
      </c>
      <c r="F39" s="270" t="n">
        <v>56.24</v>
      </c>
      <c r="G39" s="32">
        <f>ROUND(E39*F39,2)</f>
        <v/>
      </c>
      <c r="H39" s="187">
        <f>G39/$G$45</f>
        <v/>
      </c>
      <c r="I39" s="32">
        <f>ROUND(F39*'Прил. 10'!$D$12,2)</f>
        <v/>
      </c>
      <c r="J39" s="32">
        <f>ROUND(I39*E39,2)</f>
        <v/>
      </c>
    </row>
    <row r="40" hidden="1" outlineLevel="1" ht="25.5" customFormat="1" customHeight="1" s="222">
      <c r="A40" s="268" t="n">
        <v>23</v>
      </c>
      <c r="B40" s="168" t="inlineStr">
        <is>
          <t>91.21.16-013</t>
        </is>
      </c>
      <c r="C40" s="267" t="inlineStr">
        <is>
          <t>Пресс: кривошипный простого действия 25 кН (2,5 тс)</t>
        </is>
      </c>
      <c r="D40" s="268" t="inlineStr">
        <is>
          <t>маш.час</t>
        </is>
      </c>
      <c r="E40" s="175" t="n">
        <v>0.06</v>
      </c>
      <c r="F40" s="270" t="n">
        <v>16.92</v>
      </c>
      <c r="G40" s="32">
        <f>ROUND(E40*F40,2)</f>
        <v/>
      </c>
      <c r="H40" s="187">
        <f>G40/$G$45</f>
        <v/>
      </c>
      <c r="I40" s="32">
        <f>ROUND(F40*'Прил. 10'!$D$12,2)</f>
        <v/>
      </c>
      <c r="J40" s="32">
        <f>ROUND(I40*E40,2)</f>
        <v/>
      </c>
    </row>
    <row r="41" hidden="1" outlineLevel="1" ht="38.25" customFormat="1" customHeight="1" s="222">
      <c r="A41" s="268" t="n">
        <v>24</v>
      </c>
      <c r="B41" s="168" t="inlineStr">
        <is>
          <t>91.21.01-012</t>
        </is>
      </c>
      <c r="C41" s="267" t="inlineStr">
        <is>
          <t>Агрегаты окрасочные высокого давления для окраски поверхностей конструкций, мощность 1 кВт</t>
        </is>
      </c>
      <c r="D41" s="268" t="inlineStr">
        <is>
          <t>маш.час</t>
        </is>
      </c>
      <c r="E41" s="175" t="n">
        <v>0.13</v>
      </c>
      <c r="F41" s="270" t="n">
        <v>6.82</v>
      </c>
      <c r="G41" s="32">
        <f>ROUND(E41*F41,2)</f>
        <v/>
      </c>
      <c r="H41" s="187">
        <f>G41/$G$45</f>
        <v/>
      </c>
      <c r="I41" s="32">
        <f>ROUND(F41*'Прил. 10'!$D$12,2)</f>
        <v/>
      </c>
      <c r="J41" s="32">
        <f>ROUND(I41*E41,2)</f>
        <v/>
      </c>
    </row>
    <row r="42" hidden="1" outlineLevel="1" ht="25.5" customFormat="1" customHeight="1" s="222">
      <c r="A42" s="268" t="n">
        <v>25</v>
      </c>
      <c r="B42" s="168" t="inlineStr">
        <is>
          <t>91.08.09-023</t>
        </is>
      </c>
      <c r="C42" s="267" t="inlineStr">
        <is>
          <t>Трамбовки пневматические при работе от: передвижных компрессорных станций</t>
        </is>
      </c>
      <c r="D42" s="268" t="inlineStr">
        <is>
          <t>маш.час</t>
        </is>
      </c>
      <c r="E42" s="175" t="n">
        <v>0.58</v>
      </c>
      <c r="F42" s="270" t="n">
        <v>0.55</v>
      </c>
      <c r="G42" s="32">
        <f>ROUND(E42*F42,2)</f>
        <v/>
      </c>
      <c r="H42" s="187">
        <f>G42/$G$45</f>
        <v/>
      </c>
      <c r="I42" s="32">
        <f>ROUND(F42*'Прил. 10'!$D$12,2)</f>
        <v/>
      </c>
      <c r="J42" s="32">
        <f>ROUND(I42*E42,2)</f>
        <v/>
      </c>
    </row>
    <row r="43" hidden="1" outlineLevel="1" ht="14.25" customFormat="1" customHeight="1" s="222">
      <c r="A43" s="268" t="n">
        <v>26</v>
      </c>
      <c r="B43" s="168" t="inlineStr">
        <is>
          <t>91.21.19-031</t>
        </is>
      </c>
      <c r="C43" s="267" t="inlineStr">
        <is>
          <t>Станок: сверлильный</t>
        </is>
      </c>
      <c r="D43" s="268" t="inlineStr">
        <is>
          <t>маш.час</t>
        </is>
      </c>
      <c r="E43" s="175" t="n">
        <v>0.06</v>
      </c>
      <c r="F43" s="270" t="n">
        <v>2.36</v>
      </c>
      <c r="G43" s="32">
        <f>ROUND(E43*F43,2)</f>
        <v/>
      </c>
      <c r="H43" s="187">
        <f>G43/$G$45</f>
        <v/>
      </c>
      <c r="I43" s="32">
        <f>ROUND(F43*'Прил. 10'!$D$12,2)</f>
        <v/>
      </c>
      <c r="J43" s="32">
        <f>ROUND(I43*E43,2)</f>
        <v/>
      </c>
    </row>
    <row r="44" collapsed="1" ht="14.25" customFormat="1" customHeight="1" s="222">
      <c r="A44" s="268" t="n"/>
      <c r="B44" s="268" t="n"/>
      <c r="C44" s="267" t="inlineStr">
        <is>
          <t>Итого прочие машины и механизмы</t>
        </is>
      </c>
      <c r="D44" s="268" t="n"/>
      <c r="E44" s="269" t="n"/>
      <c r="F44" s="32" t="n"/>
      <c r="G44" s="188">
        <f>SUM(G27:G43)</f>
        <v/>
      </c>
      <c r="H44" s="187">
        <f>G44/G45</f>
        <v/>
      </c>
      <c r="I44" s="32" t="n"/>
      <c r="J44" s="32">
        <f>SUM(J27:J43)</f>
        <v/>
      </c>
    </row>
    <row r="45" ht="25.5" customFormat="1" customHeight="1" s="222">
      <c r="A45" s="268" t="n"/>
      <c r="B45" s="268" t="n"/>
      <c r="C45" s="272" t="inlineStr">
        <is>
          <t>Итого по разделу «Машины и механизмы»</t>
        </is>
      </c>
      <c r="D45" s="268" t="n"/>
      <c r="E45" s="269" t="n"/>
      <c r="F45" s="32" t="n"/>
      <c r="G45" s="32">
        <f>G44+G26</f>
        <v/>
      </c>
      <c r="H45" s="189" t="n">
        <v>1</v>
      </c>
      <c r="I45" s="190" t="n"/>
      <c r="J45" s="191">
        <f>J44+J26</f>
        <v/>
      </c>
    </row>
    <row r="46" ht="30" customHeight="1" s="211">
      <c r="A46" s="268" t="n"/>
      <c r="B46" s="272" t="inlineStr">
        <is>
          <t>Оборудование</t>
        </is>
      </c>
      <c r="C46" s="328" t="n"/>
      <c r="D46" s="328" t="n"/>
      <c r="E46" s="328" t="n"/>
      <c r="F46" s="328" t="n"/>
      <c r="G46" s="328" t="n"/>
      <c r="H46" s="328" t="n"/>
      <c r="I46" s="328" t="n"/>
      <c r="J46" s="329" t="n"/>
    </row>
    <row r="47">
      <c r="A47" s="268" t="n"/>
      <c r="B47" s="267" t="inlineStr">
        <is>
          <t>Основное оборудование</t>
        </is>
      </c>
      <c r="C47" s="328" t="n"/>
      <c r="D47" s="328" t="n"/>
      <c r="E47" s="328" t="n"/>
      <c r="F47" s="328" t="n"/>
      <c r="G47" s="328" t="n"/>
      <c r="H47" s="329" t="n"/>
      <c r="I47" s="186" t="n"/>
      <c r="J47" s="186" t="n"/>
    </row>
    <row r="48">
      <c r="A48" s="268" t="n">
        <v>27</v>
      </c>
      <c r="B48" s="168" t="inlineStr">
        <is>
          <t>БЦ.14_1.799</t>
        </is>
      </c>
      <c r="C48" s="267" t="inlineStr">
        <is>
          <t>Оптический трансформатор тока 500 кВ</t>
        </is>
      </c>
      <c r="D48" s="268" t="inlineStr">
        <is>
          <t>шт.</t>
        </is>
      </c>
      <c r="E48" s="175" t="n">
        <v>6</v>
      </c>
      <c r="F48" s="270">
        <f>I48/'Прил. 10'!$D$14</f>
        <v/>
      </c>
      <c r="G48" s="32">
        <f>F48*E48</f>
        <v/>
      </c>
      <c r="H48" s="271">
        <f>G48/$G$53</f>
        <v/>
      </c>
      <c r="I48" s="32" t="n">
        <v>3530756.25</v>
      </c>
      <c r="J48" s="192">
        <f>ROUND(I48*E48,2)</f>
        <v/>
      </c>
    </row>
    <row r="49">
      <c r="A49" s="268" t="n"/>
      <c r="B49" s="268" t="n"/>
      <c r="C49" s="267" t="inlineStr">
        <is>
          <t>Итого основное оборудование</t>
        </is>
      </c>
      <c r="D49" s="268" t="n"/>
      <c r="E49" s="175" t="n"/>
      <c r="F49" s="270" t="n"/>
      <c r="G49" s="32">
        <f>G48</f>
        <v/>
      </c>
      <c r="H49" s="271">
        <f>G49/$G$53</f>
        <v/>
      </c>
      <c r="I49" s="188" t="n"/>
      <c r="J49" s="32">
        <f>J48</f>
        <v/>
      </c>
    </row>
    <row r="50">
      <c r="A50" s="268" t="n">
        <v>28</v>
      </c>
      <c r="B50" s="168" t="inlineStr">
        <is>
          <t>Прайс из СД ОП</t>
        </is>
      </c>
      <c r="C50" s="267" t="inlineStr">
        <is>
          <t>Коробка зажимов КЗ-11</t>
        </is>
      </c>
      <c r="D50" s="268" t="inlineStr">
        <is>
          <t>шт.</t>
        </is>
      </c>
      <c r="E50" s="268" t="n">
        <v>2</v>
      </c>
      <c r="F50" s="270" t="n">
        <v>1485.03</v>
      </c>
      <c r="G50" s="32">
        <f>F50*E50</f>
        <v/>
      </c>
      <c r="H50" s="271">
        <f>G50/$G$53</f>
        <v/>
      </c>
      <c r="I50" s="32">
        <f>ROUND(F50*'Прил. 10'!$D$14,2)</f>
        <v/>
      </c>
      <c r="J50" s="192">
        <f>ROUND(I50*E50,2)</f>
        <v/>
      </c>
    </row>
    <row r="51">
      <c r="A51" s="268" t="n">
        <v>29</v>
      </c>
      <c r="B51" s="168" t="inlineStr">
        <is>
          <t>Прайс из СД ОП</t>
        </is>
      </c>
      <c r="C51" s="267" t="inlineStr">
        <is>
          <t>Коробка зажимов КЗ-11-АСКУЭ</t>
        </is>
      </c>
      <c r="D51" s="268" t="inlineStr">
        <is>
          <t>шт.</t>
        </is>
      </c>
      <c r="E51" s="268" t="n">
        <v>2</v>
      </c>
      <c r="F51" s="270" t="n">
        <v>777.96</v>
      </c>
      <c r="G51" s="32">
        <f>F51*E51</f>
        <v/>
      </c>
      <c r="H51" s="271">
        <f>G51/$G$53</f>
        <v/>
      </c>
      <c r="I51" s="32">
        <f>ROUND(F51*'Прил. 10'!$D$14,2)</f>
        <v/>
      </c>
      <c r="J51" s="192">
        <f>ROUND(I51*E51,2)</f>
        <v/>
      </c>
    </row>
    <row r="52">
      <c r="A52" s="268" t="n"/>
      <c r="B52" s="268" t="n"/>
      <c r="C52" s="267" t="inlineStr">
        <is>
          <t>Итого прочее оборудование</t>
        </is>
      </c>
      <c r="D52" s="268" t="n"/>
      <c r="E52" s="175" t="n"/>
      <c r="F52" s="270" t="n"/>
      <c r="G52" s="32">
        <f>SUM(G50:G51)</f>
        <v/>
      </c>
      <c r="H52" s="271">
        <f>G52/$G$53</f>
        <v/>
      </c>
      <c r="I52" s="188" t="n"/>
      <c r="J52" s="32">
        <f>SUM(J50:J51)</f>
        <v/>
      </c>
    </row>
    <row r="53">
      <c r="A53" s="268" t="n"/>
      <c r="B53" s="268" t="n"/>
      <c r="C53" s="272" t="inlineStr">
        <is>
          <t>Итого по разделу «Оборудование»</t>
        </is>
      </c>
      <c r="D53" s="268" t="n"/>
      <c r="E53" s="269" t="n"/>
      <c r="F53" s="270" t="n"/>
      <c r="G53" s="32">
        <f>G49+G52</f>
        <v/>
      </c>
      <c r="H53" s="271">
        <f>G53/$G$53</f>
        <v/>
      </c>
      <c r="I53" s="188" t="n"/>
      <c r="J53" s="32">
        <f>J52+J49</f>
        <v/>
      </c>
    </row>
    <row r="54" ht="25.5" customHeight="1" s="211">
      <c r="A54" s="268" t="n"/>
      <c r="B54" s="268" t="n"/>
      <c r="C54" s="267" t="inlineStr">
        <is>
          <t>в том числе технологическое оборудование</t>
        </is>
      </c>
      <c r="D54" s="268" t="n"/>
      <c r="E54" s="181" t="n"/>
      <c r="F54" s="270" t="n"/>
      <c r="G54" s="32">
        <f>G53</f>
        <v/>
      </c>
      <c r="H54" s="271" t="n"/>
      <c r="I54" s="188" t="n"/>
      <c r="J54" s="32">
        <f>J53</f>
        <v/>
      </c>
      <c r="K54" s="225" t="n"/>
    </row>
    <row r="55" ht="41.25" customFormat="1" customHeight="1" s="222">
      <c r="A55" s="268" t="n"/>
      <c r="B55" s="272" t="inlineStr">
        <is>
          <t xml:space="preserve">Материалы </t>
        </is>
      </c>
      <c r="C55" s="328" t="n"/>
      <c r="D55" s="328" t="n"/>
      <c r="E55" s="328" t="n"/>
      <c r="F55" s="328" t="n"/>
      <c r="G55" s="328" t="n"/>
      <c r="H55" s="328" t="n"/>
      <c r="I55" s="328" t="n"/>
      <c r="J55" s="329" t="n"/>
    </row>
    <row r="56" ht="14.25" customFormat="1" customHeight="1" s="222">
      <c r="A56" s="268" t="n"/>
      <c r="B56" s="267" t="inlineStr">
        <is>
          <t>Основные материалы</t>
        </is>
      </c>
      <c r="C56" s="328" t="n"/>
      <c r="D56" s="328" t="n"/>
      <c r="E56" s="328" t="n"/>
      <c r="F56" s="328" t="n"/>
      <c r="G56" s="328" t="n"/>
      <c r="H56" s="329" t="n"/>
      <c r="I56" s="186" t="n"/>
      <c r="J56" s="186" t="n"/>
    </row>
    <row r="57" ht="25.5" customFormat="1" customHeight="1" s="222">
      <c r="A57" s="268" t="n">
        <v>30</v>
      </c>
      <c r="B57" s="168" t="inlineStr">
        <is>
          <t>07.2.07.04-0004</t>
        </is>
      </c>
      <c r="C57" s="267" t="inlineStr">
        <is>
          <t>Конструкции стальные индивидуальные решетчатые сварные, масса 0,5-1 т</t>
        </is>
      </c>
      <c r="D57" s="268" t="inlineStr">
        <is>
          <t>т</t>
        </is>
      </c>
      <c r="E57" s="181" t="n">
        <v>3.012</v>
      </c>
      <c r="F57" s="270" t="n">
        <v>10367.82</v>
      </c>
      <c r="G57" s="32">
        <f>ROUND(E57*F57,2)</f>
        <v/>
      </c>
      <c r="H57" s="187">
        <f>G57/$G$126</f>
        <v/>
      </c>
      <c r="I57" s="32" t="n">
        <v>157048.38</v>
      </c>
      <c r="J57" s="32">
        <f>ROUND(I57*E57,2)</f>
        <v/>
      </c>
    </row>
    <row r="58" ht="51" customFormat="1" customHeight="1" s="222">
      <c r="A58" s="268" t="n">
        <v>31</v>
      </c>
      <c r="B58" s="161" t="inlineStr">
        <is>
          <t>05.1.05.16-0131</t>
        </is>
      </c>
      <c r="C58" s="267" t="inlineStr">
        <is>
          <t>Сваи железобетонные С 120.35-12, бетон B25, объем 1,49 м3, расход арматуры 165,3 кг (прим. Свая СВС(л)219/4500(6)-500)</t>
        </is>
      </c>
      <c r="D58" s="268" t="inlineStr">
        <is>
          <t>шт</t>
        </is>
      </c>
      <c r="E58" s="181" t="n">
        <v>24</v>
      </c>
      <c r="F58" s="270" t="n">
        <v>2537.75</v>
      </c>
      <c r="G58" s="32">
        <f>ROUND(E58*F58,2)</f>
        <v/>
      </c>
      <c r="H58" s="187">
        <f>G58/$G$126</f>
        <v/>
      </c>
      <c r="I58" s="32">
        <f>ROUND(F58*'Прил. 10'!$D$13,2)</f>
        <v/>
      </c>
      <c r="J58" s="32">
        <f>ROUND(I58*E58,2)</f>
        <v/>
      </c>
    </row>
    <row r="59" ht="25.5" customFormat="1" customHeight="1" s="222">
      <c r="A59" s="268" t="n">
        <v>32</v>
      </c>
      <c r="B59" s="161" t="inlineStr">
        <is>
          <t>08.3.05.05-0057</t>
        </is>
      </c>
      <c r="C59" s="267" t="inlineStr">
        <is>
          <t>Сталь листовая оцинкованная, толщина 0,75 мм (прим. Лист L=70 8х70 оцинков.)</t>
        </is>
      </c>
      <c r="D59" s="268" t="inlineStr">
        <is>
          <t>т</t>
        </is>
      </c>
      <c r="E59" s="181" t="n">
        <v>0.60096</v>
      </c>
      <c r="F59" s="270" t="n">
        <v>11144</v>
      </c>
      <c r="G59" s="32">
        <f>ROUND(E59*F59,2)</f>
        <v/>
      </c>
      <c r="H59" s="187">
        <f>G59/$G$126</f>
        <v/>
      </c>
      <c r="I59" s="32">
        <f>ROUND(F59*'Прил. 10'!$D$13,2)</f>
        <v/>
      </c>
      <c r="J59" s="32">
        <f>ROUND(I59*E59,2)</f>
        <v/>
      </c>
    </row>
    <row r="60" ht="14.25" customFormat="1" customHeight="1" s="222">
      <c r="A60" s="268" t="n"/>
      <c r="B60" s="168" t="n"/>
      <c r="C60" s="267" t="inlineStr">
        <is>
          <t>Итого основные материалы</t>
        </is>
      </c>
      <c r="D60" s="268" t="n"/>
      <c r="E60" s="175" t="n"/>
      <c r="F60" s="270" t="n"/>
      <c r="G60" s="32">
        <f>SUM(G57:G59)</f>
        <v/>
      </c>
      <c r="H60" s="187">
        <f>G60/$G$126</f>
        <v/>
      </c>
      <c r="I60" s="32" t="n"/>
      <c r="J60" s="32">
        <f>SUM(J57:J59)</f>
        <v/>
      </c>
    </row>
    <row r="61" hidden="1" outlineLevel="1" ht="25.5" customFormat="1" customHeight="1" s="222">
      <c r="A61" s="268" t="n">
        <v>33</v>
      </c>
      <c r="B61" s="168" t="inlineStr">
        <is>
          <t>21.1.06.10-0411</t>
        </is>
      </c>
      <c r="C61" s="267" t="inlineStr">
        <is>
          <t>Кабель силовой с медными жилами ВВГнг(A)-LS 5х16мк(N, РЕ)-1000</t>
        </is>
      </c>
      <c r="D61" s="268" t="inlineStr">
        <is>
          <t>1000 м</t>
        </is>
      </c>
      <c r="E61" s="175">
        <f>0.015*3*2</f>
        <v/>
      </c>
      <c r="F61" s="270" t="n">
        <v>98440.41</v>
      </c>
      <c r="G61" s="32">
        <f>ROUND(E61*F61,2)</f>
        <v/>
      </c>
      <c r="H61" s="187">
        <f>G61/$G$126</f>
        <v/>
      </c>
      <c r="I61" s="32">
        <f>ROUND(F61*'Прил. 10'!$D$13,2)</f>
        <v/>
      </c>
      <c r="J61" s="32">
        <f>ROUND(I61*E61,2)</f>
        <v/>
      </c>
    </row>
    <row r="62" hidden="1" outlineLevel="1" ht="38.25" customFormat="1" customHeight="1" s="222">
      <c r="A62" s="268" t="n">
        <v>34</v>
      </c>
      <c r="B62" s="168" t="inlineStr">
        <is>
          <t>05.1.05.03-0003</t>
        </is>
      </c>
      <c r="C62" s="267" t="inlineStr">
        <is>
          <t>Оголовки для свайных фундаментов ОГ 1/ бетон B30, объем 0,05 м3, расход арматуры 4,02 кг</t>
        </is>
      </c>
      <c r="D62" s="268" t="inlineStr">
        <is>
          <t>шт</t>
        </is>
      </c>
      <c r="E62" s="175" t="n">
        <v>24</v>
      </c>
      <c r="F62" s="270" t="n">
        <v>82.44</v>
      </c>
      <c r="G62" s="32">
        <f>ROUND(E62*F62,2)</f>
        <v/>
      </c>
      <c r="H62" s="187">
        <f>G62/$G$126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222">
      <c r="A63" s="268" t="n">
        <v>35</v>
      </c>
      <c r="B63" s="168" t="inlineStr">
        <is>
          <t>08.3.11.01-0062</t>
        </is>
      </c>
      <c r="C63" s="267" t="inlineStr">
        <is>
          <t>Швеллеры: № 24 сталь марки Ст3пс (Швеллер 24П, L=1350 мм оцинков.)</t>
        </is>
      </c>
      <c r="D63" s="268" t="inlineStr">
        <is>
          <t>т</t>
        </is>
      </c>
      <c r="E63" s="175">
        <f>24*1.35*24/1000</f>
        <v/>
      </c>
      <c r="F63" s="270" t="n">
        <v>4600</v>
      </c>
      <c r="G63" s="32">
        <f>ROUND(E63*F63,2)</f>
        <v/>
      </c>
      <c r="H63" s="187">
        <f>G63/$G$126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222">
      <c r="A64" s="268" t="n">
        <v>36</v>
      </c>
      <c r="B64" s="168" t="inlineStr">
        <is>
          <t>01.5.02.04-0011</t>
        </is>
      </c>
      <c r="C64" s="267" t="inlineStr">
        <is>
          <t>Экран шумозащитный, марка "ТрансТехКомпозит" (Экран Эк-1)</t>
        </is>
      </c>
      <c r="D64" s="268" t="inlineStr">
        <is>
          <t>м2</t>
        </is>
      </c>
      <c r="E64" s="175" t="n">
        <v>2</v>
      </c>
      <c r="F64" s="270" t="n">
        <v>3754.74</v>
      </c>
      <c r="G64" s="32">
        <f>ROUND(E64*F64,2)</f>
        <v/>
      </c>
      <c r="H64" s="187">
        <f>G64/$G$126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222">
      <c r="A65" s="268" t="n">
        <v>37</v>
      </c>
      <c r="B65" s="168" t="inlineStr">
        <is>
          <t>08.3.11.01-0062</t>
        </is>
      </c>
      <c r="C65" s="267" t="inlineStr">
        <is>
          <t>Швеллеры: № 24 сталь марки Ст3пс (Швеллер 24П, L=1500 мм оцинков.)</t>
        </is>
      </c>
      <c r="D65" s="268" t="inlineStr">
        <is>
          <t>т</t>
        </is>
      </c>
      <c r="E65" s="175">
        <f>24*1.5*12/1000</f>
        <v/>
      </c>
      <c r="F65" s="270" t="n">
        <v>4600</v>
      </c>
      <c r="G65" s="32">
        <f>ROUND(E65*F65,2)</f>
        <v/>
      </c>
      <c r="H65" s="187">
        <f>G65/$G$126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222">
      <c r="A66" s="268" t="n">
        <v>38</v>
      </c>
      <c r="B66" s="168" t="inlineStr">
        <is>
          <t>21.1.08.03-0574</t>
        </is>
      </c>
      <c r="C66" s="267" t="inlineStr">
        <is>
          <t>Кабель контрольный КВВГЭнг(А)-LS 4x2,5</t>
        </is>
      </c>
      <c r="D66" s="268" t="inlineStr">
        <is>
          <t>1000 м</t>
        </is>
      </c>
      <c r="E66" s="175">
        <f>0.022*3*2</f>
        <v/>
      </c>
      <c r="F66" s="270" t="n">
        <v>38348.22</v>
      </c>
      <c r="G66" s="32">
        <f>ROUND(E66*F66,2)</f>
        <v/>
      </c>
      <c r="H66" s="187">
        <f>G66/$G$126</f>
        <v/>
      </c>
      <c r="I66" s="32">
        <f>ROUND(F66*'Прил. 10'!$D$13,2)</f>
        <v/>
      </c>
      <c r="J66" s="32">
        <f>ROUND(I66*E66,2)</f>
        <v/>
      </c>
    </row>
    <row r="67" hidden="1" outlineLevel="1" ht="38.25" customFormat="1" customHeight="1" s="222">
      <c r="A67" s="268" t="n">
        <v>39</v>
      </c>
      <c r="B67" s="168" t="inlineStr">
        <is>
          <t>05.1.01.10-0131</t>
        </is>
      </c>
      <c r="C67" s="267" t="inlineStr">
        <is>
          <t>Лотки каналов и тоннелей железобетонные для прокладки коммуникаций</t>
        </is>
      </c>
      <c r="D67" s="268" t="inlineStr">
        <is>
          <t>м3</t>
        </is>
      </c>
      <c r="E67" s="175">
        <f>0.28*2</f>
        <v/>
      </c>
      <c r="F67" s="270" t="n">
        <v>1837.28</v>
      </c>
      <c r="G67" s="32">
        <f>ROUND(E67*F67,2)</f>
        <v/>
      </c>
      <c r="H67" s="187">
        <f>G67/$G$126</f>
        <v/>
      </c>
      <c r="I67" s="32">
        <f>ROUND(F67*'Прил. 10'!$D$13,2)</f>
        <v/>
      </c>
      <c r="J67" s="32">
        <f>ROUND(I67*E67,2)</f>
        <v/>
      </c>
    </row>
    <row r="68" hidden="1" outlineLevel="1" ht="25.5" customFormat="1" customHeight="1" s="222">
      <c r="A68" s="268" t="n">
        <v>40</v>
      </c>
      <c r="B68" s="168" t="inlineStr">
        <is>
          <t>02.2.05.04-1777</t>
        </is>
      </c>
      <c r="C68" s="267" t="inlineStr">
        <is>
          <t>Щебень М 800, фракция 20-40 мм, группа 2</t>
        </is>
      </c>
      <c r="D68" s="268" t="inlineStr">
        <is>
          <t>м3</t>
        </is>
      </c>
      <c r="E68" s="175">
        <f>1.6*1*2</f>
        <v/>
      </c>
      <c r="F68" s="270" t="n">
        <v>108.4</v>
      </c>
      <c r="G68" s="32">
        <f>ROUND(E68*F68,2)</f>
        <v/>
      </c>
      <c r="H68" s="187">
        <f>G68/$G$126</f>
        <v/>
      </c>
      <c r="I68" s="32">
        <f>ROUND(F68*'Прил. 10'!$D$13,2)</f>
        <v/>
      </c>
      <c r="J68" s="32">
        <f>ROUND(I68*E68,2)</f>
        <v/>
      </c>
    </row>
    <row r="69" hidden="1" outlineLevel="1" ht="25.5" customFormat="1" customHeight="1" s="222">
      <c r="A69" s="268" t="n">
        <v>41</v>
      </c>
      <c r="B69" s="168" t="inlineStr">
        <is>
          <t>20.1.01.02-0012</t>
        </is>
      </c>
      <c r="C69" s="267" t="inlineStr">
        <is>
          <t>Зажим аппаратный прессуемый: 2А6А-500-4</t>
        </is>
      </c>
      <c r="D69" s="268" t="inlineStr">
        <is>
          <t>100 шт</t>
        </is>
      </c>
      <c r="E69" s="175" t="n">
        <v>0.12</v>
      </c>
      <c r="F69" s="270" t="n">
        <v>40971</v>
      </c>
      <c r="G69" s="32">
        <f>ROUND(E69*F69,2)</f>
        <v/>
      </c>
      <c r="H69" s="187">
        <f>G69/$G$126</f>
        <v/>
      </c>
      <c r="I69" s="32">
        <f>ROUND(F69*'Прил. 10'!$D$13,2)</f>
        <v/>
      </c>
      <c r="J69" s="32">
        <f>ROUND(I69*E69,2)</f>
        <v/>
      </c>
    </row>
    <row r="70" hidden="1" outlineLevel="1" ht="63.75" customFormat="1" customHeight="1" s="222">
      <c r="A70" s="268" t="n">
        <v>42</v>
      </c>
      <c r="B70" s="168" t="inlineStr">
        <is>
          <t>21.2.01.02-0102</t>
        </is>
      </c>
      <c r="C70" s="26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D70" s="268" t="inlineStr">
        <is>
          <t>т</t>
        </is>
      </c>
      <c r="E70" s="175" t="n">
        <v>0.11322</v>
      </c>
      <c r="F70" s="270" t="n">
        <v>35127.27</v>
      </c>
      <c r="G70" s="32">
        <f>ROUND(E70*F70,2)</f>
        <v/>
      </c>
      <c r="H70" s="187">
        <f>G70/$G$126</f>
        <v/>
      </c>
      <c r="I70" s="32">
        <f>ROUND(F70*'Прил. 10'!$D$13,2)</f>
        <v/>
      </c>
      <c r="J70" s="32">
        <f>ROUND(I70*E70,2)</f>
        <v/>
      </c>
    </row>
    <row r="71" hidden="1" outlineLevel="1" ht="25.5" customFormat="1" customHeight="1" s="222">
      <c r="A71" s="268" t="n">
        <v>43</v>
      </c>
      <c r="B71" s="168" t="inlineStr">
        <is>
          <t>01.7.15.03-0036</t>
        </is>
      </c>
      <c r="C71" s="267" t="inlineStr">
        <is>
          <t>Болты с гайками и шайбами оцинкованные, диаметр: 24 мм</t>
        </is>
      </c>
      <c r="D71" s="268" t="inlineStr">
        <is>
          <t>кг</t>
        </is>
      </c>
      <c r="E71" s="175" t="n">
        <v>127.54176</v>
      </c>
      <c r="F71" s="270" t="n">
        <v>24.79</v>
      </c>
      <c r="G71" s="32">
        <f>ROUND(E71*F71,2)</f>
        <v/>
      </c>
      <c r="H71" s="187">
        <f>G71/$G$126</f>
        <v/>
      </c>
      <c r="I71" s="32">
        <f>ROUND(F71*'Прил. 10'!$D$13,2)</f>
        <v/>
      </c>
      <c r="J71" s="32">
        <f>ROUND(I71*E71,2)</f>
        <v/>
      </c>
    </row>
    <row r="72" hidden="1" outlineLevel="1" ht="25.5" customFormat="1" customHeight="1" s="222">
      <c r="A72" s="268" t="n">
        <v>44</v>
      </c>
      <c r="B72" s="168" t="inlineStr">
        <is>
          <t>08.3.11.01-0049</t>
        </is>
      </c>
      <c r="C72" s="267" t="inlineStr">
        <is>
          <t>Швеллеры № 10, марка стали Ст3пс (Швеллер 10П, L=600 мм оцинков.)</t>
        </is>
      </c>
      <c r="D72" s="268" t="inlineStr">
        <is>
          <t>т</t>
        </is>
      </c>
      <c r="E72" s="175">
        <f>8.59*0.6*16/1000</f>
        <v/>
      </c>
      <c r="F72" s="270" t="n">
        <v>4900</v>
      </c>
      <c r="G72" s="32">
        <f>ROUND(E72*F72,2)</f>
        <v/>
      </c>
      <c r="H72" s="187">
        <f>G72/$G$126</f>
        <v/>
      </c>
      <c r="I72" s="32">
        <f>ROUND(F72*'Прил. 10'!$D$13,2)</f>
        <v/>
      </c>
      <c r="J72" s="32">
        <f>ROUND(I72*E72,2)</f>
        <v/>
      </c>
    </row>
    <row r="73" hidden="1" outlineLevel="1" ht="14.25" customFormat="1" customHeight="1" s="222">
      <c r="A73" s="268" t="n">
        <v>45</v>
      </c>
      <c r="B73" s="168" t="inlineStr">
        <is>
          <t>04.1.02.05-0001</t>
        </is>
      </c>
      <c r="C73" s="267" t="inlineStr">
        <is>
          <t>Бетон тяжелый, класс: В3,5 (М50)</t>
        </is>
      </c>
      <c r="D73" s="268" t="inlineStr">
        <is>
          <t>м3</t>
        </is>
      </c>
      <c r="E73" s="175" t="n">
        <v>2.4</v>
      </c>
      <c r="F73" s="270" t="n">
        <v>545.6</v>
      </c>
      <c r="G73" s="32">
        <f>ROUND(E73*F73,2)</f>
        <v/>
      </c>
      <c r="H73" s="187">
        <f>G73/$G$126</f>
        <v/>
      </c>
      <c r="I73" s="32">
        <f>ROUND(F73*'Прил. 10'!$D$13,2)</f>
        <v/>
      </c>
      <c r="J73" s="32">
        <f>ROUND(I73*E73,2)</f>
        <v/>
      </c>
    </row>
    <row r="74" hidden="1" outlineLevel="1" ht="14.25" customFormat="1" customHeight="1" s="222">
      <c r="A74" s="268" t="n">
        <v>46</v>
      </c>
      <c r="B74" s="168" t="inlineStr">
        <is>
          <t>08.3.07.01-0043</t>
        </is>
      </c>
      <c r="C74" s="267" t="inlineStr">
        <is>
          <t>Сталь полосовая: 40х5 мм, марка Ст3сп</t>
        </is>
      </c>
      <c r="D74" s="268" t="inlineStr">
        <is>
          <t>т</t>
        </is>
      </c>
      <c r="E74" s="175" t="n">
        <v>0.1884</v>
      </c>
      <c r="F74" s="270" t="n">
        <v>6159.22</v>
      </c>
      <c r="G74" s="32">
        <f>ROUND(E74*F74,2)</f>
        <v/>
      </c>
      <c r="H74" s="187">
        <f>G74/$G$126</f>
        <v/>
      </c>
      <c r="I74" s="32">
        <f>ROUND(F74*'Прил. 10'!$D$13,2)</f>
        <v/>
      </c>
      <c r="J74" s="32">
        <f>ROUND(I74*E74,2)</f>
        <v/>
      </c>
    </row>
    <row r="75" hidden="1" outlineLevel="1" ht="25.5" customFormat="1" customHeight="1" s="222">
      <c r="A75" s="268" t="n">
        <v>47</v>
      </c>
      <c r="B75" s="168" t="inlineStr">
        <is>
          <t>08.3.11.01-0049</t>
        </is>
      </c>
      <c r="C75" s="267" t="inlineStr">
        <is>
          <t>Швеллеры № 10, марка стали Ст3пс (Швеллер 10П, L=490 мм оцинков.)</t>
        </is>
      </c>
      <c r="D75" s="268" t="inlineStr">
        <is>
          <t>т</t>
        </is>
      </c>
      <c r="E75" s="175">
        <f>8.59*0.49*8/1000</f>
        <v/>
      </c>
      <c r="F75" s="270" t="n">
        <v>4900</v>
      </c>
      <c r="G75" s="32">
        <f>ROUND(E75*F75,2)</f>
        <v/>
      </c>
      <c r="H75" s="187">
        <f>G75/$G$126</f>
        <v/>
      </c>
      <c r="I75" s="32">
        <f>ROUND(F75*'Прил. 10'!$D$13,2)</f>
        <v/>
      </c>
      <c r="J75" s="32">
        <f>ROUND(I75*E75,2)</f>
        <v/>
      </c>
    </row>
    <row r="76" hidden="1" outlineLevel="1" ht="14.25" customFormat="1" customHeight="1" s="222">
      <c r="A76" s="268" t="n">
        <v>48</v>
      </c>
      <c r="B76" s="168" t="inlineStr">
        <is>
          <t>14.4.02.09-0301</t>
        </is>
      </c>
      <c r="C76" s="267" t="inlineStr">
        <is>
          <t>Краска "Цинол"</t>
        </is>
      </c>
      <c r="D76" s="268" t="inlineStr">
        <is>
          <t>кг</t>
        </is>
      </c>
      <c r="E76" s="175" t="n">
        <v>3.936</v>
      </c>
      <c r="F76" s="270" t="n">
        <v>238.48</v>
      </c>
      <c r="G76" s="32">
        <f>ROUND(E76*F76,2)</f>
        <v/>
      </c>
      <c r="H76" s="187">
        <f>G76/$G$126</f>
        <v/>
      </c>
      <c r="I76" s="32">
        <f>ROUND(F76*'Прил. 10'!$D$13,2)</f>
        <v/>
      </c>
      <c r="J76" s="32">
        <f>ROUND(I76*E76,2)</f>
        <v/>
      </c>
    </row>
    <row r="77" hidden="1" outlineLevel="1" ht="14.25" customFormat="1" customHeight="1" s="222">
      <c r="A77" s="268" t="n">
        <v>49</v>
      </c>
      <c r="B77" s="168" t="inlineStr">
        <is>
          <t>01.7.11.07-0032</t>
        </is>
      </c>
      <c r="C77" s="267" t="inlineStr">
        <is>
          <t>Электроды диаметром: 4 мм Э42</t>
        </is>
      </c>
      <c r="D77" s="268" t="inlineStr">
        <is>
          <t>т</t>
        </is>
      </c>
      <c r="E77" s="175" t="n">
        <v>0.085357</v>
      </c>
      <c r="F77" s="270" t="n">
        <v>10315.01</v>
      </c>
      <c r="G77" s="32">
        <f>ROUND(E77*F77,2)</f>
        <v/>
      </c>
      <c r="H77" s="187">
        <f>G77/$G$126</f>
        <v/>
      </c>
      <c r="I77" s="32">
        <f>ROUND(F77*'Прил. 10'!$D$13,2)</f>
        <v/>
      </c>
      <c r="J77" s="32">
        <f>ROUND(I77*E77,2)</f>
        <v/>
      </c>
    </row>
    <row r="78" hidden="1" outlineLevel="1" ht="25.5" customFormat="1" customHeight="1" s="222">
      <c r="A78" s="268" t="n">
        <v>50</v>
      </c>
      <c r="B78" s="168" t="inlineStr">
        <is>
          <t>07.2.07.04-0007</t>
        </is>
      </c>
      <c r="C78" s="267" t="inlineStr">
        <is>
          <t>Конструкции стальные индивидуальные: решетчатые сварные массой до 0,1 т</t>
        </is>
      </c>
      <c r="D78" s="268" t="inlineStr">
        <is>
          <t>т</t>
        </is>
      </c>
      <c r="E78" s="175" t="n">
        <v>0.066</v>
      </c>
      <c r="F78" s="270" t="n">
        <v>11500</v>
      </c>
      <c r="G78" s="32">
        <f>ROUND(E78*F78,2)</f>
        <v/>
      </c>
      <c r="H78" s="187">
        <f>G78/$G$126</f>
        <v/>
      </c>
      <c r="I78" s="32">
        <f>ROUND(F78*'Прил. 10'!$D$13,2)</f>
        <v/>
      </c>
      <c r="J78" s="32">
        <f>ROUND(I78*E78,2)</f>
        <v/>
      </c>
    </row>
    <row r="79" hidden="1" outlineLevel="1" ht="25.5" customFormat="1" customHeight="1" s="222">
      <c r="A79" s="268" t="n">
        <v>51</v>
      </c>
      <c r="B79" s="168" t="inlineStr">
        <is>
          <t>08.3.07.01-0076</t>
        </is>
      </c>
      <c r="C79" s="267" t="inlineStr">
        <is>
          <t>Сталь полосовая, марка стали: Ст3сп шириной 50-200 мм толщиной 4-5 мм</t>
        </is>
      </c>
      <c r="D79" s="268" t="inlineStr">
        <is>
          <t>т</t>
        </is>
      </c>
      <c r="E79" s="175" t="n">
        <v>0.09968</v>
      </c>
      <c r="F79" s="270" t="n">
        <v>5000</v>
      </c>
      <c r="G79" s="32">
        <f>ROUND(E79*F79,2)</f>
        <v/>
      </c>
      <c r="H79" s="187">
        <f>G79/$G$126</f>
        <v/>
      </c>
      <c r="I79" s="32">
        <f>ROUND(F79*'Прил. 10'!$D$13,2)</f>
        <v/>
      </c>
      <c r="J79" s="32">
        <f>ROUND(I79*E79,2)</f>
        <v/>
      </c>
    </row>
    <row r="80" hidden="1" outlineLevel="1" ht="14.25" customFormat="1" customHeight="1" s="222">
      <c r="A80" s="268" t="n">
        <v>52</v>
      </c>
      <c r="B80" s="168" t="inlineStr">
        <is>
          <t>01.7.17.11-0001</t>
        </is>
      </c>
      <c r="C80" s="267" t="inlineStr">
        <is>
          <t>Бумага шлифовальная</t>
        </is>
      </c>
      <c r="D80" s="268" t="inlineStr">
        <is>
          <t>кг</t>
        </is>
      </c>
      <c r="E80" s="175" t="n">
        <v>8</v>
      </c>
      <c r="F80" s="270" t="n">
        <v>50</v>
      </c>
      <c r="G80" s="32">
        <f>ROUND(E80*F80,2)</f>
        <v/>
      </c>
      <c r="H80" s="187">
        <f>G80/$G$126</f>
        <v/>
      </c>
      <c r="I80" s="32">
        <f>ROUND(F80*'Прил. 10'!$D$13,2)</f>
        <v/>
      </c>
      <c r="J80" s="32">
        <f>ROUND(I80*E80,2)</f>
        <v/>
      </c>
    </row>
    <row r="81" hidden="1" outlineLevel="1" ht="25.5" customFormat="1" customHeight="1" s="222">
      <c r="A81" s="268" t="n">
        <v>53</v>
      </c>
      <c r="B81" s="168" t="inlineStr">
        <is>
          <t>20.1.01.02-0067</t>
        </is>
      </c>
      <c r="C81" s="267" t="inlineStr">
        <is>
          <t>Зажим аппаратный прессуемый: А4А-400-2</t>
        </is>
      </c>
      <c r="D81" s="268" t="inlineStr">
        <is>
          <t>100 шт</t>
        </is>
      </c>
      <c r="E81" s="175" t="n">
        <v>0.06</v>
      </c>
      <c r="F81" s="270" t="n">
        <v>6505</v>
      </c>
      <c r="G81" s="32">
        <f>ROUND(E81*F81,2)</f>
        <v/>
      </c>
      <c r="H81" s="187">
        <f>G81/$G$126</f>
        <v/>
      </c>
      <c r="I81" s="32">
        <f>ROUND(F81*'Прил. 10'!$D$13,2)</f>
        <v/>
      </c>
      <c r="J81" s="32">
        <f>ROUND(I81*E81,2)</f>
        <v/>
      </c>
    </row>
    <row r="82" hidden="1" outlineLevel="1" ht="14.25" customFormat="1" customHeight="1" s="222">
      <c r="A82" s="268" t="n">
        <v>54</v>
      </c>
      <c r="B82" s="168" t="inlineStr">
        <is>
          <t>20.2.11.01-0008</t>
        </is>
      </c>
      <c r="C82" s="267" t="inlineStr">
        <is>
          <t>Распорка дистанционная: глухая РГ-3-500</t>
        </is>
      </c>
      <c r="D82" s="268" t="inlineStr">
        <is>
          <t>шт</t>
        </is>
      </c>
      <c r="E82" s="175" t="n">
        <v>12</v>
      </c>
      <c r="F82" s="270" t="n">
        <v>30.58</v>
      </c>
      <c r="G82" s="32">
        <f>ROUND(E82*F82,2)</f>
        <v/>
      </c>
      <c r="H82" s="187">
        <f>G82/$G$126</f>
        <v/>
      </c>
      <c r="I82" s="32">
        <f>ROUND(F82*'Прил. 10'!$D$13,2)</f>
        <v/>
      </c>
      <c r="J82" s="32">
        <f>ROUND(I82*E82,2)</f>
        <v/>
      </c>
    </row>
    <row r="83" hidden="1" outlineLevel="1" ht="25.5" customFormat="1" customHeight="1" s="222">
      <c r="A83" s="268" t="n">
        <v>55</v>
      </c>
      <c r="B83" s="168" t="inlineStr">
        <is>
          <t>20.1.02.23-0121</t>
        </is>
      </c>
      <c r="C83" s="267" t="inlineStr">
        <is>
          <t>Проводник заземляющий П-750 (прим. Перемычка ПГС 95-280)</t>
        </is>
      </c>
      <c r="D83" s="268" t="inlineStr">
        <is>
          <t>шт</t>
        </is>
      </c>
      <c r="E83" s="175" t="n">
        <v>8</v>
      </c>
      <c r="F83" s="270" t="n">
        <v>13.55</v>
      </c>
      <c r="G83" s="32">
        <f>ROUND(E83*F83,2)</f>
        <v/>
      </c>
      <c r="H83" s="187">
        <f>G83/$G$126</f>
        <v/>
      </c>
      <c r="I83" s="32">
        <f>ROUND(F83*'Прил. 10'!$D$13,2)</f>
        <v/>
      </c>
      <c r="J83" s="32">
        <f>ROUND(I83*E83,2)</f>
        <v/>
      </c>
    </row>
    <row r="84" hidden="1" outlineLevel="1" ht="14.25" customFormat="1" customHeight="1" s="222">
      <c r="A84" s="268" t="n">
        <v>56</v>
      </c>
      <c r="B84" s="168" t="inlineStr">
        <is>
          <t>14.4.02.09-0301</t>
        </is>
      </c>
      <c r="C84" s="267" t="inlineStr">
        <is>
          <t>Краска "Цинол"</t>
        </is>
      </c>
      <c r="D84" s="268" t="inlineStr">
        <is>
          <t>кг</t>
        </is>
      </c>
      <c r="E84" s="175" t="n">
        <v>0.921408</v>
      </c>
      <c r="F84" s="270" t="n">
        <v>238.48</v>
      </c>
      <c r="G84" s="32">
        <f>ROUND(E84*F84,2)</f>
        <v/>
      </c>
      <c r="H84" s="187">
        <f>G84/$G$126</f>
        <v/>
      </c>
      <c r="I84" s="32">
        <f>ROUND(F84*'Прил. 10'!$D$13,2)</f>
        <v/>
      </c>
      <c r="J84" s="32">
        <f>ROUND(I84*E84,2)</f>
        <v/>
      </c>
    </row>
    <row r="85" hidden="1" outlineLevel="1" ht="25.5" customFormat="1" customHeight="1" s="222">
      <c r="A85" s="268" t="n">
        <v>57</v>
      </c>
      <c r="B85" s="168" t="inlineStr">
        <is>
          <t>20.2.08.01-0003</t>
        </is>
      </c>
      <c r="C85" s="267" t="inlineStr">
        <is>
          <t>DIN-рейка металлическая ТН 35/7,5 длина 1000 мм</t>
        </is>
      </c>
      <c r="D85" s="268" t="inlineStr">
        <is>
          <t>100 шт</t>
        </is>
      </c>
      <c r="E85" s="175" t="n">
        <v>0.02</v>
      </c>
      <c r="F85" s="270" t="n">
        <v>985</v>
      </c>
      <c r="G85" s="32">
        <f>ROUND(E85*F85,2)</f>
        <v/>
      </c>
      <c r="H85" s="187">
        <f>G85/$G$126</f>
        <v/>
      </c>
      <c r="I85" s="32">
        <f>ROUND(F85*'Прил. 10'!$D$13,2)</f>
        <v/>
      </c>
      <c r="J85" s="32">
        <f>ROUND(I85*E85,2)</f>
        <v/>
      </c>
    </row>
    <row r="86" hidden="1" outlineLevel="1" ht="14.25" customFormat="1" customHeight="1" s="222">
      <c r="A86" s="268" t="n">
        <v>58</v>
      </c>
      <c r="B86" s="168" t="inlineStr">
        <is>
          <t>18.5.08.09-0001</t>
        </is>
      </c>
      <c r="C86" s="267" t="inlineStr">
        <is>
          <t>Патрубки</t>
        </is>
      </c>
      <c r="D86" s="268" t="inlineStr">
        <is>
          <t>10 шт.</t>
        </is>
      </c>
      <c r="E86" s="175" t="n">
        <v>0.76</v>
      </c>
      <c r="F86" s="270" t="n">
        <v>277.5</v>
      </c>
      <c r="G86" s="32">
        <f>ROUND(E86*F86,2)</f>
        <v/>
      </c>
      <c r="H86" s="187">
        <f>G86/$G$126</f>
        <v/>
      </c>
      <c r="I86" s="32">
        <f>ROUND(F86*'Прил. 10'!$D$13,2)</f>
        <v/>
      </c>
      <c r="J86" s="32">
        <f>ROUND(I86*E86,2)</f>
        <v/>
      </c>
    </row>
    <row r="87" hidden="1" outlineLevel="1" ht="14.25" customFormat="1" customHeight="1" s="222">
      <c r="A87" s="268" t="n">
        <v>59</v>
      </c>
      <c r="B87" s="168" t="inlineStr">
        <is>
          <t>01.7.15.03-0042</t>
        </is>
      </c>
      <c r="C87" s="267" t="inlineStr">
        <is>
          <t>Болты с гайками и шайбами строительные</t>
        </is>
      </c>
      <c r="D87" s="268" t="inlineStr">
        <is>
          <t>кг</t>
        </is>
      </c>
      <c r="E87" s="175" t="n">
        <v>17.415</v>
      </c>
      <c r="F87" s="270" t="n">
        <v>9.039999999999999</v>
      </c>
      <c r="G87" s="32">
        <f>ROUND(E87*F87,2)</f>
        <v/>
      </c>
      <c r="H87" s="187">
        <f>G87/$G$126</f>
        <v/>
      </c>
      <c r="I87" s="32">
        <f>ROUND(F87*'Прил. 10'!$D$13,2)</f>
        <v/>
      </c>
      <c r="J87" s="32">
        <f>ROUND(I87*E87,2)</f>
        <v/>
      </c>
    </row>
    <row r="88" hidden="1" outlineLevel="1" ht="14.25" customFormat="1" customHeight="1" s="222">
      <c r="A88" s="268" t="n">
        <v>60</v>
      </c>
      <c r="B88" s="168" t="inlineStr">
        <is>
          <t>14.4.02.09-0001</t>
        </is>
      </c>
      <c r="C88" s="267" t="inlineStr">
        <is>
          <t>Краска</t>
        </is>
      </c>
      <c r="D88" s="268" t="inlineStr">
        <is>
          <t>кг</t>
        </is>
      </c>
      <c r="E88" s="175" t="n">
        <v>4.188</v>
      </c>
      <c r="F88" s="270" t="n">
        <v>28.6</v>
      </c>
      <c r="G88" s="32">
        <f>ROUND(E88*F88,2)</f>
        <v/>
      </c>
      <c r="H88" s="187">
        <f>G88/$G$126</f>
        <v/>
      </c>
      <c r="I88" s="32">
        <f>ROUND(F88*'Прил. 10'!$D$13,2)</f>
        <v/>
      </c>
      <c r="J88" s="32">
        <f>ROUND(I88*E88,2)</f>
        <v/>
      </c>
    </row>
    <row r="89" hidden="1" outlineLevel="1" ht="14.25" customFormat="1" customHeight="1" s="222">
      <c r="A89" s="268" t="n">
        <v>61</v>
      </c>
      <c r="B89" s="168" t="inlineStr">
        <is>
          <t>01.7.11.07-0034</t>
        </is>
      </c>
      <c r="C89" s="267" t="inlineStr">
        <is>
          <t>Электроды диаметром: 4 мм Э42А</t>
        </is>
      </c>
      <c r="D89" s="268" t="inlineStr">
        <is>
          <t>кг</t>
        </is>
      </c>
      <c r="E89" s="175" t="n">
        <v>10.682</v>
      </c>
      <c r="F89" s="270" t="n">
        <v>10.57</v>
      </c>
      <c r="G89" s="32">
        <f>ROUND(E89*F89,2)</f>
        <v/>
      </c>
      <c r="H89" s="187">
        <f>G89/$G$126</f>
        <v/>
      </c>
      <c r="I89" s="32">
        <f>ROUND(F89*'Прил. 10'!$D$13,2)</f>
        <v/>
      </c>
      <c r="J89" s="32">
        <f>ROUND(I89*E89,2)</f>
        <v/>
      </c>
    </row>
    <row r="90" hidden="1" outlineLevel="1" ht="14.25" customFormat="1" customHeight="1" s="222">
      <c r="A90" s="268" t="n">
        <v>62</v>
      </c>
      <c r="B90" s="168" t="inlineStr">
        <is>
          <t>25.2.01.01-0001</t>
        </is>
      </c>
      <c r="C90" s="267" t="inlineStr">
        <is>
          <t>Бирки-оконцеватели</t>
        </is>
      </c>
      <c r="D90" s="268" t="inlineStr">
        <is>
          <t>100 шт</t>
        </is>
      </c>
      <c r="E90" s="175" t="n">
        <v>1.64</v>
      </c>
      <c r="F90" s="270" t="n">
        <v>63</v>
      </c>
      <c r="G90" s="32">
        <f>ROUND(E90*F90,2)</f>
        <v/>
      </c>
      <c r="H90" s="187">
        <f>G90/$G$126</f>
        <v/>
      </c>
      <c r="I90" s="32">
        <f>ROUND(F90*'Прил. 10'!$D$13,2)</f>
        <v/>
      </c>
      <c r="J90" s="32">
        <f>ROUND(I90*E90,2)</f>
        <v/>
      </c>
    </row>
    <row r="91" hidden="1" outlineLevel="1" ht="25.5" customFormat="1" customHeight="1" s="222">
      <c r="A91" s="268" t="n">
        <v>63</v>
      </c>
      <c r="B91" s="168" t="inlineStr">
        <is>
          <t>999-9950</t>
        </is>
      </c>
      <c r="C91" s="267" t="inlineStr">
        <is>
          <t>Вспомогательные ненормируемые ресурсы (2% от Оплаты труда рабочих)</t>
        </is>
      </c>
      <c r="D91" s="268" t="inlineStr">
        <is>
          <t>руб</t>
        </is>
      </c>
      <c r="E91" s="175" t="n">
        <v>86.56789999999999</v>
      </c>
      <c r="F91" s="270" t="n">
        <v>1</v>
      </c>
      <c r="G91" s="32">
        <f>ROUND(E91*F91,2)</f>
        <v/>
      </c>
      <c r="H91" s="187">
        <f>G91/$G$126</f>
        <v/>
      </c>
      <c r="I91" s="32">
        <f>ROUND(F91*'Прил. 10'!$D$13,2)</f>
        <v/>
      </c>
      <c r="J91" s="32">
        <f>ROUND(I91*E91,2)</f>
        <v/>
      </c>
    </row>
    <row r="92" hidden="1" outlineLevel="1" ht="25.5" customFormat="1" customHeight="1" s="222">
      <c r="A92" s="268" t="n">
        <v>64</v>
      </c>
      <c r="B92" s="168" t="inlineStr">
        <is>
          <t>01.3.01.06-0050</t>
        </is>
      </c>
      <c r="C92" s="267" t="inlineStr">
        <is>
          <t>Смазка универсальная тугоплавкая УТ (консталин жировой)</t>
        </is>
      </c>
      <c r="D92" s="268" t="inlineStr">
        <is>
          <t>т</t>
        </is>
      </c>
      <c r="E92" s="175" t="n">
        <v>0.00456</v>
      </c>
      <c r="F92" s="270" t="n">
        <v>17500</v>
      </c>
      <c r="G92" s="32">
        <f>ROUND(E92*F92,2)</f>
        <v/>
      </c>
      <c r="H92" s="187">
        <f>G92/$G$126</f>
        <v/>
      </c>
      <c r="I92" s="32">
        <f>ROUND(F92*'Прил. 10'!$D$13,2)</f>
        <v/>
      </c>
      <c r="J92" s="32">
        <f>ROUND(I92*E92,2)</f>
        <v/>
      </c>
    </row>
    <row r="93" hidden="1" outlineLevel="1" ht="14.25" customFormat="1" customHeight="1" s="222">
      <c r="A93" s="268" t="n">
        <v>65</v>
      </c>
      <c r="B93" s="168" t="inlineStr">
        <is>
          <t>01.7.20.08-0031</t>
        </is>
      </c>
      <c r="C93" s="267" t="inlineStr">
        <is>
          <t>Бязь суровая арт. 6804</t>
        </is>
      </c>
      <c r="D93" s="268" t="inlineStr">
        <is>
          <t>10 м2</t>
        </is>
      </c>
      <c r="E93" s="175" t="n">
        <v>0.93</v>
      </c>
      <c r="F93" s="270" t="n">
        <v>79.09999999999999</v>
      </c>
      <c r="G93" s="32">
        <f>ROUND(E93*F93,2)</f>
        <v/>
      </c>
      <c r="H93" s="187">
        <f>G93/$G$126</f>
        <v/>
      </c>
      <c r="I93" s="32">
        <f>ROUND(F93*'Прил. 10'!$D$13,2)</f>
        <v/>
      </c>
      <c r="J93" s="32">
        <f>ROUND(I93*E93,2)</f>
        <v/>
      </c>
    </row>
    <row r="94" hidden="1" outlineLevel="1" ht="25.5" customFormat="1" customHeight="1" s="222">
      <c r="A94" s="268" t="n">
        <v>66</v>
      </c>
      <c r="B94" s="168" t="inlineStr">
        <is>
          <t>62.1.01.09-0209</t>
        </is>
      </c>
      <c r="C94" s="267" t="inlineStr">
        <is>
          <t>Выключатели автоматические: АП50Б 2МТ 4А</t>
        </is>
      </c>
      <c r="D94" s="268" t="inlineStr">
        <is>
          <t>шт</t>
        </is>
      </c>
      <c r="E94" s="175" t="n">
        <v>1</v>
      </c>
      <c r="F94" s="270" t="n">
        <v>68.7</v>
      </c>
      <c r="G94" s="32">
        <f>ROUND(E94*F94,2)</f>
        <v/>
      </c>
      <c r="H94" s="187">
        <f>G94/$G$126</f>
        <v/>
      </c>
      <c r="I94" s="32">
        <f>ROUND(F94*'Прил. 10'!$D$13,2)</f>
        <v/>
      </c>
      <c r="J94" s="32">
        <f>ROUND(I94*E94,2)</f>
        <v/>
      </c>
    </row>
    <row r="95" hidden="1" outlineLevel="1" ht="14.25" customFormat="1" customHeight="1" s="222">
      <c r="A95" s="268" t="n">
        <v>67</v>
      </c>
      <c r="B95" s="168" t="inlineStr">
        <is>
          <t>01.7.15.07-0014</t>
        </is>
      </c>
      <c r="C95" s="267" t="inlineStr">
        <is>
          <t>Дюбели распорные полипропиленовые</t>
        </is>
      </c>
      <c r="D95" s="268" t="inlineStr">
        <is>
          <t>100 шт</t>
        </is>
      </c>
      <c r="E95" s="175" t="n">
        <v>0.784</v>
      </c>
      <c r="F95" s="270" t="n">
        <v>86</v>
      </c>
      <c r="G95" s="32">
        <f>ROUND(E95*F95,2)</f>
        <v/>
      </c>
      <c r="H95" s="187">
        <f>G95/$G$126</f>
        <v/>
      </c>
      <c r="I95" s="32">
        <f>ROUND(F95*'Прил. 10'!$D$13,2)</f>
        <v/>
      </c>
      <c r="J95" s="32">
        <f>ROUND(I95*E95,2)</f>
        <v/>
      </c>
    </row>
    <row r="96" hidden="1" outlineLevel="1" ht="14.25" customFormat="1" customHeight="1" s="222">
      <c r="A96" s="268" t="n">
        <v>68</v>
      </c>
      <c r="B96" s="168" t="inlineStr">
        <is>
          <t>07.1.04.02-0001</t>
        </is>
      </c>
      <c r="C96" s="267" t="inlineStr">
        <is>
          <t>Детали крепления стальные</t>
        </is>
      </c>
      <c r="D96" s="268" t="inlineStr">
        <is>
          <t>кг</t>
        </is>
      </c>
      <c r="E96" s="175" t="n">
        <v>4.280472</v>
      </c>
      <c r="F96" s="270" t="n">
        <v>10.05</v>
      </c>
      <c r="G96" s="32">
        <f>ROUND(E96*F96,2)</f>
        <v/>
      </c>
      <c r="H96" s="187">
        <f>G96/$G$126</f>
        <v/>
      </c>
      <c r="I96" s="32">
        <f>ROUND(F96*'Прил. 10'!$D$13,2)</f>
        <v/>
      </c>
      <c r="J96" s="32">
        <f>ROUND(I96*E96,2)</f>
        <v/>
      </c>
    </row>
    <row r="97" hidden="1" outlineLevel="1" ht="25.5" customFormat="1" customHeight="1" s="222">
      <c r="A97" s="268" t="n">
        <v>69</v>
      </c>
      <c r="B97" s="168" t="inlineStr">
        <is>
          <t>14.2.01.05-0001</t>
        </is>
      </c>
      <c r="C97" s="267" t="inlineStr">
        <is>
          <t>Композиция "Алпол" (на основе термопластичных полимеров)</t>
        </is>
      </c>
      <c r="D97" s="268" t="inlineStr">
        <is>
          <t>кг</t>
        </is>
      </c>
      <c r="E97" s="175" t="n">
        <v>0.71985</v>
      </c>
      <c r="F97" s="270" t="n">
        <v>54.99</v>
      </c>
      <c r="G97" s="32">
        <f>ROUND(E97*F97,2)</f>
        <v/>
      </c>
      <c r="H97" s="187">
        <f>G97/$G$126</f>
        <v/>
      </c>
      <c r="I97" s="32">
        <f>ROUND(F97*'Прил. 10'!$D$13,2)</f>
        <v/>
      </c>
      <c r="J97" s="32">
        <f>ROUND(I97*E97,2)</f>
        <v/>
      </c>
    </row>
    <row r="98" hidden="1" outlineLevel="1" ht="14.25" customFormat="1" customHeight="1" s="222">
      <c r="A98" s="268" t="n">
        <v>70</v>
      </c>
      <c r="B98" s="168" t="inlineStr">
        <is>
          <t>20.1.02.23-0082</t>
        </is>
      </c>
      <c r="C98" s="267" t="inlineStr">
        <is>
          <t>Перемычки гибкие, тип ПГС-50</t>
        </is>
      </c>
      <c r="D98" s="268" t="inlineStr">
        <is>
          <t>10 шт.</t>
        </is>
      </c>
      <c r="E98" s="175" t="n">
        <v>0.88</v>
      </c>
      <c r="F98" s="270" t="n">
        <v>39</v>
      </c>
      <c r="G98" s="32">
        <f>ROUND(E98*F98,2)</f>
        <v/>
      </c>
      <c r="H98" s="187">
        <f>G98/$G$126</f>
        <v/>
      </c>
      <c r="I98" s="32">
        <f>ROUND(F98*'Прил. 10'!$D$13,2)</f>
        <v/>
      </c>
      <c r="J98" s="32">
        <f>ROUND(I98*E98,2)</f>
        <v/>
      </c>
    </row>
    <row r="99" hidden="1" outlineLevel="1" ht="14.25" customFormat="1" customHeight="1" s="222">
      <c r="A99" s="268" t="n">
        <v>71</v>
      </c>
      <c r="B99" s="168" t="inlineStr">
        <is>
          <t>01.7.11.07-0230</t>
        </is>
      </c>
      <c r="C99" s="267" t="inlineStr">
        <is>
          <t>Электроды: УОНИ 13/55</t>
        </is>
      </c>
      <c r="D99" s="268" t="inlineStr">
        <is>
          <t>кг</t>
        </is>
      </c>
      <c r="E99" s="175" t="n">
        <v>2.120832</v>
      </c>
      <c r="F99" s="270" t="n">
        <v>15.26</v>
      </c>
      <c r="G99" s="32">
        <f>ROUND(E99*F99,2)</f>
        <v/>
      </c>
      <c r="H99" s="187">
        <f>G99/$G$126</f>
        <v/>
      </c>
      <c r="I99" s="32">
        <f>ROUND(F99*'Прил. 10'!$D$13,2)</f>
        <v/>
      </c>
      <c r="J99" s="32">
        <f>ROUND(I99*E99,2)</f>
        <v/>
      </c>
    </row>
    <row r="100" hidden="1" outlineLevel="1" ht="14.25" customFormat="1" customHeight="1" s="222">
      <c r="A100" s="268" t="n">
        <v>72</v>
      </c>
      <c r="B100" s="168" t="inlineStr">
        <is>
          <t>01.3.01.06-0046</t>
        </is>
      </c>
      <c r="C100" s="267" t="inlineStr">
        <is>
          <t>Смазка солидол жировой марки «Ж»</t>
        </is>
      </c>
      <c r="D100" s="268" t="inlineStr">
        <is>
          <t>т</t>
        </is>
      </c>
      <c r="E100" s="175" t="n">
        <v>0.003024</v>
      </c>
      <c r="F100" s="270" t="n">
        <v>9661.5</v>
      </c>
      <c r="G100" s="32">
        <f>ROUND(E100*F100,2)</f>
        <v/>
      </c>
      <c r="H100" s="187">
        <f>G100/$G$126</f>
        <v/>
      </c>
      <c r="I100" s="32">
        <f>ROUND(F100*'Прил. 10'!$D$13,2)</f>
        <v/>
      </c>
      <c r="J100" s="32">
        <f>ROUND(I100*E100,2)</f>
        <v/>
      </c>
    </row>
    <row r="101" hidden="1" outlineLevel="1" ht="25.5" customFormat="1" customHeight="1" s="222">
      <c r="A101" s="268" t="n">
        <v>73</v>
      </c>
      <c r="B101" s="168" t="inlineStr">
        <is>
          <t>08.3.08.02-0091</t>
        </is>
      </c>
      <c r="C101" s="267" t="inlineStr">
        <is>
          <t>Сталь угловая, марки Ст3, перфорированная УП 35х35 мм</t>
        </is>
      </c>
      <c r="D101" s="268" t="inlineStr">
        <is>
          <t>м</t>
        </is>
      </c>
      <c r="E101" s="175" t="n">
        <v>1.9</v>
      </c>
      <c r="F101" s="270" t="n">
        <v>15.13</v>
      </c>
      <c r="G101" s="32">
        <f>ROUND(E101*F101,2)</f>
        <v/>
      </c>
      <c r="H101" s="187">
        <f>G101/$G$126</f>
        <v/>
      </c>
      <c r="I101" s="32">
        <f>ROUND(F101*'Прил. 10'!$D$13,2)</f>
        <v/>
      </c>
      <c r="J101" s="32">
        <f>ROUND(I101*E101,2)</f>
        <v/>
      </c>
    </row>
    <row r="102" hidden="1" outlineLevel="1" ht="25.5" customFormat="1" customHeight="1" s="222">
      <c r="A102" s="268" t="n">
        <v>74</v>
      </c>
      <c r="B102" s="168" t="inlineStr">
        <is>
          <t>01.7.15.04-0011</t>
        </is>
      </c>
      <c r="C102" s="267" t="inlineStr">
        <is>
          <t>Винты с полукруглой головкой длиной: 50 мм</t>
        </is>
      </c>
      <c r="D102" s="268" t="inlineStr">
        <is>
          <t>т</t>
        </is>
      </c>
      <c r="E102" s="175" t="n">
        <v>0.0022484</v>
      </c>
      <c r="F102" s="270" t="n">
        <v>12430</v>
      </c>
      <c r="G102" s="32">
        <f>ROUND(E102*F102,2)</f>
        <v/>
      </c>
      <c r="H102" s="187">
        <f>G102/$G$126</f>
        <v/>
      </c>
      <c r="I102" s="32">
        <f>ROUND(F102*'Прил. 10'!$D$13,2)</f>
        <v/>
      </c>
      <c r="J102" s="32">
        <f>ROUND(I102*E102,2)</f>
        <v/>
      </c>
    </row>
    <row r="103" hidden="1" outlineLevel="1" ht="14.25" customFormat="1" customHeight="1" s="222">
      <c r="A103" s="268" t="n">
        <v>75</v>
      </c>
      <c r="B103" s="168" t="inlineStr">
        <is>
          <t>01.7.02.07-0011</t>
        </is>
      </c>
      <c r="C103" s="267" t="inlineStr">
        <is>
          <t>Прессшпан листовой, марки А</t>
        </is>
      </c>
      <c r="D103" s="268" t="inlineStr">
        <is>
          <t>кг</t>
        </is>
      </c>
      <c r="E103" s="175" t="n">
        <v>0.5610000000000001</v>
      </c>
      <c r="F103" s="270" t="n">
        <v>47.57</v>
      </c>
      <c r="G103" s="32">
        <f>ROUND(E103*F103,2)</f>
        <v/>
      </c>
      <c r="H103" s="187">
        <f>G103/$G$126</f>
        <v/>
      </c>
      <c r="I103" s="32">
        <f>ROUND(F103*'Прил. 10'!$D$13,2)</f>
        <v/>
      </c>
      <c r="J103" s="32">
        <f>ROUND(I103*E103,2)</f>
        <v/>
      </c>
    </row>
    <row r="104" hidden="1" outlineLevel="1" ht="25.5" customFormat="1" customHeight="1" s="222">
      <c r="A104" s="268" t="n">
        <v>76</v>
      </c>
      <c r="B104" s="168" t="inlineStr">
        <is>
          <t>08.3.05.02-0052</t>
        </is>
      </c>
      <c r="C104" s="267" t="inlineStr">
        <is>
          <t>Сталь листовая горячекатаная марки Ст3 толщиной: 2-6 мм</t>
        </is>
      </c>
      <c r="D104" s="268" t="inlineStr">
        <is>
          <t>т</t>
        </is>
      </c>
      <c r="E104" s="175" t="n">
        <v>0.002</v>
      </c>
      <c r="F104" s="270" t="n">
        <v>5941.89</v>
      </c>
      <c r="G104" s="32">
        <f>ROUND(E104*F104,2)</f>
        <v/>
      </c>
      <c r="H104" s="187">
        <f>G104/$G$126</f>
        <v/>
      </c>
      <c r="I104" s="32">
        <f>ROUND(F104*'Прил. 10'!$D$13,2)</f>
        <v/>
      </c>
      <c r="J104" s="32">
        <f>ROUND(I104*E104,2)</f>
        <v/>
      </c>
    </row>
    <row r="105" hidden="1" outlineLevel="1" ht="38.25" customFormat="1" customHeight="1" s="222">
      <c r="A105" s="268" t="n">
        <v>77</v>
      </c>
      <c r="B105" s="168" t="inlineStr">
        <is>
          <t>01.7.06.05-0041</t>
        </is>
      </c>
      <c r="C105" s="267" t="inlineStr">
        <is>
          <t>Лента изоляционная прорезиненная односторонняя ширина 20 мм, толщина 0,25-0,35 мм</t>
        </is>
      </c>
      <c r="D105" s="268" t="inlineStr">
        <is>
          <t>кг</t>
        </is>
      </c>
      <c r="E105" s="175" t="n">
        <v>0.332</v>
      </c>
      <c r="F105" s="270" t="n">
        <v>30.4</v>
      </c>
      <c r="G105" s="32">
        <f>ROUND(E105*F105,2)</f>
        <v/>
      </c>
      <c r="H105" s="187">
        <f>G105/$G$126</f>
        <v/>
      </c>
      <c r="I105" s="32">
        <f>ROUND(F105*'Прил. 10'!$D$13,2)</f>
        <v/>
      </c>
      <c r="J105" s="32">
        <f>ROUND(I105*E105,2)</f>
        <v/>
      </c>
    </row>
    <row r="106" hidden="1" outlineLevel="1" ht="38.25" customFormat="1" customHeight="1" s="222">
      <c r="A106" s="268" t="n">
        <v>78</v>
      </c>
      <c r="B106" s="168" t="inlineStr">
        <is>
          <t>08.3.05.02-0101</t>
        </is>
      </c>
      <c r="C106" s="267" t="inlineStr">
        <is>
          <t>Сталь листовая углеродистая обыкновенного качества марки ВСт3пс5 толщиной: 4-6 мм</t>
        </is>
      </c>
      <c r="D106" s="268" t="inlineStr">
        <is>
          <t>т</t>
        </is>
      </c>
      <c r="E106" s="175" t="n">
        <v>0.00144</v>
      </c>
      <c r="F106" s="270" t="n">
        <v>5763</v>
      </c>
      <c r="G106" s="32">
        <f>ROUND(E106*F106,2)</f>
        <v/>
      </c>
      <c r="H106" s="187">
        <f>G106/$G$126</f>
        <v/>
      </c>
      <c r="I106" s="32">
        <f>ROUND(F106*'Прил. 10'!$D$13,2)</f>
        <v/>
      </c>
      <c r="J106" s="32">
        <f>ROUND(I106*E106,2)</f>
        <v/>
      </c>
    </row>
    <row r="107" hidden="1" outlineLevel="1" ht="14.25" customFormat="1" customHeight="1" s="222">
      <c r="A107" s="268" t="n">
        <v>79</v>
      </c>
      <c r="B107" s="168" t="inlineStr">
        <is>
          <t>01.3.01.02-0002</t>
        </is>
      </c>
      <c r="C107" s="267" t="inlineStr">
        <is>
          <t>Вазелин технический</t>
        </is>
      </c>
      <c r="D107" s="268" t="inlineStr">
        <is>
          <t>кг</t>
        </is>
      </c>
      <c r="E107" s="175" t="n">
        <v>0.166</v>
      </c>
      <c r="F107" s="270" t="n">
        <v>44.97</v>
      </c>
      <c r="G107" s="32">
        <f>ROUND(E107*F107,2)</f>
        <v/>
      </c>
      <c r="H107" s="187">
        <f>G107/$G$126</f>
        <v/>
      </c>
      <c r="I107" s="32">
        <f>ROUND(F107*'Прил. 10'!$D$13,2)</f>
        <v/>
      </c>
      <c r="J107" s="32">
        <f>ROUND(I107*E107,2)</f>
        <v/>
      </c>
    </row>
    <row r="108" hidden="1" outlineLevel="1" ht="14.25" customFormat="1" customHeight="1" s="222">
      <c r="A108" s="268" t="n">
        <v>80</v>
      </c>
      <c r="B108" s="168" t="inlineStr">
        <is>
          <t>01.7.03.01-0001</t>
        </is>
      </c>
      <c r="C108" s="267" t="inlineStr">
        <is>
          <t>Вода</t>
        </is>
      </c>
      <c r="D108" s="268" t="inlineStr">
        <is>
          <t>м3</t>
        </is>
      </c>
      <c r="E108" s="175" t="n">
        <v>2.675232</v>
      </c>
      <c r="F108" s="270" t="n">
        <v>2.44</v>
      </c>
      <c r="G108" s="32">
        <f>ROUND(E108*F108,2)</f>
        <v/>
      </c>
      <c r="H108" s="187">
        <f>G108/$G$126</f>
        <v/>
      </c>
      <c r="I108" s="32">
        <f>ROUND(F108*'Прил. 10'!$D$13,2)</f>
        <v/>
      </c>
      <c r="J108" s="32">
        <f>ROUND(I108*E108,2)</f>
        <v/>
      </c>
    </row>
    <row r="109" hidden="1" outlineLevel="1" ht="14.25" customFormat="1" customHeight="1" s="222">
      <c r="A109" s="268" t="n">
        <v>81</v>
      </c>
      <c r="B109" s="168" t="inlineStr">
        <is>
          <t>14.4.03.17-0011</t>
        </is>
      </c>
      <c r="C109" s="267" t="inlineStr">
        <is>
          <t>Лак электроизоляционный 318</t>
        </is>
      </c>
      <c r="D109" s="268" t="inlineStr">
        <is>
          <t>кг</t>
        </is>
      </c>
      <c r="E109" s="175" t="n">
        <v>0.166</v>
      </c>
      <c r="F109" s="270" t="n">
        <v>35.63</v>
      </c>
      <c r="G109" s="32">
        <f>ROUND(E109*F109,2)</f>
        <v/>
      </c>
      <c r="H109" s="187">
        <f>G109/$G$126</f>
        <v/>
      </c>
      <c r="I109" s="32">
        <f>ROUND(F109*'Прил. 10'!$D$13,2)</f>
        <v/>
      </c>
      <c r="J109" s="32">
        <f>ROUND(I109*E109,2)</f>
        <v/>
      </c>
    </row>
    <row r="110" hidden="1" outlineLevel="1" ht="38.25" customFormat="1" customHeight="1" s="222">
      <c r="A110" s="268" t="n">
        <v>82</v>
      </c>
      <c r="B110" s="168" t="inlineStr">
        <is>
          <t>23.3.01.08-0010</t>
        </is>
      </c>
      <c r="C110" s="267" t="inlineStr">
        <is>
          <t>Трубы стальные обсадные инвентарные, диаметр: 1200 мм (секция ножевая длиной 2 м)</t>
        </is>
      </c>
      <c r="D110" s="268" t="inlineStr">
        <is>
          <t>м</t>
        </is>
      </c>
      <c r="E110" s="175" t="n">
        <v>4.8e-05</v>
      </c>
      <c r="F110" s="270" t="n">
        <v>53482.1</v>
      </c>
      <c r="G110" s="32">
        <f>ROUND(E110*F110,2)</f>
        <v/>
      </c>
      <c r="H110" s="187">
        <f>G110/$G$126</f>
        <v/>
      </c>
      <c r="I110" s="32">
        <f>ROUND(F110*'Прил. 10'!$D$13,2)</f>
        <v/>
      </c>
      <c r="J110" s="32">
        <f>ROUND(I110*E110,2)</f>
        <v/>
      </c>
    </row>
    <row r="111" hidden="1" outlineLevel="1" ht="14.25" customFormat="1" customHeight="1" s="222">
      <c r="A111" s="268" t="n">
        <v>83</v>
      </c>
      <c r="B111" s="168" t="inlineStr">
        <is>
          <t>14.5.09.07-0029</t>
        </is>
      </c>
      <c r="C111" s="267" t="inlineStr">
        <is>
          <t>Растворитель марки: Р-4</t>
        </is>
      </c>
      <c r="D111" s="268" t="inlineStr">
        <is>
          <t>т</t>
        </is>
      </c>
      <c r="E111" s="175" t="n">
        <v>0.0002704</v>
      </c>
      <c r="F111" s="270" t="n">
        <v>9420</v>
      </c>
      <c r="G111" s="32">
        <f>ROUND(E111*F111,2)</f>
        <v/>
      </c>
      <c r="H111" s="187">
        <f>G111/$G$126</f>
        <v/>
      </c>
      <c r="I111" s="32">
        <f>ROUND(F111*'Прил. 10'!$D$13,2)</f>
        <v/>
      </c>
      <c r="J111" s="32">
        <f>ROUND(I111*E111,2)</f>
        <v/>
      </c>
    </row>
    <row r="112" hidden="1" outlineLevel="1" ht="14.25" customFormat="1" customHeight="1" s="222">
      <c r="A112" s="268" t="n">
        <v>84</v>
      </c>
      <c r="B112" s="168" t="inlineStr">
        <is>
          <t>01.7.20.04-0005</t>
        </is>
      </c>
      <c r="C112" s="267" t="inlineStr">
        <is>
          <t>Нитки швейные</t>
        </is>
      </c>
      <c r="D112" s="268" t="inlineStr">
        <is>
          <t>кг</t>
        </is>
      </c>
      <c r="E112" s="175" t="n">
        <v>0.017</v>
      </c>
      <c r="F112" s="270" t="n">
        <v>133.05</v>
      </c>
      <c r="G112" s="32">
        <f>ROUND(E112*F112,2)</f>
        <v/>
      </c>
      <c r="H112" s="187">
        <f>G112/$G$126</f>
        <v/>
      </c>
      <c r="I112" s="32">
        <f>ROUND(F112*'Прил. 10'!$D$13,2)</f>
        <v/>
      </c>
      <c r="J112" s="32">
        <f>ROUND(I112*E112,2)</f>
        <v/>
      </c>
    </row>
    <row r="113" hidden="1" outlineLevel="1" ht="14.25" customFormat="1" customHeight="1" s="222">
      <c r="A113" s="268" t="n">
        <v>85</v>
      </c>
      <c r="B113" s="168" t="inlineStr">
        <is>
          <t>20.2.02.01-0019</t>
        </is>
      </c>
      <c r="C113" s="267" t="inlineStr">
        <is>
          <t>Втулки изолирующие</t>
        </is>
      </c>
      <c r="D113" s="268" t="inlineStr">
        <is>
          <t>1000 шт</t>
        </is>
      </c>
      <c r="E113" s="175" t="n">
        <v>0.0076</v>
      </c>
      <c r="F113" s="270" t="n">
        <v>270</v>
      </c>
      <c r="G113" s="32">
        <f>ROUND(E113*F113,2)</f>
        <v/>
      </c>
      <c r="H113" s="187">
        <f>G113/$G$126</f>
        <v/>
      </c>
      <c r="I113" s="32">
        <f>ROUND(F113*'Прил. 10'!$D$13,2)</f>
        <v/>
      </c>
      <c r="J113" s="32">
        <f>ROUND(I113*E113,2)</f>
        <v/>
      </c>
    </row>
    <row r="114" hidden="1" outlineLevel="1" ht="14.25" customFormat="1" customHeight="1" s="222">
      <c r="A114" s="268" t="n">
        <v>86</v>
      </c>
      <c r="B114" s="168" t="inlineStr">
        <is>
          <t>14.4.04.09-0017</t>
        </is>
      </c>
      <c r="C114" s="267" t="inlineStr">
        <is>
          <t>Эмаль ХВ-124 защитная, зеленая</t>
        </is>
      </c>
      <c r="D114" s="268" t="inlineStr">
        <is>
          <t>т</t>
        </is>
      </c>
      <c r="E114" s="175" t="n">
        <v>6e-05</v>
      </c>
      <c r="F114" s="270" t="n">
        <v>28300.4</v>
      </c>
      <c r="G114" s="32">
        <f>ROUND(E114*F114,2)</f>
        <v/>
      </c>
      <c r="H114" s="187">
        <f>G114/$G$126</f>
        <v/>
      </c>
      <c r="I114" s="32">
        <f>ROUND(F114*'Прил. 10'!$D$13,2)</f>
        <v/>
      </c>
      <c r="J114" s="32">
        <f>ROUND(I114*E114,2)</f>
        <v/>
      </c>
    </row>
    <row r="115" hidden="1" outlineLevel="1" ht="14.25" customFormat="1" customHeight="1" s="222">
      <c r="A115" s="268" t="n">
        <v>87</v>
      </c>
      <c r="B115" s="168" t="inlineStr">
        <is>
          <t>14.4.01.01-0003</t>
        </is>
      </c>
      <c r="C115" s="267" t="inlineStr">
        <is>
          <t>Грунтовка: ГФ-021 красно-коричневая</t>
        </is>
      </c>
      <c r="D115" s="268" t="inlineStr">
        <is>
          <t>т</t>
        </is>
      </c>
      <c r="E115" s="175" t="n">
        <v>0.0001055</v>
      </c>
      <c r="F115" s="270" t="n">
        <v>15620</v>
      </c>
      <c r="G115" s="32">
        <f>ROUND(E115*F115,2)</f>
        <v/>
      </c>
      <c r="H115" s="187">
        <f>G115/$G$126</f>
        <v/>
      </c>
      <c r="I115" s="32">
        <f>ROUND(F115*'Прил. 10'!$D$13,2)</f>
        <v/>
      </c>
      <c r="J115" s="32">
        <f>ROUND(I115*E115,2)</f>
        <v/>
      </c>
    </row>
    <row r="116" hidden="1" outlineLevel="1" ht="14.25" customFormat="1" customHeight="1" s="222">
      <c r="A116" s="268" t="n">
        <v>88</v>
      </c>
      <c r="B116" s="168" t="inlineStr">
        <is>
          <t>01.7.15.14-0043</t>
        </is>
      </c>
      <c r="C116" s="267" t="inlineStr">
        <is>
          <t>Шуруп самонарезающий: (LN) 3,5/11 мм</t>
        </is>
      </c>
      <c r="D116" s="268" t="inlineStr">
        <is>
          <t>100 шт</t>
        </is>
      </c>
      <c r="E116" s="175" t="n">
        <v>0.714</v>
      </c>
      <c r="F116" s="270" t="n">
        <v>2</v>
      </c>
      <c r="G116" s="32">
        <f>ROUND(E116*F116,2)</f>
        <v/>
      </c>
      <c r="H116" s="187">
        <f>G116/$G$126</f>
        <v/>
      </c>
      <c r="I116" s="32">
        <f>ROUND(F116*'Прил. 10'!$D$13,2)</f>
        <v/>
      </c>
      <c r="J116" s="32">
        <f>ROUND(I116*E116,2)</f>
        <v/>
      </c>
    </row>
    <row r="117" hidden="1" outlineLevel="1" ht="25.5" customFormat="1" customHeight="1" s="222">
      <c r="A117" s="268" t="n">
        <v>89</v>
      </c>
      <c r="B117" s="168" t="inlineStr">
        <is>
          <t>23.3.01.08-0009</t>
        </is>
      </c>
      <c r="C117" s="267" t="inlineStr">
        <is>
          <t>Трубы стальные обсадные инвентарные, диаметр: 1200 мм (секция длиной 6 м)</t>
        </is>
      </c>
      <c r="D117" s="268" t="inlineStr">
        <is>
          <t>м</t>
        </is>
      </c>
      <c r="E117" s="175" t="n">
        <v>3.6e-05</v>
      </c>
      <c r="F117" s="270" t="n">
        <v>32330.52</v>
      </c>
      <c r="G117" s="32">
        <f>ROUND(E117*F117,2)</f>
        <v/>
      </c>
      <c r="H117" s="187">
        <f>G117/$G$126</f>
        <v/>
      </c>
      <c r="I117" s="32">
        <f>ROUND(F117*'Прил. 10'!$D$13,2)</f>
        <v/>
      </c>
      <c r="J117" s="32">
        <f>ROUND(I117*E117,2)</f>
        <v/>
      </c>
    </row>
    <row r="118" hidden="1" outlineLevel="1" ht="14.25" customFormat="1" customHeight="1" s="222">
      <c r="A118" s="268" t="n">
        <v>90</v>
      </c>
      <c r="B118" s="168" t="inlineStr">
        <is>
          <t>01.7.15.07-0007</t>
        </is>
      </c>
      <c r="C118" s="267" t="inlineStr">
        <is>
          <t>Дюбели пластмассовые диаметр 14 мм</t>
        </is>
      </c>
      <c r="D118" s="268" t="inlineStr">
        <is>
          <t>100 шт</t>
        </is>
      </c>
      <c r="E118" s="175" t="n">
        <v>0.04</v>
      </c>
      <c r="F118" s="270" t="n">
        <v>26.6</v>
      </c>
      <c r="G118" s="32">
        <f>ROUND(E118*F118,2)</f>
        <v/>
      </c>
      <c r="H118" s="187">
        <f>G118/$G$126</f>
        <v/>
      </c>
      <c r="I118" s="32">
        <f>ROUND(F118*'Прил. 10'!$D$13,2)</f>
        <v/>
      </c>
      <c r="J118" s="32">
        <f>ROUND(I118*E118,2)</f>
        <v/>
      </c>
    </row>
    <row r="119" hidden="1" outlineLevel="1" ht="14.25" customFormat="1" customHeight="1" s="222">
      <c r="A119" s="268" t="n">
        <v>91</v>
      </c>
      <c r="B119" s="168" t="inlineStr">
        <is>
          <t>14.4.04.09-0016</t>
        </is>
      </c>
      <c r="C119" s="267" t="inlineStr">
        <is>
          <t>Эмаль ХВ-124 голубая</t>
        </is>
      </c>
      <c r="D119" s="268" t="inlineStr">
        <is>
          <t>т</t>
        </is>
      </c>
      <c r="E119" s="175" t="n">
        <v>4.71e-05</v>
      </c>
      <c r="F119" s="270" t="n">
        <v>22050</v>
      </c>
      <c r="G119" s="32">
        <f>ROUND(E119*F119,2)</f>
        <v/>
      </c>
      <c r="H119" s="187">
        <f>G119/$G$126</f>
        <v/>
      </c>
      <c r="I119" s="32">
        <f>ROUND(F119*'Прил. 10'!$D$13,2)</f>
        <v/>
      </c>
      <c r="J119" s="32">
        <f>ROUND(I119*E119,2)</f>
        <v/>
      </c>
    </row>
    <row r="120" hidden="1" outlineLevel="1" ht="25.5" customFormat="1" customHeight="1" s="222">
      <c r="A120" s="268" t="n">
        <v>92</v>
      </c>
      <c r="B120" s="168" t="inlineStr">
        <is>
          <t>01.7.15.03-0031</t>
        </is>
      </c>
      <c r="C120" s="267" t="inlineStr">
        <is>
          <t>Болты с гайками и шайбами оцинкованные, диаметр: 6 мм</t>
        </is>
      </c>
      <c r="D120" s="268" t="inlineStr">
        <is>
          <t>кг</t>
        </is>
      </c>
      <c r="E120" s="175" t="n">
        <v>0.02</v>
      </c>
      <c r="F120" s="270" t="n">
        <v>28.22</v>
      </c>
      <c r="G120" s="32">
        <f>ROUND(E120*F120,2)</f>
        <v/>
      </c>
      <c r="H120" s="187">
        <f>G120/$G$126</f>
        <v/>
      </c>
      <c r="I120" s="32">
        <f>ROUND(F120*'Прил. 10'!$D$13,2)</f>
        <v/>
      </c>
      <c r="J120" s="32">
        <f>ROUND(I120*E120,2)</f>
        <v/>
      </c>
    </row>
    <row r="121" hidden="1" outlineLevel="1" ht="14.25" customFormat="1" customHeight="1" s="222">
      <c r="A121" s="268" t="n">
        <v>93</v>
      </c>
      <c r="B121" s="168" t="inlineStr">
        <is>
          <t>14.5.09.02-0002</t>
        </is>
      </c>
      <c r="C121" s="267" t="inlineStr">
        <is>
          <t>Ксилол нефтяной марки А</t>
        </is>
      </c>
      <c r="D121" s="268" t="inlineStr">
        <is>
          <t>т</t>
        </is>
      </c>
      <c r="E121" s="175" t="n">
        <v>5.76e-05</v>
      </c>
      <c r="F121" s="270" t="n">
        <v>7640</v>
      </c>
      <c r="G121" s="32">
        <f>ROUND(E121*F121,2)</f>
        <v/>
      </c>
      <c r="H121" s="187">
        <f>G121/$G$126</f>
        <v/>
      </c>
      <c r="I121" s="32">
        <f>ROUND(F121*'Прил. 10'!$D$13,2)</f>
        <v/>
      </c>
      <c r="J121" s="32">
        <f>ROUND(I121*E121,2)</f>
        <v/>
      </c>
    </row>
    <row r="122" hidden="1" outlineLevel="1" ht="14.25" customFormat="1" customHeight="1" s="222">
      <c r="A122" s="268" t="n">
        <v>94</v>
      </c>
      <c r="B122" s="168" t="inlineStr">
        <is>
          <t>01.7.02.09-0002</t>
        </is>
      </c>
      <c r="C122" s="267" t="inlineStr">
        <is>
          <t>Шпагат бумажный</t>
        </is>
      </c>
      <c r="D122" s="268" t="inlineStr">
        <is>
          <t>кг</t>
        </is>
      </c>
      <c r="E122" s="175" t="n">
        <v>0.033</v>
      </c>
      <c r="F122" s="270" t="n">
        <v>11.5</v>
      </c>
      <c r="G122" s="32">
        <f>ROUND(E122*F122,2)</f>
        <v/>
      </c>
      <c r="H122" s="187">
        <f>G122/$G$126</f>
        <v/>
      </c>
      <c r="I122" s="32">
        <f>ROUND(F122*'Прил. 10'!$D$13,2)</f>
        <v/>
      </c>
      <c r="J122" s="32">
        <f>ROUND(I122*E122,2)</f>
        <v/>
      </c>
    </row>
    <row r="123" hidden="1" outlineLevel="1" ht="14.25" customFormat="1" customHeight="1" s="222">
      <c r="A123" s="268" t="n">
        <v>95</v>
      </c>
      <c r="B123" s="168" t="inlineStr">
        <is>
          <t>14.5.09.11-0101</t>
        </is>
      </c>
      <c r="C123" s="267" t="inlineStr">
        <is>
          <t>Уайт-спирит</t>
        </is>
      </c>
      <c r="D123" s="268" t="inlineStr">
        <is>
          <t>т</t>
        </is>
      </c>
      <c r="E123" s="175" t="n">
        <v>2e-05</v>
      </c>
      <c r="F123" s="270" t="n">
        <v>6667</v>
      </c>
      <c r="G123" s="32">
        <f>ROUND(E123*F123,2)</f>
        <v/>
      </c>
      <c r="H123" s="187">
        <f>G123/$G$126</f>
        <v/>
      </c>
      <c r="I123" s="32">
        <f>ROUND(F123*'Прил. 10'!$D$13,2)</f>
        <v/>
      </c>
      <c r="J123" s="32">
        <f>ROUND(I123*E123,2)</f>
        <v/>
      </c>
    </row>
    <row r="124" hidden="1" outlineLevel="1" ht="63.75" customFormat="1" customHeight="1" s="222">
      <c r="A124" s="268" t="n">
        <v>96</v>
      </c>
      <c r="B124" s="168" t="inlineStr">
        <is>
          <t>23.5.02.02-0093</t>
        </is>
      </c>
      <c r="C124" s="267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5 мм</t>
        </is>
      </c>
      <c r="D124" s="268" t="inlineStr">
        <is>
          <t>м</t>
        </is>
      </c>
      <c r="E124" s="175" t="n">
        <v>4.8e-05</v>
      </c>
      <c r="F124" s="270" t="n">
        <v>230.72</v>
      </c>
      <c r="G124" s="32">
        <f>ROUND(E124*F124,2)</f>
        <v/>
      </c>
      <c r="H124" s="187">
        <f>G124/$G$126</f>
        <v/>
      </c>
      <c r="I124" s="32">
        <f>ROUND(F124*'Прил. 10'!$D$13,2)</f>
        <v/>
      </c>
      <c r="J124" s="32">
        <f>ROUND(I124*E124,2)</f>
        <v/>
      </c>
    </row>
    <row r="125" collapsed="1" ht="14.25" customFormat="1" customHeight="1" s="222">
      <c r="A125" s="268" t="n"/>
      <c r="B125" s="268" t="n"/>
      <c r="C125" s="267" t="inlineStr">
        <is>
          <t>Итого прочие материалы</t>
        </is>
      </c>
      <c r="D125" s="268" t="n"/>
      <c r="E125" s="269" t="n"/>
      <c r="F125" s="270" t="n"/>
      <c r="G125" s="32">
        <f>SUM(G61:G124)</f>
        <v/>
      </c>
      <c r="H125" s="271">
        <f>G125/G126</f>
        <v/>
      </c>
      <c r="I125" s="32" t="n"/>
      <c r="J125" s="32">
        <f>SUM(J61:J124)</f>
        <v/>
      </c>
    </row>
    <row r="126" ht="14.25" customFormat="1" customHeight="1" s="222">
      <c r="A126" s="268" t="n"/>
      <c r="B126" s="268" t="n"/>
      <c r="C126" s="272" t="inlineStr">
        <is>
          <t>Итого по разделу «Материалы»</t>
        </is>
      </c>
      <c r="D126" s="268" t="n"/>
      <c r="E126" s="269" t="n"/>
      <c r="F126" s="270" t="n"/>
      <c r="G126" s="32">
        <f>G60+G125</f>
        <v/>
      </c>
      <c r="H126" s="271" t="n">
        <v>1</v>
      </c>
      <c r="I126" s="32" t="n"/>
      <c r="J126" s="32">
        <f>J60+J125</f>
        <v/>
      </c>
    </row>
    <row r="127" ht="14.25" customFormat="1" customHeight="1" s="222">
      <c r="A127" s="268" t="n"/>
      <c r="B127" s="268" t="n"/>
      <c r="C127" s="267" t="inlineStr">
        <is>
          <t>ИТОГО ПО РМ</t>
        </is>
      </c>
      <c r="D127" s="268" t="n"/>
      <c r="E127" s="269" t="n"/>
      <c r="F127" s="270" t="n"/>
      <c r="G127" s="32">
        <f>G16+G45+G126</f>
        <v/>
      </c>
      <c r="H127" s="271" t="n"/>
      <c r="I127" s="32" t="n"/>
      <c r="J127" s="32">
        <f>J16+J45+J126</f>
        <v/>
      </c>
    </row>
    <row r="128" ht="14.25" customFormat="1" customHeight="1" s="222">
      <c r="A128" s="268" t="n"/>
      <c r="B128" s="268" t="n"/>
      <c r="C128" s="267" t="inlineStr">
        <is>
          <t>Накладные расходы</t>
        </is>
      </c>
      <c r="D128" s="193">
        <f>ROUND(G128/(G$18+$G$16),2)</f>
        <v/>
      </c>
      <c r="E128" s="269" t="n"/>
      <c r="F128" s="270" t="n"/>
      <c r="G128" s="32">
        <f>21341.31</f>
        <v/>
      </c>
      <c r="H128" s="271" t="n"/>
      <c r="I128" s="32" t="n"/>
      <c r="J128" s="32">
        <f>ROUND(D128*(J16+J18),2)</f>
        <v/>
      </c>
    </row>
    <row r="129" ht="14.25" customFormat="1" customHeight="1" s="222">
      <c r="A129" s="268" t="n"/>
      <c r="B129" s="268" t="n"/>
      <c r="C129" s="267" t="inlineStr">
        <is>
          <t>Сметная прибыль</t>
        </is>
      </c>
      <c r="D129" s="193">
        <f>ROUND(G129/(G$16+G$18),2)</f>
        <v/>
      </c>
      <c r="E129" s="269" t="n"/>
      <c r="F129" s="270" t="n"/>
      <c r="G129" s="32" t="n">
        <v>14602.98</v>
      </c>
      <c r="H129" s="271" t="n"/>
      <c r="I129" s="32" t="n"/>
      <c r="J129" s="32">
        <f>ROUND(D129*(J16+J18),2)</f>
        <v/>
      </c>
    </row>
    <row r="130" ht="14.25" customFormat="1" customHeight="1" s="222">
      <c r="A130" s="268" t="n"/>
      <c r="B130" s="268" t="n"/>
      <c r="C130" s="267" t="inlineStr">
        <is>
          <t>Итого СМР (с НР и СП)</t>
        </is>
      </c>
      <c r="D130" s="268" t="n"/>
      <c r="E130" s="269" t="n"/>
      <c r="F130" s="270" t="n"/>
      <c r="G130" s="32">
        <f>G16+G45+G126+G128+G129</f>
        <v/>
      </c>
      <c r="H130" s="271" t="n"/>
      <c r="I130" s="32" t="n"/>
      <c r="J130" s="32">
        <f>J16+J45+J126+J128+J129</f>
        <v/>
      </c>
    </row>
    <row r="131" ht="14.25" customFormat="1" customHeight="1" s="222">
      <c r="A131" s="268" t="n"/>
      <c r="B131" s="268" t="n"/>
      <c r="C131" s="267" t="inlineStr">
        <is>
          <t>ВСЕГО СМР + ОБОРУДОВАНИЕ</t>
        </is>
      </c>
      <c r="D131" s="268" t="n"/>
      <c r="E131" s="269" t="n"/>
      <c r="F131" s="270" t="n"/>
      <c r="G131" s="32">
        <f>G130+G53</f>
        <v/>
      </c>
      <c r="H131" s="271" t="n"/>
      <c r="I131" s="32" t="n"/>
      <c r="J131" s="32">
        <f>J130+J53</f>
        <v/>
      </c>
    </row>
    <row r="132" ht="14.25" customFormat="1" customHeight="1" s="222">
      <c r="A132" s="268" t="n"/>
      <c r="B132" s="268" t="n"/>
      <c r="C132" s="267" t="inlineStr">
        <is>
          <t>ИТОГО ПОКАЗАТЕЛЬ НА ЕД. ИЗМ.</t>
        </is>
      </c>
      <c r="D132" s="268" t="inlineStr">
        <is>
          <t>ед.</t>
        </is>
      </c>
      <c r="E132" s="269" t="n">
        <v>2</v>
      </c>
      <c r="F132" s="270" t="n"/>
      <c r="G132" s="32">
        <f>G131/E132</f>
        <v/>
      </c>
      <c r="H132" s="271" t="n"/>
      <c r="I132" s="32" t="n"/>
      <c r="J132" s="32">
        <f>J131/E132</f>
        <v/>
      </c>
    </row>
    <row r="134" ht="14.25" customFormat="1" customHeight="1" s="222">
      <c r="A134" s="212" t="inlineStr">
        <is>
          <t>Составил ______________________    Е. М. Добровольская</t>
        </is>
      </c>
    </row>
    <row r="135" ht="14.25" customFormat="1" customHeight="1" s="222">
      <c r="A135" s="223" t="inlineStr">
        <is>
          <t xml:space="preserve">                         (подпись, инициалы, фамилия)</t>
        </is>
      </c>
    </row>
    <row r="136" ht="14.25" customFormat="1" customHeight="1" s="222">
      <c r="A136" s="212" t="n"/>
    </row>
    <row r="137" ht="14.25" customFormat="1" customHeight="1" s="222">
      <c r="A137" s="212" t="inlineStr">
        <is>
          <t>Проверил ______________________        А.В. Костянецкая</t>
        </is>
      </c>
    </row>
    <row r="138" ht="14.25" customFormat="1" customHeight="1" s="222">
      <c r="A138" s="223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H2:J2"/>
    <mergeCell ref="B20:H20"/>
    <mergeCell ref="C9:C10"/>
    <mergeCell ref="E9:E10"/>
    <mergeCell ref="A7:H7"/>
    <mergeCell ref="B47:H47"/>
    <mergeCell ref="B55:J55"/>
    <mergeCell ref="B9:B10"/>
    <mergeCell ref="D9:D10"/>
    <mergeCell ref="B56:H56"/>
    <mergeCell ref="B12:H12"/>
    <mergeCell ref="A8:H8"/>
    <mergeCell ref="F9:G9"/>
    <mergeCell ref="B17:H17"/>
    <mergeCell ref="A9:A10"/>
    <mergeCell ref="B46:J4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37" t="inlineStr">
        <is>
          <t>Расчет стоимости оборудования</t>
        </is>
      </c>
    </row>
    <row r="4" ht="25.5" customHeight="1" s="211">
      <c r="A4" s="240" t="inlineStr">
        <is>
          <t>Наименование разрабатываемого показателя УНЦ - Цифровой ТТ на три фазы с устройством фундамента напряжение 500 кВ</t>
        </is>
      </c>
    </row>
    <row r="5">
      <c r="A5" s="212" t="n"/>
      <c r="B5" s="212" t="n"/>
      <c r="C5" s="212" t="n"/>
      <c r="D5" s="212" t="n"/>
      <c r="E5" s="212" t="n"/>
      <c r="F5" s="212" t="n"/>
      <c r="G5" s="212" t="n"/>
    </row>
    <row r="6" ht="30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8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11">
      <c r="A9" s="25" t="n"/>
      <c r="B9" s="267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1">
      <c r="A10" s="268" t="n"/>
      <c r="B10" s="272" t="n"/>
      <c r="C10" s="267" t="inlineStr">
        <is>
          <t>ИТОГО ИНЖЕНЕРНОЕ ОБОРУДОВАНИЕ</t>
        </is>
      </c>
      <c r="D10" s="272" t="n"/>
      <c r="E10" s="105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>
      <c r="A12" s="268" t="n">
        <v>1</v>
      </c>
      <c r="B12" s="168" t="inlineStr">
        <is>
          <t>БЦ.14_1.799</t>
        </is>
      </c>
      <c r="C12" s="267" t="inlineStr">
        <is>
          <t>Оптический трансформатор тока 500 кВ</t>
        </is>
      </c>
      <c r="D12" s="268" t="inlineStr">
        <is>
          <t>шт.</t>
        </is>
      </c>
      <c r="E12" s="268" t="n">
        <v>6</v>
      </c>
      <c r="F12" s="270">
        <f>'Прил.5 Расчет СМР и ОБ'!F48</f>
        <v/>
      </c>
      <c r="G12" s="32">
        <f>E12*F12</f>
        <v/>
      </c>
    </row>
    <row r="13">
      <c r="A13" s="268" t="n">
        <v>2</v>
      </c>
      <c r="B13" s="168" t="inlineStr">
        <is>
          <t>Прайс из СД ОП</t>
        </is>
      </c>
      <c r="C13" s="267" t="inlineStr">
        <is>
          <t>Коробка зажимов КЗ-11</t>
        </is>
      </c>
      <c r="D13" s="268" t="inlineStr">
        <is>
          <t>шт.</t>
        </is>
      </c>
      <c r="E13" s="268" t="n">
        <v>2</v>
      </c>
      <c r="F13" s="270">
        <f>'Прил.5 Расчет СМР и ОБ'!F50</f>
        <v/>
      </c>
      <c r="G13" s="32">
        <f>E13*F13</f>
        <v/>
      </c>
    </row>
    <row r="14">
      <c r="A14" s="268" t="n">
        <v>3</v>
      </c>
      <c r="B14" s="168" t="inlineStr">
        <is>
          <t>Прайс из СД ОП</t>
        </is>
      </c>
      <c r="C14" s="267" t="inlineStr">
        <is>
          <t>Коробка зажимов КЗ-11-АСКУЭ</t>
        </is>
      </c>
      <c r="D14" s="268" t="inlineStr">
        <is>
          <t>шт.</t>
        </is>
      </c>
      <c r="E14" s="268" t="n">
        <v>2</v>
      </c>
      <c r="F14" s="270">
        <f>'Прил.5 Расчет СМР и ОБ'!F51</f>
        <v/>
      </c>
      <c r="G14" s="32">
        <f>E14*F14</f>
        <v/>
      </c>
    </row>
    <row r="15" ht="25.5" customHeight="1" s="211">
      <c r="A15" s="268" t="n"/>
      <c r="B15" s="267" t="n"/>
      <c r="C15" s="267" t="inlineStr">
        <is>
          <t>ИТОГО ТЕХНОЛОГИЧЕСКОЕ ОБОРУДОВАНИЕ</t>
        </is>
      </c>
      <c r="D15" s="267" t="n"/>
      <c r="E15" s="282" t="n"/>
      <c r="F15" s="270" t="n"/>
      <c r="G15" s="32">
        <f>SUM(G12:G14)</f>
        <v/>
      </c>
    </row>
    <row r="16" ht="19.5" customHeight="1" s="211">
      <c r="A16" s="268" t="n"/>
      <c r="B16" s="267" t="n"/>
      <c r="C16" s="267" t="inlineStr">
        <is>
          <t>Всего по разделу «Оборудование»</t>
        </is>
      </c>
      <c r="D16" s="267" t="n"/>
      <c r="E16" s="282" t="n"/>
      <c r="F16" s="270" t="n"/>
      <c r="G16" s="32">
        <f>G10+G15</f>
        <v/>
      </c>
    </row>
    <row r="17">
      <c r="A17" s="220" t="n"/>
      <c r="B17" s="221" t="n"/>
      <c r="C17" s="220" t="n"/>
      <c r="D17" s="220" t="n"/>
      <c r="E17" s="220" t="n"/>
      <c r="F17" s="220" t="n"/>
      <c r="G17" s="220" t="n"/>
    </row>
    <row r="18">
      <c r="A18" s="212" t="inlineStr">
        <is>
          <t>Составил ______________________    Е. М. Добровольская</t>
        </is>
      </c>
      <c r="B18" s="222" t="n"/>
      <c r="C18" s="222" t="n"/>
      <c r="D18" s="220" t="n"/>
      <c r="E18" s="220" t="n"/>
      <c r="F18" s="220" t="n"/>
      <c r="G18" s="220" t="n"/>
    </row>
    <row r="19">
      <c r="A19" s="223" t="inlineStr">
        <is>
          <t xml:space="preserve">                         (подпись, инициалы, фамилия)</t>
        </is>
      </c>
      <c r="B19" s="222" t="n"/>
      <c r="C19" s="222" t="n"/>
      <c r="D19" s="220" t="n"/>
      <c r="E19" s="220" t="n"/>
      <c r="F19" s="220" t="n"/>
      <c r="G19" s="220" t="n"/>
    </row>
    <row r="20">
      <c r="A20" s="212" t="n"/>
      <c r="B20" s="222" t="n"/>
      <c r="C20" s="222" t="n"/>
      <c r="D20" s="220" t="n"/>
      <c r="E20" s="220" t="n"/>
      <c r="F20" s="220" t="n"/>
      <c r="G20" s="220" t="n"/>
    </row>
    <row r="21">
      <c r="A21" s="212" t="inlineStr">
        <is>
          <t>Проверил ______________________        А.В. Костянецкая</t>
        </is>
      </c>
      <c r="B21" s="222" t="n"/>
      <c r="C21" s="222" t="n"/>
      <c r="D21" s="220" t="n"/>
      <c r="E21" s="220" t="n"/>
      <c r="F21" s="220" t="n"/>
      <c r="G21" s="220" t="n"/>
    </row>
    <row r="22">
      <c r="A22" s="223" t="inlineStr">
        <is>
          <t xml:space="preserve">                        (подпись, инициалы, фамилия)</t>
        </is>
      </c>
      <c r="B22" s="222" t="n"/>
      <c r="C22" s="222" t="n"/>
      <c r="D22" s="220" t="n"/>
      <c r="E22" s="220" t="n"/>
      <c r="F22" s="220" t="n"/>
      <c r="G22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24.85546875" customWidth="1" style="211" min="5" max="5"/>
    <col width="8.85546875" customWidth="1" style="211" min="6" max="6"/>
  </cols>
  <sheetData>
    <row r="1">
      <c r="B1" s="212" t="n"/>
      <c r="C1" s="212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37" t="inlineStr">
        <is>
          <t>Расчет показателя УНЦ</t>
        </is>
      </c>
    </row>
    <row r="4" ht="24.75" customHeight="1" s="211">
      <c r="A4" s="237" t="n"/>
      <c r="B4" s="237" t="n"/>
      <c r="C4" s="237" t="n"/>
      <c r="D4" s="237" t="n"/>
    </row>
    <row r="5" ht="47.25" customHeight="1" s="211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" customHeight="1" s="211">
      <c r="A6" s="240" t="inlineStr">
        <is>
          <t>Единица измерения  — 1 ед</t>
        </is>
      </c>
      <c r="D6" s="240" t="n"/>
    </row>
    <row r="7">
      <c r="A7" s="212" t="n"/>
      <c r="B7" s="212" t="n"/>
      <c r="C7" s="212" t="n"/>
      <c r="D7" s="212" t="n"/>
    </row>
    <row r="8" ht="14.45" customHeight="1" s="21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1">
      <c r="A9" s="331" t="n"/>
      <c r="B9" s="331" t="n"/>
      <c r="C9" s="331" t="n"/>
      <c r="D9" s="331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 s="211">
      <c r="A11" s="268" t="inlineStr">
        <is>
          <t>И5-07-6</t>
        </is>
      </c>
      <c r="B11" s="268" t="inlineStr">
        <is>
          <t xml:space="preserve">УНЦ элементов ПС с устройством фундаментов </t>
        </is>
      </c>
      <c r="C11" s="217">
        <f>D5</f>
        <v/>
      </c>
      <c r="D11" s="218">
        <f>'Прил.4 РМ'!C41/1000</f>
        <v/>
      </c>
      <c r="E11" s="219" t="n"/>
    </row>
    <row r="12">
      <c r="A12" s="220" t="n"/>
      <c r="B12" s="221" t="n"/>
      <c r="C12" s="220" t="n"/>
      <c r="D12" s="220" t="n"/>
    </row>
    <row r="13">
      <c r="A13" s="212" t="inlineStr">
        <is>
          <t>Составил ______________________      Е. М. Добровольская</t>
        </is>
      </c>
      <c r="B13" s="222" t="n"/>
      <c r="C13" s="222" t="n"/>
      <c r="D13" s="220" t="n"/>
    </row>
    <row r="14">
      <c r="A14" s="223" t="inlineStr">
        <is>
          <t xml:space="preserve">                         (подпись, инициалы, фамилия)</t>
        </is>
      </c>
      <c r="B14" s="222" t="n"/>
      <c r="C14" s="222" t="n"/>
      <c r="D14" s="220" t="n"/>
    </row>
    <row r="15">
      <c r="A15" s="212" t="n"/>
      <c r="B15" s="222" t="n"/>
      <c r="C15" s="222" t="n"/>
      <c r="D15" s="220" t="n"/>
    </row>
    <row r="16">
      <c r="A16" s="212" t="inlineStr">
        <is>
          <t>Проверил ______________________        А.В. Костянецкая</t>
        </is>
      </c>
      <c r="B16" s="222" t="n"/>
      <c r="C16" s="222" t="n"/>
      <c r="D16" s="220" t="n"/>
    </row>
    <row r="17">
      <c r="A17" s="223" t="inlineStr">
        <is>
          <t xml:space="preserve">                        (подпись, инициалы, фамилия)</t>
        </is>
      </c>
      <c r="B17" s="222" t="n"/>
      <c r="C17" s="222" t="n"/>
      <c r="D17" s="22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D26" sqref="D26"/>
    </sheetView>
  </sheetViews>
  <sheetFormatPr baseColWidth="8" defaultRowHeight="15"/>
  <cols>
    <col width="9.140625" customWidth="1" style="211" min="1" max="1"/>
    <col width="40.7109375" customWidth="1" style="211" min="2" max="2"/>
    <col width="37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45" t="inlineStr">
        <is>
          <t>Приложение № 10</t>
        </is>
      </c>
    </row>
    <row r="5" ht="18.75" customHeight="1" s="211">
      <c r="B5" s="138" t="n"/>
    </row>
    <row r="6" ht="15.75" customHeight="1" s="211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4" t="inlineStr">
        <is>
          <t>*Стоимость ПНР принята на основании СД ОП</t>
        </is>
      </c>
    </row>
    <row r="8">
      <c r="B8" s="284" t="n"/>
      <c r="C8" s="284" t="n"/>
      <c r="D8" s="284" t="n"/>
      <c r="E8" s="284" t="n"/>
    </row>
    <row r="9" ht="47.25" customHeight="1" s="211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1">
      <c r="B10" s="250" t="n">
        <v>1</v>
      </c>
      <c r="C10" s="250" t="n">
        <v>2</v>
      </c>
      <c r="D10" s="250" t="n">
        <v>3</v>
      </c>
    </row>
    <row r="11" ht="45" customHeight="1" s="211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47.25" customHeight="1" s="211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13.47</v>
      </c>
    </row>
    <row r="13" ht="47.25" customHeight="1" s="211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8.039999999999999</v>
      </c>
    </row>
    <row r="14" ht="31.5" customHeight="1" s="211">
      <c r="B14" s="25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50" t="n">
        <v>6.26</v>
      </c>
    </row>
    <row r="15" ht="89.25" customHeight="1" s="211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94.5" customHeight="1" s="211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 s="211">
      <c r="B17" s="250" t="inlineStr">
        <is>
          <t>Пусконаладочные работы*</t>
        </is>
      </c>
      <c r="C17" s="250" t="n"/>
      <c r="D17" s="250" t="inlineStr">
        <is>
          <t>Расчет</t>
        </is>
      </c>
    </row>
    <row r="18" ht="31.5" customHeight="1" s="211">
      <c r="B18" s="250" t="inlineStr">
        <is>
          <t>Строительный контроль</t>
        </is>
      </c>
      <c r="C18" s="25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11">
      <c r="B19" s="250" t="inlineStr">
        <is>
          <t>Авторский надзор - 0,2%</t>
        </is>
      </c>
      <c r="C19" s="250" t="inlineStr">
        <is>
          <t>Приказ от 4.08.2020 № 421/пр п.173</t>
        </is>
      </c>
      <c r="D19" s="139" t="n">
        <v>0.002</v>
      </c>
    </row>
    <row r="20" ht="24" customHeight="1" s="211">
      <c r="B20" s="250" t="inlineStr">
        <is>
          <t>Непредвиденные расходы</t>
        </is>
      </c>
      <c r="C20" s="250" t="inlineStr">
        <is>
          <t>Приказ от 4.08.2020 № 421/пр п.179</t>
        </is>
      </c>
      <c r="D20" s="139" t="n">
        <v>0.03</v>
      </c>
    </row>
    <row r="21" ht="18.75" customHeight="1" s="211">
      <c r="B21" s="117" t="n"/>
    </row>
    <row r="22" ht="18.75" customHeight="1" s="211">
      <c r="B22" s="117" t="n"/>
    </row>
    <row r="23" ht="18.75" customHeight="1" s="211">
      <c r="B23" s="117" t="n"/>
    </row>
    <row r="24" ht="18.75" customHeight="1" s="211">
      <c r="B24" s="117" t="n"/>
    </row>
    <row r="27">
      <c r="B27" s="212" t="inlineStr">
        <is>
          <t>Составил ______________________        Е. М. Добровольская</t>
        </is>
      </c>
      <c r="C27" s="222" t="n"/>
    </row>
    <row r="28">
      <c r="B28" s="223" t="inlineStr">
        <is>
          <t xml:space="preserve">                         (подпись, инициалы, фамилия)</t>
        </is>
      </c>
      <c r="C28" s="222" t="n"/>
    </row>
    <row r="29">
      <c r="B29" s="212" t="n"/>
      <c r="C29" s="222" t="n"/>
    </row>
    <row r="30">
      <c r="B30" s="212" t="inlineStr">
        <is>
          <t>Проверил ______________________        А.В. Костянецкая</t>
        </is>
      </c>
      <c r="C30" s="222" t="n"/>
    </row>
    <row r="31">
      <c r="B31" s="223" t="inlineStr">
        <is>
          <t xml:space="preserve">                        (подпись, инициалы, фамилия)</t>
        </is>
      </c>
      <c r="C31" s="2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C23" sqref="C23"/>
    </sheetView>
  </sheetViews>
  <sheetFormatPr baseColWidth="8" defaultRowHeight="15"/>
  <cols>
    <col width="9.140625" customWidth="1" style="211" min="1" max="1"/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  <col width="9.140625" customWidth="1" style="211" min="7" max="7"/>
  </cols>
  <sheetData>
    <row r="2" ht="17.25" customHeight="1" s="211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1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1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1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1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11">
      <c r="A9" s="128" t="inlineStr">
        <is>
          <t>1.3</t>
        </is>
      </c>
      <c r="B9" s="129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130" t="n">
        <v>1</v>
      </c>
      <c r="F9" s="129" t="n"/>
      <c r="G9" s="131" t="n"/>
    </row>
    <row r="10" ht="15.75" customHeight="1" s="211">
      <c r="A10" s="128" t="inlineStr">
        <is>
          <t>1.4</t>
        </is>
      </c>
      <c r="B10" s="129" t="inlineStr">
        <is>
          <t>Средний разряд работ</t>
        </is>
      </c>
      <c r="C10" s="250" t="n"/>
      <c r="D10" s="250" t="n"/>
      <c r="E10" s="132" t="n">
        <v>4</v>
      </c>
      <c r="F10" s="129" t="inlineStr">
        <is>
          <t>РТМ</t>
        </is>
      </c>
      <c r="G10" s="131" t="n"/>
    </row>
    <row r="11" ht="78.75" customHeight="1" s="21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11">
      <c r="A12" s="12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128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50" t="inlineStr">
        <is>
          <t>ФОТр.тек.</t>
        </is>
      </c>
      <c r="D13" s="25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6" t="n"/>
      <c r="B14" s="197" t="inlineStr">
        <is>
          <t>Инженер I категории</t>
        </is>
      </c>
      <c r="C14" s="196" t="n"/>
      <c r="D14" s="196" t="n"/>
      <c r="E14" s="196" t="n"/>
      <c r="F14" s="196" t="n"/>
    </row>
    <row r="15" ht="63.75" customHeight="1" s="211">
      <c r="A15" s="198" t="inlineStr">
        <is>
          <t>1.1</t>
        </is>
      </c>
      <c r="B15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0" t="inlineStr">
        <is>
          <t>С1ср</t>
        </is>
      </c>
      <c r="D15" s="200" t="inlineStr">
        <is>
          <t>-</t>
        </is>
      </c>
      <c r="E15" s="201" t="n">
        <v>43361</v>
      </c>
      <c r="F15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1">
      <c r="A16" s="198" t="inlineStr">
        <is>
          <t>1.2</t>
        </is>
      </c>
      <c r="B16" s="199" t="inlineStr">
        <is>
          <t>Среднегодовое нормативное число часов работы одного рабочего в месяц, часы (ч.)</t>
        </is>
      </c>
      <c r="C16" s="200" t="inlineStr">
        <is>
          <t>tср</t>
        </is>
      </c>
      <c r="D16" s="200" t="inlineStr">
        <is>
          <t>1973ч/12мес.</t>
        </is>
      </c>
      <c r="E16" s="201">
        <f>1973/12</f>
        <v/>
      </c>
      <c r="F16" s="199" t="inlineStr">
        <is>
          <t>Производственный календарь 2023 год
(40-часов.неделя)</t>
        </is>
      </c>
    </row>
    <row r="17">
      <c r="A17" s="198" t="inlineStr">
        <is>
          <t>1.3</t>
        </is>
      </c>
      <c r="B17" s="199" t="inlineStr">
        <is>
          <t>Коэффициент увеличения</t>
        </is>
      </c>
      <c r="C17" s="200" t="inlineStr">
        <is>
          <t>Кув</t>
        </is>
      </c>
      <c r="D17" s="200" t="inlineStr">
        <is>
          <t>-</t>
        </is>
      </c>
      <c r="E17" s="201" t="n">
        <v>1</v>
      </c>
      <c r="F17" s="199" t="n"/>
    </row>
    <row r="18">
      <c r="A18" s="198" t="inlineStr">
        <is>
          <t>1.4</t>
        </is>
      </c>
      <c r="B18" s="199" t="inlineStr">
        <is>
          <t>Средний разряд работ</t>
        </is>
      </c>
      <c r="C18" s="200" t="n"/>
      <c r="D18" s="200" t="n"/>
      <c r="E18" s="202" t="n">
        <v>1</v>
      </c>
      <c r="F18" s="199" t="inlineStr">
        <is>
          <t>РТМ</t>
        </is>
      </c>
    </row>
    <row r="19" ht="51" customHeight="1" s="211">
      <c r="A19" s="198" t="inlineStr">
        <is>
          <t>1.5</t>
        </is>
      </c>
      <c r="B19" s="199" t="inlineStr">
        <is>
          <t>Тарифный коэффициент среднего разряда работ</t>
        </is>
      </c>
      <c r="C19" s="200" t="inlineStr">
        <is>
          <t>КТ</t>
        </is>
      </c>
      <c r="D19" s="200" t="inlineStr">
        <is>
          <t>-</t>
        </is>
      </c>
      <c r="E19" s="203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1">
      <c r="A20" s="198" t="inlineStr">
        <is>
          <t>1.6</t>
        </is>
      </c>
      <c r="B20" s="204" t="inlineStr">
        <is>
          <t>Коэффициент инфляции, определяемый поквартально</t>
        </is>
      </c>
      <c r="C20" s="200" t="inlineStr">
        <is>
          <t>Кинф</t>
        </is>
      </c>
      <c r="D20" s="200" t="inlineStr">
        <is>
          <t>-</t>
        </is>
      </c>
      <c r="E20" s="205" t="n">
        <v>1.139</v>
      </c>
      <c r="F20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11">
      <c r="A21" s="198" t="inlineStr">
        <is>
          <t>1.7</t>
        </is>
      </c>
      <c r="B21" s="207" t="inlineStr">
        <is>
          <t>Размер средств на оплату труда рабочих-строителей в текущем уровне цен (ФОТи.тек.), руб/чел.-ч</t>
        </is>
      </c>
      <c r="C21" s="200" t="inlineStr">
        <is>
          <t>ФОТр.тек.</t>
        </is>
      </c>
      <c r="D21" s="200" t="inlineStr">
        <is>
          <t>(С1ср/tср*КТ*Т*Кув)*Кинф</t>
        </is>
      </c>
      <c r="E21" s="208">
        <f>((E15*E17/E16)*E19)*E20</f>
        <v/>
      </c>
      <c r="F21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6" t="n"/>
      <c r="B22" s="197" t="inlineStr">
        <is>
          <t>Инженер II категории</t>
        </is>
      </c>
      <c r="C22" s="196" t="n"/>
      <c r="D22" s="196" t="n"/>
      <c r="E22" s="196" t="n"/>
      <c r="F22" s="196" t="n"/>
    </row>
    <row r="23" ht="63.75" customHeight="1" s="211">
      <c r="A23" s="198" t="inlineStr">
        <is>
          <t>1.1</t>
        </is>
      </c>
      <c r="B23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0" t="inlineStr">
        <is>
          <t>С1ср</t>
        </is>
      </c>
      <c r="D23" s="200" t="inlineStr">
        <is>
          <t>-</t>
        </is>
      </c>
      <c r="E23" s="201" t="n">
        <v>43361</v>
      </c>
      <c r="F23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 s="211">
      <c r="A24" s="198" t="inlineStr">
        <is>
          <t>1.2</t>
        </is>
      </c>
      <c r="B24" s="199" t="inlineStr">
        <is>
          <t>Среднегодовое нормативное число часов работы одного рабочего в месяц, часы (ч.)</t>
        </is>
      </c>
      <c r="C24" s="200" t="inlineStr">
        <is>
          <t>tср</t>
        </is>
      </c>
      <c r="D24" s="200" t="inlineStr">
        <is>
          <t>1973ч/12мес.</t>
        </is>
      </c>
      <c r="E24" s="201">
        <f>1973/12</f>
        <v/>
      </c>
      <c r="F24" s="199" t="inlineStr">
        <is>
          <t>Производственный календарь 2023 год
(40-часов.неделя)</t>
        </is>
      </c>
    </row>
    <row r="25">
      <c r="A25" s="198" t="inlineStr">
        <is>
          <t>1.3</t>
        </is>
      </c>
      <c r="B25" s="199" t="inlineStr">
        <is>
          <t>Коэффициент увеличения</t>
        </is>
      </c>
      <c r="C25" s="200" t="inlineStr">
        <is>
          <t>Кув</t>
        </is>
      </c>
      <c r="D25" s="200" t="inlineStr">
        <is>
          <t>-</t>
        </is>
      </c>
      <c r="E25" s="201" t="n">
        <v>1</v>
      </c>
      <c r="F25" s="199" t="n"/>
    </row>
    <row r="26">
      <c r="A26" s="198" t="inlineStr">
        <is>
          <t>1.4</t>
        </is>
      </c>
      <c r="B26" s="199" t="inlineStr">
        <is>
          <t>Средний разряд работ</t>
        </is>
      </c>
      <c r="C26" s="200" t="n"/>
      <c r="D26" s="200" t="n"/>
      <c r="E26" s="202" t="n">
        <v>1</v>
      </c>
      <c r="F26" s="199" t="inlineStr">
        <is>
          <t>РТМ</t>
        </is>
      </c>
    </row>
    <row r="27" ht="51" customHeight="1" s="211">
      <c r="A27" s="198" t="inlineStr">
        <is>
          <t>1.5</t>
        </is>
      </c>
      <c r="B27" s="199" t="inlineStr">
        <is>
          <t>Тарифный коэффициент среднего разряда работ</t>
        </is>
      </c>
      <c r="C27" s="200" t="inlineStr">
        <is>
          <t>КТ</t>
        </is>
      </c>
      <c r="D27" s="200" t="inlineStr">
        <is>
          <t>-</t>
        </is>
      </c>
      <c r="E27" s="203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 s="211">
      <c r="A28" s="198" t="inlineStr">
        <is>
          <t>1.6</t>
        </is>
      </c>
      <c r="B28" s="204" t="inlineStr">
        <is>
          <t>Коэффициент инфляции, определяемый поквартально</t>
        </is>
      </c>
      <c r="C28" s="200" t="inlineStr">
        <is>
          <t>Кинф</t>
        </is>
      </c>
      <c r="D28" s="200" t="inlineStr">
        <is>
          <t>-</t>
        </is>
      </c>
      <c r="E28" s="205" t="n">
        <v>1.139</v>
      </c>
      <c r="F28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 s="211">
      <c r="A29" s="198" t="inlineStr">
        <is>
          <t>1.7</t>
        </is>
      </c>
      <c r="B29" s="207" t="inlineStr">
        <is>
          <t>Размер средств на оплату труда рабочих-строителей в текущем уровне цен (ФОТи.тек.), руб/чел.-ч</t>
        </is>
      </c>
      <c r="C29" s="200" t="inlineStr">
        <is>
          <t>ФОТр.тек.</t>
        </is>
      </c>
      <c r="D29" s="200" t="inlineStr">
        <is>
          <t>(С1ср/tср*КТ*Т*Кув)*Кинф</t>
        </is>
      </c>
      <c r="E29" s="208">
        <f>((E23*E25/E24)*E27)*E28</f>
        <v/>
      </c>
      <c r="F29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2025-01-24T12:02:21Z</dcterms:modified>
  <cp:lastModifiedBy>Danil</cp:lastModifiedBy>
  <cp:lastPrinted>2023-11-28T08:15:20Z</cp:lastPrinted>
</cp:coreProperties>
</file>