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'Прил.3'!$A$1:$H$95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</numFmts>
  <fonts count="37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71" fontId="1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/>
    </xf>
    <xf numFmtId="0" fontId="23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5" applyAlignment="1" pivotButton="0" quotePrefix="0" xfId="0">
      <alignment horizontal="right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4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0" fontId="1" fillId="0" borderId="6" applyAlignment="1" pivotButton="0" quotePrefix="0" xfId="0">
      <alignment vertical="center" wrapText="1"/>
    </xf>
    <xf numFmtId="49" fontId="2" fillId="0" borderId="1" applyAlignment="1" pivotButton="0" quotePrefix="0" xfId="0">
      <alignment horizontal="left" vertical="top" wrapText="1"/>
    </xf>
    <xf numFmtId="4" fontId="17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24" fillId="0" borderId="0" pivotButton="0" quotePrefix="0" xfId="0"/>
    <xf numFmtId="0" fontId="24" fillId="0" borderId="0" applyAlignment="1" pivotButton="0" quotePrefix="0" xfId="0">
      <alignment vertical="center"/>
    </xf>
    <xf numFmtId="49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center" vertical="center" wrapText="1"/>
    </xf>
    <xf numFmtId="4" fontId="24" fillId="0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168" fontId="24" fillId="4" borderId="1" applyAlignment="1" pivotButton="0" quotePrefix="0" xfId="0">
      <alignment horizontal="center" vertical="center"/>
    </xf>
    <xf numFmtId="0" fontId="24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6" zoomScale="70" zoomScaleNormal="70" workbookViewId="0">
      <selection activeCell="C25" sqref="C25"/>
    </sheetView>
  </sheetViews>
  <sheetFormatPr baseColWidth="8" defaultRowHeight="15"/>
  <cols>
    <col width="36.85546875" customWidth="1" min="3" max="3"/>
    <col width="43.85546875" customWidth="1" style="277" min="4" max="4"/>
  </cols>
  <sheetData>
    <row r="3" ht="15.75" customHeight="1">
      <c r="B3" s="236" t="inlineStr">
        <is>
          <t>Приложение № 1</t>
        </is>
      </c>
    </row>
    <row r="4" ht="18.75" customHeight="1">
      <c r="B4" s="237" t="inlineStr">
        <is>
          <t>Сравнительная таблица отбора объекта-представителя</t>
        </is>
      </c>
    </row>
    <row r="5" ht="84" customHeight="1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5" t="inlineStr">
        <is>
          <t>Наименование разрабатываемого показателя УНЦ - Цифровой ТН на три фазы с устройством фундамента напряжение 6-15 кВ</t>
        </is>
      </c>
    </row>
    <row r="8" ht="31.5" customHeight="1">
      <c r="B8" s="235" t="inlineStr">
        <is>
          <t>Сопоставимый уровень цен: 4 кв. 2016 г.</t>
        </is>
      </c>
    </row>
    <row r="9" ht="15.75" customHeight="1">
      <c r="B9" s="235" t="inlineStr">
        <is>
          <t>Единица измерения  — 1 комплект (3 фазы)</t>
        </is>
      </c>
    </row>
    <row r="10" ht="18.75" customHeight="1">
      <c r="B10" s="117" t="n"/>
    </row>
    <row r="11" ht="15.75" customHeight="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</row>
    <row r="12" ht="41.25" customHeight="1">
      <c r="B12" s="242" t="n">
        <v>1</v>
      </c>
      <c r="C12" s="223" t="inlineStr">
        <is>
          <t>Наименование объекта-представителя</t>
        </is>
      </c>
      <c r="D12" s="181" t="inlineStr">
        <is>
          <t>ПС Южная</t>
        </is>
      </c>
    </row>
    <row r="13" ht="31.5" customHeight="1">
      <c r="B13" s="242" t="n">
        <v>2</v>
      </c>
      <c r="C13" s="223" t="inlineStr">
        <is>
          <t>Наименование субъекта Российской Федерации</t>
        </is>
      </c>
      <c r="D13" s="181" t="inlineStr">
        <is>
          <t>Вологодская область</t>
        </is>
      </c>
    </row>
    <row r="14" ht="15.75" customHeight="1">
      <c r="B14" s="242" t="n">
        <v>3</v>
      </c>
      <c r="C14" s="223" t="inlineStr">
        <is>
          <t>Климатический район и подрайон</t>
        </is>
      </c>
      <c r="D14" s="181" t="inlineStr">
        <is>
          <t>IIВ</t>
        </is>
      </c>
    </row>
    <row r="15" ht="15.75" customHeight="1">
      <c r="B15" s="242" t="n">
        <v>4</v>
      </c>
      <c r="C15" s="223" t="inlineStr">
        <is>
          <t>Мощность объекта</t>
        </is>
      </c>
      <c r="D15" s="181" t="n">
        <v>3</v>
      </c>
    </row>
    <row r="16" ht="107.25" customHeight="1">
      <c r="B16" s="242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1" t="inlineStr">
        <is>
          <t>Трансформатор напряжения цифровой 10кВ</t>
        </is>
      </c>
    </row>
    <row r="17" ht="95.25" customHeight="1">
      <c r="B17" s="242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SUM(D18:D21)</f>
        <v/>
      </c>
    </row>
    <row r="18" ht="15.75" customHeight="1">
      <c r="B18" s="121" t="inlineStr">
        <is>
          <t>6.1</t>
        </is>
      </c>
      <c r="C18" s="223" t="inlineStr">
        <is>
          <t>строительно-монтажные работы</t>
        </is>
      </c>
      <c r="D18" s="199" t="n">
        <v>14.33</v>
      </c>
    </row>
    <row r="19" ht="15.75" customHeight="1">
      <c r="B19" s="121" t="inlineStr">
        <is>
          <t>6.2</t>
        </is>
      </c>
      <c r="C19" s="223" t="inlineStr">
        <is>
          <t>оборудование и инвентарь</t>
        </is>
      </c>
      <c r="D19" s="199" t="n">
        <v>2544.03</v>
      </c>
    </row>
    <row r="20" ht="15.75" customHeight="1">
      <c r="B20" s="121" t="inlineStr">
        <is>
          <t>6.3</t>
        </is>
      </c>
      <c r="C20" s="223" t="inlineStr">
        <is>
          <t>пусконаладочные работы</t>
        </is>
      </c>
      <c r="D20" s="199">
        <f>D19*0.8*7%</f>
        <v/>
      </c>
    </row>
    <row r="21" ht="31.5" customHeight="1">
      <c r="B21" s="121" t="inlineStr">
        <is>
          <t>6.4</t>
        </is>
      </c>
      <c r="C21" s="223" t="inlineStr">
        <is>
          <t>прочие и лимитированные затраты</t>
        </is>
      </c>
      <c r="D21" s="199">
        <f>D18*3.9%+(D18+D18*3.9%)*2.1%</f>
        <v/>
      </c>
    </row>
    <row r="22" ht="15.75" customHeight="1">
      <c r="B22" s="242" t="n">
        <v>7</v>
      </c>
      <c r="C22" s="223" t="inlineStr">
        <is>
          <t>Сопоставимый уровень цен</t>
        </is>
      </c>
      <c r="D22" s="121" t="inlineStr">
        <is>
          <t>4 кв. 2016 г.</t>
        </is>
      </c>
    </row>
    <row r="23" ht="110.25" customHeight="1">
      <c r="B23" s="242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</row>
    <row r="24" ht="61.5" customHeight="1">
      <c r="B24" s="242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</row>
    <row r="25" ht="37.5" customHeight="1">
      <c r="B25" s="122" t="n"/>
      <c r="C25" s="123" t="n"/>
      <c r="D25" s="200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20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F19" sqref="F19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6" t="inlineStr">
        <is>
          <t>Приложение № 2</t>
        </is>
      </c>
    </row>
    <row r="4" ht="15.75" customHeight="1">
      <c r="B4" s="241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35" t="inlineStr">
        <is>
          <t>Наименование разрабатываемого показателя УНЦ - Цифровой ТН на три фазы с устройством фундамента напряжение 6-15 кВ</t>
        </is>
      </c>
    </row>
    <row r="7" ht="15.75" customHeight="1">
      <c r="B7" s="235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7" t="n"/>
      <c r="F9" s="327" t="n"/>
      <c r="G9" s="327" t="n"/>
      <c r="H9" s="327" t="n"/>
      <c r="I9" s="327" t="n"/>
      <c r="J9" s="328" t="n"/>
    </row>
    <row r="10" ht="15.75" customHeight="1">
      <c r="B10" s="329" t="n"/>
      <c r="C10" s="329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4 кв. 2016г., тыс. руб.</t>
        </is>
      </c>
      <c r="G10" s="327" t="n"/>
      <c r="H10" s="327" t="n"/>
      <c r="I10" s="327" t="n"/>
      <c r="J10" s="328" t="n"/>
    </row>
    <row r="11" ht="31.5" customHeight="1">
      <c r="B11" s="330" t="n"/>
      <c r="C11" s="330" t="n"/>
      <c r="D11" s="330" t="n"/>
      <c r="E11" s="330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75" customHeight="1">
      <c r="B12" s="223" t="n">
        <v>1</v>
      </c>
      <c r="C12" s="181" t="inlineStr">
        <is>
          <t>Трансформатор напряжения цифровой 10кВ</t>
        </is>
      </c>
      <c r="D12" s="224" t="inlineStr">
        <is>
          <t>02-01-35</t>
        </is>
      </c>
      <c r="E12" s="223" t="inlineStr">
        <is>
          <t>Открытая часть ПС. Электротехнические решения</t>
        </is>
      </c>
      <c r="F12" s="225">
        <f>230.42*7.63/1000</f>
        <v/>
      </c>
      <c r="G12" s="225">
        <f>1647.31*7.63/1000</f>
        <v/>
      </c>
      <c r="H12" s="225">
        <f>594399.87*4.28/1000</f>
        <v/>
      </c>
      <c r="I12" s="225" t="n"/>
      <c r="J12" s="225">
        <f>SUM(F12:I12)</f>
        <v/>
      </c>
    </row>
    <row r="13" ht="15.75" customHeight="1">
      <c r="B13" s="239" t="inlineStr">
        <is>
          <t>Всего по объекту:</t>
        </is>
      </c>
      <c r="C13" s="331" t="n"/>
      <c r="D13" s="331" t="n"/>
      <c r="E13" s="332" t="n"/>
      <c r="F13" s="226">
        <f>F12</f>
        <v/>
      </c>
      <c r="G13" s="226">
        <f>G12</f>
        <v/>
      </c>
      <c r="H13" s="226">
        <f>H12</f>
        <v/>
      </c>
      <c r="I13" s="226" t="n"/>
      <c r="J13" s="225">
        <f>SUM(F13:I13)</f>
        <v/>
      </c>
    </row>
    <row r="14" ht="28.5" customHeight="1">
      <c r="B14" s="240" t="inlineStr">
        <is>
          <t>Всего по объекту в сопоставимом уровне цен 4 кв. 2016г:</t>
        </is>
      </c>
      <c r="C14" s="327" t="n"/>
      <c r="D14" s="327" t="n"/>
      <c r="E14" s="328" t="n"/>
      <c r="F14" s="227">
        <f>F13</f>
        <v/>
      </c>
      <c r="G14" s="227">
        <f>G13</f>
        <v/>
      </c>
      <c r="H14" s="227">
        <f>H13</f>
        <v/>
      </c>
      <c r="I14" s="227" t="n"/>
      <c r="J14" s="225">
        <f>SUM(F14:I14)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95"/>
  <sheetViews>
    <sheetView view="pageBreakPreview" topLeftCell="A73" zoomScale="70" workbookViewId="0">
      <selection activeCell="C90" sqref="C90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5" min="8" max="8"/>
    <col hidden="1" width="10.140625" customWidth="1" min="9" max="9"/>
  </cols>
  <sheetData>
    <row r="2" ht="15.75" customHeight="1">
      <c r="A2" s="236" t="inlineStr">
        <is>
          <t xml:space="preserve">Приложение № 3 </t>
        </is>
      </c>
      <c r="I2" s="122" t="n"/>
    </row>
    <row r="3" ht="18.75" customHeight="1">
      <c r="A3" s="237" t="inlineStr">
        <is>
          <t>Объектная ресурсная ведомость</t>
        </is>
      </c>
    </row>
    <row r="4">
      <c r="B4" s="164" t="n"/>
      <c r="C4" s="252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6" t="n"/>
      <c r="D5" s="146" t="n"/>
      <c r="E5" s="146" t="n"/>
      <c r="F5" s="146" t="n"/>
      <c r="G5" s="146" t="n"/>
      <c r="H5" s="147" t="n"/>
    </row>
    <row r="6">
      <c r="A6" s="250" t="inlineStr">
        <is>
          <t>Наименование разрабатываемого показателя УНЦ - Цифровой ТН на три фазы с устройством фундамента напряжение 6-15 кВ</t>
        </is>
      </c>
      <c r="G6" s="148" t="n"/>
      <c r="H6" s="149" t="n"/>
    </row>
    <row r="7">
      <c r="G7" s="148" t="n"/>
      <c r="H7" s="149" t="n"/>
    </row>
    <row r="8">
      <c r="C8" s="150" t="n"/>
      <c r="D8" s="151" t="n"/>
      <c r="E8" s="152" t="n"/>
      <c r="F8" s="153" t="n"/>
      <c r="G8" s="154" t="n"/>
      <c r="H8" s="155" t="n"/>
    </row>
    <row r="9" ht="15.75" customHeight="1">
      <c r="A9" s="242" t="inlineStr">
        <is>
          <t>п/п</t>
        </is>
      </c>
      <c r="B9" s="242" t="inlineStr">
        <is>
          <t>№ЛСР</t>
        </is>
      </c>
      <c r="C9" s="242" t="inlineStr">
        <is>
          <t>Код ресурса</t>
        </is>
      </c>
      <c r="D9" s="242" t="inlineStr">
        <is>
          <t>Наименование ресурса</t>
        </is>
      </c>
      <c r="E9" s="242" t="inlineStr">
        <is>
          <t>Ед. изм.</t>
        </is>
      </c>
      <c r="F9" s="242" t="inlineStr">
        <is>
          <t>Кол-во единиц по данным объекта-представителя</t>
        </is>
      </c>
      <c r="G9" s="242" t="inlineStr">
        <is>
          <t>Сметная стоимость в ценах на 01.01.2000 (руб.)</t>
        </is>
      </c>
      <c r="H9" s="328" t="n"/>
    </row>
    <row r="10" ht="15.75" customHeight="1">
      <c r="A10" s="330" t="n"/>
      <c r="B10" s="330" t="n"/>
      <c r="C10" s="330" t="n"/>
      <c r="D10" s="330" t="n"/>
      <c r="E10" s="330" t="n"/>
      <c r="F10" s="330" t="n"/>
      <c r="G10" s="242" t="inlineStr">
        <is>
          <t>на ед.изм.</t>
        </is>
      </c>
      <c r="H10" s="242" t="inlineStr">
        <is>
          <t>общая</t>
        </is>
      </c>
    </row>
    <row r="11" ht="15.75" customHeight="1">
      <c r="A11" s="242" t="n">
        <v>1</v>
      </c>
      <c r="B11" s="156" t="n"/>
      <c r="C11" s="242" t="n">
        <v>2</v>
      </c>
      <c r="D11" s="242" t="inlineStr">
        <is>
          <t>З</t>
        </is>
      </c>
      <c r="E11" s="242" t="n">
        <v>4</v>
      </c>
      <c r="F11" s="242" t="n">
        <v>5</v>
      </c>
      <c r="G11" s="156" t="n">
        <v>6</v>
      </c>
      <c r="H11" s="156" t="n">
        <v>7</v>
      </c>
    </row>
    <row r="12">
      <c r="A12" s="248" t="inlineStr">
        <is>
          <t>Затраты труда рабочих</t>
        </is>
      </c>
      <c r="B12" s="327" t="n"/>
      <c r="C12" s="327" t="n"/>
      <c r="D12" s="328" t="n"/>
      <c r="E12" s="157" t="n"/>
      <c r="F12" s="171">
        <f>SUM(F13:F22)</f>
        <v/>
      </c>
      <c r="G12" s="157" t="n"/>
      <c r="H12" s="172">
        <f>SUM(H13:H22)</f>
        <v/>
      </c>
    </row>
    <row r="13">
      <c r="A13" s="168" t="inlineStr">
        <is>
          <t>1</t>
        </is>
      </c>
      <c r="B13" s="168" t="n"/>
      <c r="C13" s="178" t="inlineStr">
        <is>
          <t>10-30-1</t>
        </is>
      </c>
      <c r="D13" s="179" t="inlineStr">
        <is>
          <t>Инженер I категории</t>
        </is>
      </c>
      <c r="E13" s="7" t="inlineStr">
        <is>
          <t>чел.час</t>
        </is>
      </c>
      <c r="F13" s="32" t="n">
        <v>46.1</v>
      </c>
      <c r="G13" s="180" t="n">
        <v>15.49</v>
      </c>
      <c r="H13" s="32">
        <f>ROUND(F13*G13,2)</f>
        <v/>
      </c>
      <c r="J13" s="160" t="n"/>
      <c r="K13" s="159" t="n"/>
      <c r="L13" s="159" t="n"/>
    </row>
    <row r="14">
      <c r="A14" s="168" t="inlineStr">
        <is>
          <t>2</t>
        </is>
      </c>
      <c r="B14" s="168" t="n"/>
      <c r="C14" s="178" t="inlineStr">
        <is>
          <t>10-30-2</t>
        </is>
      </c>
      <c r="D14" s="179" t="inlineStr">
        <is>
          <t>Инженер II категории</t>
        </is>
      </c>
      <c r="E14" s="7" t="inlineStr">
        <is>
          <t>чел.час</t>
        </is>
      </c>
      <c r="F14" s="32" t="n">
        <v>46.1</v>
      </c>
      <c r="G14" s="180" t="n">
        <v>14.09</v>
      </c>
      <c r="H14" s="32">
        <f>ROUND(F14*G14,2)</f>
        <v/>
      </c>
      <c r="J14" s="160" t="n"/>
      <c r="K14" s="159" t="n"/>
      <c r="L14" s="159" t="n"/>
    </row>
    <row r="15">
      <c r="A15" s="168" t="inlineStr">
        <is>
          <t>3</t>
        </is>
      </c>
      <c r="B15" s="168" t="n"/>
      <c r="C15" s="178" t="inlineStr">
        <is>
          <t>1-4-0</t>
        </is>
      </c>
      <c r="D15" s="179" t="inlineStr">
        <is>
          <t>Затраты труда рабочих (средний разряд работы 4,0)</t>
        </is>
      </c>
      <c r="E15" s="7" t="inlineStr">
        <is>
          <t>чел.час</t>
        </is>
      </c>
      <c r="F15" s="32" t="n">
        <v>24.73708</v>
      </c>
      <c r="G15" s="180" t="n">
        <v>9.619999999999999</v>
      </c>
      <c r="H15" s="32">
        <f>ROUND(F15*G15,2)</f>
        <v/>
      </c>
      <c r="J15" s="160" t="n"/>
      <c r="K15" s="159" t="n"/>
      <c r="L15" s="159" t="n"/>
    </row>
    <row r="16">
      <c r="A16" s="168" t="inlineStr">
        <is>
          <t>4</t>
        </is>
      </c>
      <c r="B16" s="168" t="n"/>
      <c r="C16" s="178" t="inlineStr">
        <is>
          <t>1-2-0</t>
        </is>
      </c>
      <c r="D16" s="179" t="inlineStr">
        <is>
          <t>Затраты труда рабочих (средний разряд работы 2,0)</t>
        </is>
      </c>
      <c r="E16" s="7" t="inlineStr">
        <is>
          <t>чел.час</t>
        </is>
      </c>
      <c r="F16" s="32" t="n">
        <v>5.19414</v>
      </c>
      <c r="G16" s="180" t="n">
        <v>7.8</v>
      </c>
      <c r="H16" s="32">
        <f>ROUND(F16*G16,2)</f>
        <v/>
      </c>
      <c r="J16" s="160" t="n"/>
      <c r="K16" s="159" t="n"/>
      <c r="L16" s="159" t="n"/>
    </row>
    <row r="17">
      <c r="A17" s="168" t="inlineStr">
        <is>
          <t>5</t>
        </is>
      </c>
      <c r="B17" s="168" t="n"/>
      <c r="C17" s="178" t="inlineStr">
        <is>
          <t>1-2-9</t>
        </is>
      </c>
      <c r="D17" s="179" t="inlineStr">
        <is>
          <t>Затраты труда рабочих (средний разряд работы 1,5)</t>
        </is>
      </c>
      <c r="E17" s="7" t="inlineStr">
        <is>
          <t>чел.час</t>
        </is>
      </c>
      <c r="F17" s="32" t="n">
        <v>2.51712</v>
      </c>
      <c r="G17" s="180" t="n">
        <v>7.5</v>
      </c>
      <c r="H17" s="32">
        <f>ROUND(F17*G17,2)</f>
        <v/>
      </c>
      <c r="J17" s="160" t="n"/>
      <c r="K17" s="159" t="n"/>
      <c r="L17" s="159" t="n"/>
    </row>
    <row r="18">
      <c r="A18" s="168" t="inlineStr">
        <is>
          <t>6</t>
        </is>
      </c>
      <c r="B18" s="168" t="n"/>
      <c r="C18" s="178" t="inlineStr">
        <is>
          <t>1-3-0</t>
        </is>
      </c>
      <c r="D18" s="179" t="inlineStr">
        <is>
          <t>Затраты труда рабочих (средний разряд работы 4,2)</t>
        </is>
      </c>
      <c r="E18" s="7" t="inlineStr">
        <is>
          <t>чел.час</t>
        </is>
      </c>
      <c r="F18" s="32" t="n">
        <v>1.0758</v>
      </c>
      <c r="G18" s="180" t="n">
        <v>9.92</v>
      </c>
      <c r="H18" s="32">
        <f>ROUND(F18*G18,2)</f>
        <v/>
      </c>
      <c r="J18" s="160" t="n"/>
      <c r="K18" s="159" t="n"/>
      <c r="L18" s="159" t="n"/>
    </row>
    <row r="19">
      <c r="A19" s="168" t="inlineStr">
        <is>
          <t>7</t>
        </is>
      </c>
      <c r="B19" s="168" t="n"/>
      <c r="C19" s="178" t="inlineStr">
        <is>
          <t>1-4-1</t>
        </is>
      </c>
      <c r="D19" s="179" t="inlineStr">
        <is>
          <t>Затраты труда рабочих (средний разряд работы 1,0)</t>
        </is>
      </c>
      <c r="E19" s="7" t="inlineStr">
        <is>
          <t>чел.час</t>
        </is>
      </c>
      <c r="F19" s="32" t="n">
        <v>0.82866</v>
      </c>
      <c r="G19" s="180" t="n">
        <v>7.19</v>
      </c>
      <c r="H19" s="32">
        <f>ROUND(F19*G19,2)</f>
        <v/>
      </c>
      <c r="J19" s="160" t="n"/>
      <c r="K19" s="159" t="n"/>
      <c r="L19" s="159" t="n"/>
    </row>
    <row r="20">
      <c r="A20" s="168" t="inlineStr">
        <is>
          <t>8</t>
        </is>
      </c>
      <c r="B20" s="168" t="n"/>
      <c r="C20" s="178" t="inlineStr">
        <is>
          <t>1-3-9</t>
        </is>
      </c>
      <c r="D20" s="179" t="inlineStr">
        <is>
          <t>Затраты труда рабочих (средний разряд работы 3,0)</t>
        </is>
      </c>
      <c r="E20" s="7" t="inlineStr">
        <is>
          <t>чел.час</t>
        </is>
      </c>
      <c r="F20" s="32" t="n">
        <v>0.6002</v>
      </c>
      <c r="G20" s="180" t="n">
        <v>8.529999999999999</v>
      </c>
      <c r="H20" s="32">
        <f>ROUND(F20*G20,2)</f>
        <v/>
      </c>
      <c r="J20" s="160" t="n"/>
      <c r="K20" s="159" t="n"/>
      <c r="L20" s="159" t="n"/>
    </row>
    <row r="21">
      <c r="A21" s="168" t="inlineStr">
        <is>
          <t>9</t>
        </is>
      </c>
      <c r="B21" s="168" t="n"/>
      <c r="C21" s="178" t="inlineStr">
        <is>
          <t>1-3-4</t>
        </is>
      </c>
      <c r="D21" s="179" t="inlineStr">
        <is>
          <t>Затраты труда рабочих (средний разряд работы 3,4)</t>
        </is>
      </c>
      <c r="E21" s="7" t="inlineStr">
        <is>
          <t>чел.час</t>
        </is>
      </c>
      <c r="F21" s="32" t="n">
        <v>0.07475999999999999</v>
      </c>
      <c r="G21" s="180" t="n">
        <v>8.970000000000001</v>
      </c>
      <c r="H21" s="32">
        <f>ROUND(F21*G21,2)</f>
        <v/>
      </c>
      <c r="J21" s="160" t="n"/>
      <c r="K21" s="159" t="n"/>
      <c r="L21" s="159" t="n"/>
    </row>
    <row r="22">
      <c r="A22" s="168" t="inlineStr">
        <is>
          <t>10</t>
        </is>
      </c>
      <c r="B22" s="168" t="n"/>
      <c r="C22" s="178" t="inlineStr">
        <is>
          <t>1-3-5</t>
        </is>
      </c>
      <c r="D22" s="179" t="inlineStr">
        <is>
          <t>Затраты труда рабочих (средний разряд работы 4,6)</t>
        </is>
      </c>
      <c r="E22" s="7" t="inlineStr">
        <is>
          <t>чел.час</t>
        </is>
      </c>
      <c r="F22" s="32" t="n">
        <v>0.0623</v>
      </c>
      <c r="G22" s="180" t="n">
        <v>10.5</v>
      </c>
      <c r="H22" s="32">
        <f>ROUND(F22*G22,2)</f>
        <v/>
      </c>
      <c r="J22" s="160" t="n"/>
      <c r="K22" s="159" t="n"/>
      <c r="L22" s="159" t="n"/>
    </row>
    <row r="23">
      <c r="A23" s="333" t="inlineStr">
        <is>
          <t>Затраты труда машинистов</t>
        </is>
      </c>
      <c r="B23" s="331" t="n"/>
      <c r="C23" s="331" t="n"/>
      <c r="D23" s="332" t="n"/>
      <c r="E23" s="274" t="n"/>
      <c r="F23" s="32" t="n"/>
      <c r="G23" s="158" t="n"/>
      <c r="H23" s="173">
        <f>H24</f>
        <v/>
      </c>
      <c r="L23" s="159" t="n"/>
    </row>
    <row r="24">
      <c r="A24" s="168">
        <f>A22+1</f>
        <v/>
      </c>
      <c r="B24" s="170" t="n"/>
      <c r="C24" s="168" t="n">
        <v>2</v>
      </c>
      <c r="D24" s="258" t="inlineStr">
        <is>
          <t>Затраты труда машинистов</t>
        </is>
      </c>
      <c r="E24" s="259" t="inlineStr">
        <is>
          <t>чел.час</t>
        </is>
      </c>
      <c r="F24" s="32" t="n">
        <v>14.35344</v>
      </c>
      <c r="G24" s="273" t="n"/>
      <c r="H24" s="32" t="n">
        <v>168.36732</v>
      </c>
    </row>
    <row r="25">
      <c r="A25" s="248" t="inlineStr">
        <is>
          <t>Машины и механизмы</t>
        </is>
      </c>
      <c r="B25" s="327" t="n"/>
      <c r="C25" s="327" t="n"/>
      <c r="D25" s="328" t="n"/>
      <c r="E25" s="157" t="n"/>
      <c r="F25" s="32" t="n"/>
      <c r="G25" s="157" t="n"/>
      <c r="H25" s="174">
        <f>SUM(H26:H43)</f>
        <v/>
      </c>
      <c r="K25" s="159" t="n"/>
    </row>
    <row r="26" ht="25.5" customHeight="1">
      <c r="A26" s="259">
        <f>A24+1</f>
        <v/>
      </c>
      <c r="B26" s="168" t="n"/>
      <c r="C26" s="168" t="inlineStr">
        <is>
          <t>91.11.01-012</t>
        </is>
      </c>
      <c r="D26" s="258" t="inlineStr">
        <is>
          <t>Машины монтажные для выполнения работ при прокладке и монтаже кабеля на базе автомобиля</t>
        </is>
      </c>
      <c r="E26" s="259" t="inlineStr">
        <is>
          <t>маш.час</t>
        </is>
      </c>
      <c r="F26" s="32" t="n">
        <v>9.6</v>
      </c>
      <c r="G26" s="261" t="n">
        <v>110.86</v>
      </c>
      <c r="H26" s="32">
        <f>ROUND(F26*G26,2)</f>
        <v/>
      </c>
      <c r="I26" s="162" t="n"/>
    </row>
    <row r="27">
      <c r="A27" s="259">
        <f>A26+1</f>
        <v/>
      </c>
      <c r="B27" s="168" t="n"/>
      <c r="C27" s="168" t="inlineStr">
        <is>
          <t>91.10.01-002</t>
        </is>
      </c>
      <c r="D27" s="258" t="inlineStr">
        <is>
          <t>Агрегаты наполнительно-опрессовочные: до 300 м3/ч</t>
        </is>
      </c>
      <c r="E27" s="259" t="inlineStr">
        <is>
          <t>маш.час</t>
        </is>
      </c>
      <c r="F27" s="32" t="n">
        <v>1.256</v>
      </c>
      <c r="G27" s="261" t="n">
        <v>287.99</v>
      </c>
      <c r="H27" s="32">
        <f>ROUND(F27*G27,2)</f>
        <v/>
      </c>
      <c r="I27" s="162" t="n"/>
    </row>
    <row r="28" ht="25.5" customHeight="1">
      <c r="A28" s="259">
        <f>A27+1</f>
        <v/>
      </c>
      <c r="B28" s="168" t="n"/>
      <c r="C28" s="168" t="inlineStr">
        <is>
          <t>91.06.03-058</t>
        </is>
      </c>
      <c r="D28" s="258" t="inlineStr">
        <is>
          <t>Лебедки электрические тяговым усилием: 156,96 кН (16 т)</t>
        </is>
      </c>
      <c r="E28" s="259" t="inlineStr">
        <is>
          <t>маш.час</t>
        </is>
      </c>
      <c r="F28" s="32" t="n">
        <v>1.256</v>
      </c>
      <c r="G28" s="261" t="n">
        <v>131.44</v>
      </c>
      <c r="H28" s="32">
        <f>ROUND(F28*G28,2)</f>
        <v/>
      </c>
      <c r="I28" s="162" t="n"/>
    </row>
    <row r="29" ht="25.5" customHeight="1">
      <c r="A29" s="259">
        <f>A28+1</f>
        <v/>
      </c>
      <c r="B29" s="168" t="n"/>
      <c r="C29" s="168" t="inlineStr">
        <is>
          <t>91.05.05-014</t>
        </is>
      </c>
      <c r="D29" s="258" t="inlineStr">
        <is>
          <t>Краны на автомобильном ходу, грузоподъемность 10 т</t>
        </is>
      </c>
      <c r="E29" s="259" t="inlineStr">
        <is>
          <t>маш.час</t>
        </is>
      </c>
      <c r="F29" s="32" t="n">
        <v>1.174</v>
      </c>
      <c r="G29" s="261" t="n">
        <v>111.99</v>
      </c>
      <c r="H29" s="32">
        <f>ROUND(F29*G29,2)</f>
        <v/>
      </c>
      <c r="I29" s="162" t="n"/>
    </row>
    <row r="30">
      <c r="A30" s="259">
        <f>A29+1</f>
        <v/>
      </c>
      <c r="B30" s="168" t="n"/>
      <c r="C30" s="168" t="inlineStr">
        <is>
          <t>91.14.02-001</t>
        </is>
      </c>
      <c r="D30" s="258" t="inlineStr">
        <is>
          <t>Автомобили бортовые, грузоподъемность: до 5 т</t>
        </is>
      </c>
      <c r="E30" s="259" t="inlineStr">
        <is>
          <t>маш.час</t>
        </is>
      </c>
      <c r="F30" s="32" t="n">
        <v>0.384</v>
      </c>
      <c r="G30" s="261" t="n">
        <v>65.70999999999999</v>
      </c>
      <c r="H30" s="32">
        <f>ROUND(F30*G30,2)</f>
        <v/>
      </c>
      <c r="I30" s="162" t="n"/>
    </row>
    <row r="31" ht="38.25" customHeight="1">
      <c r="A31" s="259">
        <f>A30+1</f>
        <v/>
      </c>
      <c r="B31" s="168" t="n"/>
      <c r="C31" s="168" t="inlineStr">
        <is>
          <t>03-21-01-020</t>
        </is>
      </c>
      <c r="D31" s="258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E31" s="259" t="inlineStr">
        <is>
          <t>1 т груза</t>
        </is>
      </c>
      <c r="F31" s="32" t="n">
        <v>1.1536</v>
      </c>
      <c r="G31" s="261" t="n">
        <v>15.35</v>
      </c>
      <c r="H31" s="32">
        <f>ROUND(F31*G31,2)</f>
        <v/>
      </c>
      <c r="I31" s="162" t="n"/>
    </row>
    <row r="32" ht="25.5" customHeight="1">
      <c r="A32" s="259">
        <f>A31+1</f>
        <v/>
      </c>
      <c r="B32" s="168" t="n"/>
      <c r="C32" s="168" t="inlineStr">
        <is>
          <t>91.17.04-233</t>
        </is>
      </c>
      <c r="D32" s="258" t="inlineStr">
        <is>
          <t>Установки для сварки: ручной дуговой (постоянного тока)</t>
        </is>
      </c>
      <c r="E32" s="259" t="inlineStr">
        <is>
          <t>маш.час</t>
        </is>
      </c>
      <c r="F32" s="32" t="n">
        <v>1.526</v>
      </c>
      <c r="G32" s="261" t="n">
        <v>8.1</v>
      </c>
      <c r="H32" s="32">
        <f>ROUND(F32*G32,2)</f>
        <v/>
      </c>
      <c r="I32" s="162" t="n"/>
    </row>
    <row r="33">
      <c r="A33" s="259">
        <f>A32+1</f>
        <v/>
      </c>
      <c r="B33" s="168" t="n"/>
      <c r="C33" s="168" t="inlineStr">
        <is>
          <t>91.08.04-021</t>
        </is>
      </c>
      <c r="D33" s="258" t="inlineStr">
        <is>
          <t>Котлы битумные: передвижные 400 л</t>
        </is>
      </c>
      <c r="E33" s="259" t="inlineStr">
        <is>
          <t>маш.час</t>
        </is>
      </c>
      <c r="F33" s="32" t="n">
        <v>0.308</v>
      </c>
      <c r="G33" s="261" t="n">
        <v>30</v>
      </c>
      <c r="H33" s="32">
        <f>ROUND(F33*G33,2)</f>
        <v/>
      </c>
      <c r="I33" s="162" t="n"/>
    </row>
    <row r="34" ht="38.25" customHeight="1">
      <c r="A34" s="259">
        <f>A33+1</f>
        <v/>
      </c>
      <c r="B34" s="168" t="n"/>
      <c r="C34" s="168" t="inlineStr">
        <is>
          <t>91.18.01-007</t>
        </is>
      </c>
      <c r="D34" s="25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4" s="259" t="inlineStr">
        <is>
          <t>маш.час</t>
        </is>
      </c>
      <c r="F34" s="32" t="n">
        <v>0.102</v>
      </c>
      <c r="G34" s="261" t="n">
        <v>90</v>
      </c>
      <c r="H34" s="32">
        <f>ROUND(F34*G34,2)</f>
        <v/>
      </c>
      <c r="I34" s="162" t="n"/>
    </row>
    <row r="35">
      <c r="A35" s="259">
        <f>A34+1</f>
        <v/>
      </c>
      <c r="B35" s="168" t="n"/>
      <c r="C35" s="168" t="inlineStr">
        <is>
          <t>91.06.06-042</t>
        </is>
      </c>
      <c r="D35" s="258" t="inlineStr">
        <is>
          <t>Подъемники гидравлические высотой подъема: 10 м</t>
        </is>
      </c>
      <c r="E35" s="259" t="inlineStr">
        <is>
          <t>маш.час</t>
        </is>
      </c>
      <c r="F35" s="32" t="n">
        <v>0.212</v>
      </c>
      <c r="G35" s="261" t="n">
        <v>29.6</v>
      </c>
      <c r="H35" s="32">
        <f>ROUND(F35*G35,2)</f>
        <v/>
      </c>
      <c r="I35" s="162" t="n"/>
    </row>
    <row r="36">
      <c r="A36" s="259">
        <f>A35+1</f>
        <v/>
      </c>
      <c r="B36" s="168" t="n"/>
      <c r="C36" s="168" t="inlineStr">
        <is>
          <t>91.14.02-002</t>
        </is>
      </c>
      <c r="D36" s="258" t="inlineStr">
        <is>
          <t>Автомобили бортовые, грузоподъемность: до 8 т</t>
        </is>
      </c>
      <c r="E36" s="259" t="inlineStr">
        <is>
          <t>маш.час</t>
        </is>
      </c>
      <c r="F36" s="32" t="n">
        <v>0.07199999999999999</v>
      </c>
      <c r="G36" s="261" t="n">
        <v>85.84</v>
      </c>
      <c r="H36" s="32">
        <f>ROUND(F36*G36,2)</f>
        <v/>
      </c>
      <c r="I36" s="162" t="n"/>
    </row>
    <row r="37" ht="25.5" customHeight="1">
      <c r="A37" s="259">
        <f>A36+1</f>
        <v/>
      </c>
      <c r="B37" s="168" t="n"/>
      <c r="C37" s="168" t="inlineStr">
        <is>
          <t>91.06.01-003</t>
        </is>
      </c>
      <c r="D37" s="258" t="inlineStr">
        <is>
          <t>Домкраты гидравлические, грузоподъемность 63-100 т</t>
        </is>
      </c>
      <c r="E37" s="259" t="inlineStr">
        <is>
          <t>маш.час</t>
        </is>
      </c>
      <c r="F37" s="32" t="n">
        <v>2.508</v>
      </c>
      <c r="G37" s="261" t="n">
        <v>0.9</v>
      </c>
      <c r="H37" s="32">
        <f>ROUND(F37*G37,2)</f>
        <v/>
      </c>
      <c r="I37" s="162" t="n"/>
    </row>
    <row r="38">
      <c r="A38" s="259">
        <f>A37+1</f>
        <v/>
      </c>
      <c r="B38" s="168" t="n"/>
      <c r="C38" s="168" t="inlineStr">
        <is>
          <t>91.01.01-035</t>
        </is>
      </c>
      <c r="D38" s="258" t="inlineStr">
        <is>
          <t>Бульдозеры, мощность 79 кВт (108 л.с.)</t>
        </is>
      </c>
      <c r="E38" s="259" t="inlineStr">
        <is>
          <t>маш.час</t>
        </is>
      </c>
      <c r="F38" s="32" t="n">
        <v>0.012</v>
      </c>
      <c r="G38" s="261" t="n">
        <v>79.06999999999999</v>
      </c>
      <c r="H38" s="32">
        <f>ROUND(F38*G38,2)</f>
        <v/>
      </c>
      <c r="I38" s="162" t="n"/>
    </row>
    <row r="39">
      <c r="A39" s="259">
        <f>A38+1</f>
        <v/>
      </c>
      <c r="B39" s="168" t="n"/>
      <c r="C39" s="168" t="inlineStr">
        <is>
          <t>91.05.01-017</t>
        </is>
      </c>
      <c r="D39" s="258" t="inlineStr">
        <is>
          <t>Краны башенные, грузоподъемность 8 т</t>
        </is>
      </c>
      <c r="E39" s="259" t="inlineStr">
        <is>
          <t>маш.час</t>
        </is>
      </c>
      <c r="F39" s="32" t="n">
        <v>0.008</v>
      </c>
      <c r="G39" s="261" t="n">
        <v>86.40000000000001</v>
      </c>
      <c r="H39" s="32">
        <f>ROUND(F39*G39,2)</f>
        <v/>
      </c>
      <c r="I39" s="162" t="n"/>
    </row>
    <row r="40" ht="38.25" customHeight="1">
      <c r="A40" s="259">
        <f>A39+1</f>
        <v/>
      </c>
      <c r="B40" s="168" t="n"/>
      <c r="C40" s="168" t="inlineStr">
        <is>
          <t>03-02-01-031</t>
        </is>
      </c>
      <c r="D40" s="258" t="inlineStr">
        <is>
          <t>Перевозка грузов автомобилями бортовыми грузоподъемностью до 5 т на расстояние: I класс груза до 31 км</t>
        </is>
      </c>
      <c r="E40" s="259" t="inlineStr">
        <is>
          <t>1 т груза</t>
        </is>
      </c>
      <c r="F40" s="32" t="n">
        <v>0.0056964</v>
      </c>
      <c r="G40" s="261" t="n">
        <v>34.78</v>
      </c>
      <c r="H40" s="32">
        <f>ROUND(F40*G40,2)</f>
        <v/>
      </c>
      <c r="I40" s="162" t="n"/>
    </row>
    <row r="41" ht="25.5" customHeight="1">
      <c r="A41" s="259">
        <f>A40+1</f>
        <v/>
      </c>
      <c r="B41" s="168" t="n"/>
      <c r="C41" s="168" t="inlineStr">
        <is>
          <t>91.08.09-023</t>
        </is>
      </c>
      <c r="D41" s="258" t="inlineStr">
        <is>
          <t>Трамбовки пневматические при работе от: передвижных компрессорных станций</t>
        </is>
      </c>
      <c r="E41" s="259" t="inlineStr">
        <is>
          <t>маш.час</t>
        </is>
      </c>
      <c r="F41" s="32" t="n">
        <v>0.324</v>
      </c>
      <c r="G41" s="261" t="n">
        <v>0.55</v>
      </c>
      <c r="H41" s="32">
        <f>ROUND(F41*G41,2)</f>
        <v/>
      </c>
      <c r="I41" s="162" t="n"/>
    </row>
    <row r="42" ht="25.5" customHeight="1">
      <c r="A42" s="259">
        <f>A41+1</f>
        <v/>
      </c>
      <c r="B42" s="168" t="n"/>
      <c r="C42" s="168" t="inlineStr">
        <is>
          <t>91.21.01-012</t>
        </is>
      </c>
      <c r="D42" s="258" t="inlineStr">
        <is>
          <t>Агрегаты окрасочные высокого давления для окраски поверхностей конструкций, мощность 1 кВт</t>
        </is>
      </c>
      <c r="E42" s="259" t="inlineStr">
        <is>
          <t>маш.час</t>
        </is>
      </c>
      <c r="F42" s="32" t="n">
        <v>0.008</v>
      </c>
      <c r="G42" s="261" t="n">
        <v>6.82</v>
      </c>
      <c r="H42" s="32">
        <f>ROUND(F42*G42,2)</f>
        <v/>
      </c>
      <c r="I42" s="162" t="n"/>
    </row>
    <row r="43">
      <c r="A43" s="259">
        <f>A42+1</f>
        <v/>
      </c>
      <c r="B43" s="168" t="n"/>
      <c r="C43" s="168" t="inlineStr">
        <is>
          <t>91.07.04-002</t>
        </is>
      </c>
      <c r="D43" s="258" t="inlineStr">
        <is>
          <t>Вибратор поверхностный</t>
        </is>
      </c>
      <c r="E43" s="259" t="inlineStr">
        <is>
          <t>маш.час</t>
        </is>
      </c>
      <c r="F43" s="32" t="n">
        <v>0.024</v>
      </c>
      <c r="G43" s="261" t="n">
        <v>0.5</v>
      </c>
      <c r="H43" s="32">
        <f>ROUND(F43*G43,2)</f>
        <v/>
      </c>
      <c r="I43" s="162" t="n"/>
    </row>
    <row r="44">
      <c r="A44" s="249" t="inlineStr">
        <is>
          <t>Оборудование</t>
        </is>
      </c>
      <c r="B44" s="327" t="n"/>
      <c r="C44" s="327" t="n"/>
      <c r="D44" s="328" t="n"/>
      <c r="E44" s="163" t="n"/>
      <c r="F44" s="32" t="n"/>
      <c r="G44" s="158" t="n"/>
      <c r="H44" s="176">
        <f>SUM(H45:H47)</f>
        <v/>
      </c>
      <c r="I44" s="162" t="n"/>
    </row>
    <row r="45">
      <c r="A45" s="259">
        <f>A43+1</f>
        <v/>
      </c>
      <c r="B45" s="249" t="n"/>
      <c r="C45" s="168" t="inlineStr">
        <is>
          <t>Прайс из СД ОП</t>
        </is>
      </c>
      <c r="D45" s="258" t="inlineStr">
        <is>
          <t>Трансформатор напряжения цифровой 10 кВ</t>
        </is>
      </c>
      <c r="E45" s="274" t="inlineStr">
        <is>
          <t>шт.</t>
        </is>
      </c>
      <c r="F45" s="274" t="n">
        <v>3</v>
      </c>
      <c r="G45" s="158" t="n">
        <v>54429.46</v>
      </c>
      <c r="H45" s="32" t="n">
        <v>163288.38</v>
      </c>
      <c r="I45" s="162" t="n"/>
    </row>
    <row r="46" ht="25.5" customHeight="1">
      <c r="A46" s="259">
        <f>A45+1</f>
        <v/>
      </c>
      <c r="B46" s="249" t="n"/>
      <c r="C46" s="168" t="inlineStr">
        <is>
          <t>Прайс из СД ОП</t>
        </is>
      </c>
      <c r="D46" s="179" t="inlineStr">
        <is>
          <t>Ящик АВР цепей напряжения
ЯАВР2.1-АСКУЭ-220В</t>
        </is>
      </c>
      <c r="E46" s="274" t="inlineStr">
        <is>
          <t>шт.</t>
        </is>
      </c>
      <c r="F46" s="274" t="n">
        <v>1</v>
      </c>
      <c r="G46" s="158" t="n">
        <v>4887.58</v>
      </c>
      <c r="H46" s="32" t="n">
        <v>4887.58</v>
      </c>
      <c r="I46" s="162" t="n"/>
    </row>
    <row r="47" ht="25.5" customHeight="1">
      <c r="A47" s="259">
        <f>A46+1</f>
        <v/>
      </c>
      <c r="B47" s="249" t="n"/>
      <c r="C47" s="168" t="inlineStr">
        <is>
          <t>Прайс из СД ОП</t>
        </is>
      </c>
      <c r="D47" s="179" t="inlineStr">
        <is>
          <t>Ящик цепей напряжения ЯЗН-11-
АСКУЭ</t>
        </is>
      </c>
      <c r="E47" s="274" t="inlineStr">
        <is>
          <t>шт.</t>
        </is>
      </c>
      <c r="F47" s="274" t="n">
        <v>1</v>
      </c>
      <c r="G47" s="158" t="n">
        <v>4046.87</v>
      </c>
      <c r="H47" s="32" t="n">
        <v>4046.87</v>
      </c>
      <c r="I47" s="162" t="n"/>
    </row>
    <row r="48">
      <c r="A48" s="248" t="inlineStr">
        <is>
          <t>Материалы</t>
        </is>
      </c>
      <c r="B48" s="327" t="n"/>
      <c r="C48" s="327" t="n"/>
      <c r="D48" s="328" t="n"/>
      <c r="E48" s="169" t="n"/>
      <c r="F48" s="169" t="n"/>
      <c r="G48" s="157" t="n"/>
      <c r="H48" s="174">
        <f>SUM(H49:H85)</f>
        <v/>
      </c>
    </row>
    <row r="49" ht="25.5" customHeight="1">
      <c r="A49" s="259">
        <f>A47+1</f>
        <v/>
      </c>
      <c r="B49" s="168" t="n"/>
      <c r="C49" s="168" t="inlineStr">
        <is>
          <t>07.2.07.04-0003</t>
        </is>
      </c>
      <c r="D49" s="258" t="inlineStr">
        <is>
          <t>Конструкции стальные индивидуальные решетчатые сварные, масса 0,1-0,5 т</t>
        </is>
      </c>
      <c r="E49" s="259" t="inlineStr">
        <is>
          <t>т</t>
        </is>
      </c>
      <c r="F49" s="32" t="n">
        <v>0.06398</v>
      </c>
      <c r="G49" s="261" t="n">
        <v>10874.02</v>
      </c>
      <c r="H49" s="32">
        <f>ROUND(F49*G49,2)</f>
        <v/>
      </c>
      <c r="I49" s="162">
        <f>H49/$H$48</f>
        <v/>
      </c>
    </row>
    <row r="50" ht="25.5" customHeight="1">
      <c r="A50" s="259">
        <f>A49+1</f>
        <v/>
      </c>
      <c r="B50" s="168" t="n"/>
      <c r="C50" s="168" t="inlineStr">
        <is>
          <t>01.2.03.03-0003</t>
        </is>
      </c>
      <c r="D50" s="258" t="inlineStr">
        <is>
          <t>Мастика битумно-полимерная гидроизоляционная кровельная антикоррозийная холодного применения</t>
        </is>
      </c>
      <c r="E50" s="259" t="inlineStr">
        <is>
          <t>т</t>
        </is>
      </c>
      <c r="F50" s="32" t="n">
        <v>0.009587999999999999</v>
      </c>
      <c r="G50" s="261" t="n">
        <v>45295.14</v>
      </c>
      <c r="H50" s="32">
        <f>ROUND(F50*G50,2)</f>
        <v/>
      </c>
      <c r="I50" s="162">
        <f>H50/$H$48</f>
        <v/>
      </c>
    </row>
    <row r="51" ht="25.5" customHeight="1">
      <c r="A51" s="259">
        <f>A50+1</f>
        <v/>
      </c>
      <c r="B51" s="168" t="n"/>
      <c r="C51" s="168" t="inlineStr">
        <is>
          <t>21.1.06.10-0411</t>
        </is>
      </c>
      <c r="D51" s="258" t="inlineStr">
        <is>
          <t>Кабель силовой с медными жилами ВВГнг(A)-LS 5х16мк(N, РЕ)-1000</t>
        </is>
      </c>
      <c r="E51" s="259" t="inlineStr">
        <is>
          <t>1000 м</t>
        </is>
      </c>
      <c r="F51" s="32" t="n">
        <v>0.0042</v>
      </c>
      <c r="G51" s="261" t="n">
        <v>98440.41</v>
      </c>
      <c r="H51" s="32">
        <f>ROUND(F51*G51,2)</f>
        <v/>
      </c>
      <c r="I51" s="162">
        <f>H51/$H$48</f>
        <v/>
      </c>
    </row>
    <row r="52">
      <c r="A52" s="259">
        <f>A51+1</f>
        <v/>
      </c>
      <c r="B52" s="168" t="n"/>
      <c r="C52" s="168" t="inlineStr">
        <is>
          <t>05.1.05.16-0221</t>
        </is>
      </c>
      <c r="D52" s="258" t="inlineStr">
        <is>
          <t>Фундаменты сборные железобетонные ВЛ и ОРУ</t>
        </is>
      </c>
      <c r="E52" s="259" t="inlineStr">
        <is>
          <t>м3</t>
        </is>
      </c>
      <c r="F52" s="32" t="n">
        <v>0.23634</v>
      </c>
      <c r="G52" s="261" t="n">
        <v>1597.37</v>
      </c>
      <c r="H52" s="32">
        <f>ROUND(F52*G52,2)</f>
        <v/>
      </c>
      <c r="I52" s="162">
        <f>H52/$H$48</f>
        <v/>
      </c>
    </row>
    <row r="53">
      <c r="A53" s="259">
        <f>A52+1</f>
        <v/>
      </c>
      <c r="B53" s="168" t="n"/>
      <c r="C53" s="168" t="inlineStr">
        <is>
          <t>21.1.08.03-0574</t>
        </is>
      </c>
      <c r="D53" s="258" t="inlineStr">
        <is>
          <t>Кабель контрольный КВВГЭнг(А)-LS 4x2,5</t>
        </is>
      </c>
      <c r="E53" s="259" t="inlineStr">
        <is>
          <t>1000 м</t>
        </is>
      </c>
      <c r="F53" s="32" t="n">
        <v>0.008399999999999999</v>
      </c>
      <c r="G53" s="261" t="n">
        <v>38348.22</v>
      </c>
      <c r="H53" s="32">
        <f>ROUND(F53*G53,2)</f>
        <v/>
      </c>
      <c r="I53" s="162">
        <f>H53/$H$48</f>
        <v/>
      </c>
    </row>
    <row r="54" ht="25.5" customHeight="1">
      <c r="A54" s="259">
        <f>A53+1</f>
        <v/>
      </c>
      <c r="B54" s="168" t="n"/>
      <c r="C54" s="168" t="inlineStr">
        <is>
          <t>05.1.01.10-0131</t>
        </is>
      </c>
      <c r="D54" s="258" t="inlineStr">
        <is>
          <t>Лотки каналов и тоннелей железобетонные для прокладки коммуникаций</t>
        </is>
      </c>
      <c r="E54" s="259" t="inlineStr">
        <is>
          <t>м3</t>
        </is>
      </c>
      <c r="F54" s="32" t="n">
        <v>0.056</v>
      </c>
      <c r="G54" s="261" t="n">
        <v>1837.28</v>
      </c>
      <c r="H54" s="32">
        <f>ROUND(F54*G54,2)</f>
        <v/>
      </c>
      <c r="I54" s="162" t="n"/>
    </row>
    <row r="55" ht="51" customHeight="1">
      <c r="A55" s="259">
        <f>A54+1</f>
        <v/>
      </c>
      <c r="B55" s="168" t="n"/>
      <c r="C55" s="168" t="inlineStr">
        <is>
          <t>21.2.01.02-0090</t>
        </is>
      </c>
      <c r="D55" s="25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      </is>
      </c>
      <c r="E55" s="259" t="inlineStr">
        <is>
          <t>т</t>
        </is>
      </c>
      <c r="F55" s="32" t="n">
        <v>0.0025662</v>
      </c>
      <c r="G55" s="261" t="n">
        <v>32762.18</v>
      </c>
      <c r="H55" s="32">
        <f>ROUND(F55*G55,2)</f>
        <v/>
      </c>
      <c r="I55" s="162" t="n"/>
    </row>
    <row r="56" ht="25.5" customHeight="1">
      <c r="A56" s="259">
        <f>A55+1</f>
        <v/>
      </c>
      <c r="B56" s="168" t="n"/>
      <c r="C56" s="168" t="inlineStr">
        <is>
          <t>61.2.04.01-0002</t>
        </is>
      </c>
      <c r="D56" s="258" t="inlineStr">
        <is>
          <t>Арматура светосигнальная АМЕ с лампой накаливания КМ- 24В</t>
        </is>
      </c>
      <c r="E56" s="259" t="inlineStr">
        <is>
          <t>10 шт.</t>
        </is>
      </c>
      <c r="F56" s="32" t="n">
        <v>0.4</v>
      </c>
      <c r="G56" s="261" t="n">
        <v>194.2</v>
      </c>
      <c r="H56" s="32">
        <f>ROUND(F56*G56,2)</f>
        <v/>
      </c>
      <c r="I56" s="162" t="n"/>
    </row>
    <row r="57">
      <c r="A57" s="259">
        <f>A56+1</f>
        <v/>
      </c>
      <c r="B57" s="168" t="n"/>
      <c r="C57" s="168" t="inlineStr">
        <is>
          <t>20.1.01.02-0062</t>
        </is>
      </c>
      <c r="D57" s="258" t="inlineStr">
        <is>
          <t>Зажим аппаратный прессуемый: А4А-150-2</t>
        </is>
      </c>
      <c r="E57" s="259" t="inlineStr">
        <is>
          <t>100 шт.</t>
        </is>
      </c>
      <c r="F57" s="32" t="n">
        <v>0.02472</v>
      </c>
      <c r="G57" s="261" t="n">
        <v>2695</v>
      </c>
      <c r="H57" s="32">
        <f>ROUND(F57*G57,2)</f>
        <v/>
      </c>
      <c r="I57" s="162" t="n"/>
    </row>
    <row r="58">
      <c r="A58" s="259">
        <f>A57+1</f>
        <v/>
      </c>
      <c r="B58" s="168" t="n"/>
      <c r="C58" s="260" t="inlineStr">
        <is>
          <t>20.2.08.07-0072</t>
        </is>
      </c>
      <c r="D58" s="258" t="inlineStr">
        <is>
          <t>Скобы металлические для крепления проводов</t>
        </is>
      </c>
      <c r="E58" s="259" t="inlineStr">
        <is>
          <t>10 шт.</t>
        </is>
      </c>
      <c r="F58" s="32" t="n">
        <v>1.6</v>
      </c>
      <c r="G58" s="261" t="n">
        <v>29.4</v>
      </c>
      <c r="H58" s="32">
        <f>ROUND(F58*G58,2)</f>
        <v/>
      </c>
      <c r="I58" s="162" t="n"/>
    </row>
    <row r="59">
      <c r="A59" s="259">
        <f>A58+1</f>
        <v/>
      </c>
      <c r="B59" s="168" t="n"/>
      <c r="C59" s="168" t="inlineStr">
        <is>
          <t>01.7.17.11-0001</t>
        </is>
      </c>
      <c r="D59" s="258" t="inlineStr">
        <is>
          <t>Бумага шлифовальная</t>
        </is>
      </c>
      <c r="E59" s="259" t="inlineStr">
        <is>
          <t>кг</t>
        </is>
      </c>
      <c r="F59" s="32" t="n">
        <v>0.8</v>
      </c>
      <c r="G59" s="261" t="n">
        <v>50</v>
      </c>
      <c r="H59" s="32">
        <f>ROUND(F59*G59,2)</f>
        <v/>
      </c>
      <c r="I59" s="162" t="n"/>
    </row>
    <row r="60">
      <c r="A60" s="259">
        <f>A59+1</f>
        <v/>
      </c>
      <c r="B60" s="168" t="n"/>
      <c r="C60" s="168" t="inlineStr">
        <is>
          <t>01.7.15.03-0042</t>
        </is>
      </c>
      <c r="D60" s="258" t="inlineStr">
        <is>
          <t>Болты с гайками и шайбами строительные</t>
        </is>
      </c>
      <c r="E60" s="259" t="inlineStr">
        <is>
          <t>кг</t>
        </is>
      </c>
      <c r="F60" s="32" t="n">
        <v>4.057</v>
      </c>
      <c r="G60" s="261" t="n">
        <v>9.039999999999999</v>
      </c>
      <c r="H60" s="32">
        <f>ROUND(F60*G60,2)</f>
        <v/>
      </c>
      <c r="I60" s="162" t="n"/>
    </row>
    <row r="61" ht="25.5" customHeight="1">
      <c r="A61" s="259">
        <f>A60+1</f>
        <v/>
      </c>
      <c r="B61" s="168" t="n"/>
      <c r="C61" s="168" t="inlineStr">
        <is>
          <t>999-9950</t>
        </is>
      </c>
      <c r="D61" s="258" t="inlineStr">
        <is>
          <t>Вспомогательные ненормируемые ресурсы (2% от Оплаты труда рабочих)</t>
        </is>
      </c>
      <c r="E61" s="259" t="inlineStr">
        <is>
          <t>руб</t>
        </is>
      </c>
      <c r="F61" s="32" t="n">
        <v>31.8608</v>
      </c>
      <c r="G61" s="261" t="n">
        <v>1</v>
      </c>
      <c r="H61" s="32">
        <f>ROUND(F61*G61,2)</f>
        <v/>
      </c>
      <c r="I61" s="162" t="n"/>
    </row>
    <row r="62" ht="25.5" customHeight="1">
      <c r="A62" s="259">
        <f>A61+1</f>
        <v/>
      </c>
      <c r="B62" s="168" t="n"/>
      <c r="C62" s="168" t="inlineStr">
        <is>
          <t>02.2.04.03-0012</t>
        </is>
      </c>
      <c r="D62" s="258" t="inlineStr">
        <is>
          <t>Смесь песчано-гравийная природная обогащенная с содержанием гравия: 25-35 %</t>
        </is>
      </c>
      <c r="E62" s="259" t="inlineStr">
        <is>
          <t>м3</t>
        </is>
      </c>
      <c r="F62" s="32" t="n">
        <v>0.39</v>
      </c>
      <c r="G62" s="261" t="n">
        <v>69.55</v>
      </c>
      <c r="H62" s="32">
        <f>ROUND(F62*G62,2)</f>
        <v/>
      </c>
      <c r="I62" s="162" t="n"/>
    </row>
    <row r="63">
      <c r="A63" s="259">
        <f>A62+1</f>
        <v/>
      </c>
      <c r="B63" s="168" t="n"/>
      <c r="C63" s="168" t="inlineStr">
        <is>
          <t>20.2.08.05-0017</t>
        </is>
      </c>
      <c r="D63" s="258" t="inlineStr">
        <is>
          <t>Профиль монтажный</t>
        </is>
      </c>
      <c r="E63" s="259" t="inlineStr">
        <is>
          <t>шт.</t>
        </is>
      </c>
      <c r="F63" s="32" t="n">
        <v>0.4</v>
      </c>
      <c r="G63" s="261" t="n">
        <v>66.81999999999999</v>
      </c>
      <c r="H63" s="32">
        <f>ROUND(F63*G63,2)</f>
        <v/>
      </c>
      <c r="I63" s="162" t="n"/>
    </row>
    <row r="64" ht="25.5" customHeight="1">
      <c r="A64" s="259">
        <f>A63+1</f>
        <v/>
      </c>
      <c r="B64" s="168" t="n"/>
      <c r="C64" s="168" t="inlineStr">
        <is>
          <t>02.2.05.04-0052</t>
        </is>
      </c>
      <c r="D64" s="258" t="inlineStr">
        <is>
          <t>Щебень из гравия для строительных работ марка 800, фракция 40-70 мм</t>
        </is>
      </c>
      <c r="E64" s="259" t="inlineStr">
        <is>
          <t>м3</t>
        </is>
      </c>
      <c r="F64" s="32" t="n">
        <v>0.204</v>
      </c>
      <c r="G64" s="261" t="n">
        <v>125.95</v>
      </c>
      <c r="H64" s="32">
        <f>ROUND(F64*G64,2)</f>
        <v/>
      </c>
      <c r="I64" s="162" t="n"/>
    </row>
    <row r="65">
      <c r="A65" s="259">
        <f>A64+1</f>
        <v/>
      </c>
      <c r="B65" s="168" t="n"/>
      <c r="C65" s="168" t="inlineStr">
        <is>
          <t>20.1.01.03-0002</t>
        </is>
      </c>
      <c r="D65" s="258" t="inlineStr">
        <is>
          <t>Зажим винтовой ЗВИ-10 2,5-6 мм2 12 пар</t>
        </is>
      </c>
      <c r="E65" s="259" t="inlineStr">
        <is>
          <t>шт.</t>
        </is>
      </c>
      <c r="F65" s="32" t="n">
        <v>4</v>
      </c>
      <c r="G65" s="261" t="n">
        <v>6.29</v>
      </c>
      <c r="H65" s="32">
        <f>ROUND(F65*G65,2)</f>
        <v/>
      </c>
      <c r="I65" s="162" t="n"/>
    </row>
    <row r="66" ht="38.25" customHeight="1">
      <c r="A66" s="259">
        <f>A65+1</f>
        <v/>
      </c>
      <c r="B66" s="168" t="n"/>
      <c r="C66" s="168" t="inlineStr">
        <is>
          <t>04.1.02.03-0041</t>
        </is>
      </c>
      <c r="D66" s="258" t="inlineStr">
        <is>
          <t>Бетон тяжелый для дорожных и аэродромных покрытий и оснований, крупность заполнителя: 20 мм, класс В10 (М150)</t>
        </is>
      </c>
      <c r="E66" s="259" t="inlineStr">
        <is>
          <t>м3</t>
        </is>
      </c>
      <c r="F66" s="32" t="n">
        <v>0.0408</v>
      </c>
      <c r="G66" s="261" t="n">
        <v>581.51</v>
      </c>
      <c r="H66" s="32">
        <f>ROUND(F66*G66,2)</f>
        <v/>
      </c>
      <c r="I66" s="162" t="n"/>
    </row>
    <row r="67">
      <c r="A67" s="259">
        <f>A66+1</f>
        <v/>
      </c>
      <c r="B67" s="168" t="n"/>
      <c r="C67" s="168" t="inlineStr">
        <is>
          <t>02.2.05.04-1777</t>
        </is>
      </c>
      <c r="D67" s="258" t="inlineStr">
        <is>
          <t>Щебень М 800, фракция 20-40 мм, группа 2</t>
        </is>
      </c>
      <c r="E67" s="259" t="inlineStr">
        <is>
          <t>м3</t>
        </is>
      </c>
      <c r="F67" s="32" t="n">
        <v>0.16</v>
      </c>
      <c r="G67" s="261" t="n">
        <v>108.4</v>
      </c>
      <c r="H67" s="32">
        <f>ROUND(F67*G67,2)</f>
        <v/>
      </c>
      <c r="I67" s="162" t="n"/>
    </row>
    <row r="68" ht="25.5" customHeight="1">
      <c r="A68" s="259">
        <f>A67+1</f>
        <v/>
      </c>
      <c r="B68" s="168" t="n"/>
      <c r="C68" s="168" t="inlineStr">
        <is>
          <t>08.3.07.01-0076</t>
        </is>
      </c>
      <c r="D68" s="258" t="inlineStr">
        <is>
          <t>Сталь полосовая, марка стали: Ст3сп шириной 50-200 мм толщиной 4-5 мм</t>
        </is>
      </c>
      <c r="E68" s="259" t="inlineStr">
        <is>
          <t>т</t>
        </is>
      </c>
      <c r="F68" s="32" t="n">
        <v>0.00208</v>
      </c>
      <c r="G68" s="261" t="n">
        <v>5000</v>
      </c>
      <c r="H68" s="32">
        <f>ROUND(F68*G68,2)</f>
        <v/>
      </c>
      <c r="I68" s="162" t="n"/>
    </row>
    <row r="69">
      <c r="A69" s="259">
        <f>A68+1</f>
        <v/>
      </c>
      <c r="B69" s="168" t="n"/>
      <c r="C69" s="168" t="inlineStr">
        <is>
          <t>01.7.15.07-0031</t>
        </is>
      </c>
      <c r="D69" s="258" t="inlineStr">
        <is>
          <t>Дюбели распорные с гайкой</t>
        </is>
      </c>
      <c r="E69" s="259" t="inlineStr">
        <is>
          <t>100 шт.</t>
        </is>
      </c>
      <c r="F69" s="32" t="n">
        <v>0.07298</v>
      </c>
      <c r="G69" s="261" t="n">
        <v>110</v>
      </c>
      <c r="H69" s="32">
        <f>ROUND(F69*G69,2)</f>
        <v/>
      </c>
      <c r="I69" s="162" t="n"/>
    </row>
    <row r="70" ht="25.5" customHeight="1">
      <c r="A70" s="259">
        <f>A69+1</f>
        <v/>
      </c>
      <c r="B70" s="168" t="n"/>
      <c r="C70" s="168" t="inlineStr">
        <is>
          <t>03.2.01.01-0003</t>
        </is>
      </c>
      <c r="D70" s="258" t="inlineStr">
        <is>
          <t>Портландцемент общестроительного назначения бездобавочный, марки: 500</t>
        </is>
      </c>
      <c r="E70" s="259" t="inlineStr">
        <is>
          <t>т</t>
        </is>
      </c>
      <c r="F70" s="32" t="n">
        <v>0.01642</v>
      </c>
      <c r="G70" s="261" t="n">
        <v>480</v>
      </c>
      <c r="H70" s="32">
        <f>ROUND(F70*G70,2)</f>
        <v/>
      </c>
      <c r="I70" s="162" t="n"/>
    </row>
    <row r="71" ht="25.5" customHeight="1">
      <c r="A71" s="259">
        <f>A70+1</f>
        <v/>
      </c>
      <c r="B71" s="168" t="n"/>
      <c r="C71" s="168" t="inlineStr">
        <is>
          <t>01.7.15.05-0027</t>
        </is>
      </c>
      <c r="D71" s="258" t="inlineStr">
        <is>
          <t>Гайки шестигранные оцинкованные диаметр резьбы: 24 мм</t>
        </is>
      </c>
      <c r="E71" s="259" t="inlineStr">
        <is>
          <t>т</t>
        </is>
      </c>
      <c r="F71" s="32" t="n">
        <v>0.0003936</v>
      </c>
      <c r="G71" s="261" t="n">
        <v>19978.06</v>
      </c>
      <c r="H71" s="32">
        <f>ROUND(F71*G71,2)</f>
        <v/>
      </c>
      <c r="I71" s="162" t="n"/>
    </row>
    <row r="72">
      <c r="A72" s="259">
        <f>A71+1</f>
        <v/>
      </c>
      <c r="B72" s="168" t="n"/>
      <c r="C72" s="168" t="inlineStr">
        <is>
          <t>01.7.15.11-0052</t>
        </is>
      </c>
      <c r="D72" s="258" t="inlineStr">
        <is>
          <t>Шайбы оцинкованные, диаметр: 24 мм</t>
        </is>
      </c>
      <c r="E72" s="259" t="inlineStr">
        <is>
          <t>кг</t>
        </is>
      </c>
      <c r="F72" s="32" t="n">
        <v>0.2224</v>
      </c>
      <c r="G72" s="261" t="n">
        <v>28.45</v>
      </c>
      <c r="H72" s="32">
        <f>ROUND(F72*G72,2)</f>
        <v/>
      </c>
      <c r="I72" s="162" t="n"/>
    </row>
    <row r="73">
      <c r="A73" s="259">
        <f>A72+1</f>
        <v/>
      </c>
      <c r="B73" s="168" t="n"/>
      <c r="C73" s="168" t="inlineStr">
        <is>
          <t>01.7.11.07-0034</t>
        </is>
      </c>
      <c r="D73" s="258" t="inlineStr">
        <is>
          <t>Электроды диаметром: 4 мм Э42А</t>
        </is>
      </c>
      <c r="E73" s="259" t="inlineStr">
        <is>
          <t>кг</t>
        </is>
      </c>
      <c r="F73" s="32" t="n">
        <v>0.59312</v>
      </c>
      <c r="G73" s="261" t="n">
        <v>10.57</v>
      </c>
      <c r="H73" s="32">
        <f>ROUND(F73*G73,2)</f>
        <v/>
      </c>
      <c r="I73" s="162" t="n"/>
    </row>
    <row r="74">
      <c r="A74" s="259">
        <f>A73+1</f>
        <v/>
      </c>
      <c r="B74" s="168" t="n"/>
      <c r="C74" s="168" t="inlineStr">
        <is>
          <t>14.4.02.09-0001</t>
        </is>
      </c>
      <c r="D74" s="258" t="inlineStr">
        <is>
          <t>Краска</t>
        </is>
      </c>
      <c r="E74" s="259" t="inlineStr">
        <is>
          <t>кг</t>
        </is>
      </c>
      <c r="F74" s="32" t="n">
        <v>0.07920000000000001</v>
      </c>
      <c r="G74" s="261" t="n">
        <v>28.6</v>
      </c>
      <c r="H74" s="32">
        <f>ROUND(F74*G74,2)</f>
        <v/>
      </c>
      <c r="I74" s="162" t="n"/>
    </row>
    <row r="75">
      <c r="A75" s="259">
        <f>A74+1</f>
        <v/>
      </c>
      <c r="B75" s="168" t="n"/>
      <c r="C75" s="168" t="inlineStr">
        <is>
          <t>04.3.01.09-0014</t>
        </is>
      </c>
      <c r="D75" s="258" t="inlineStr">
        <is>
          <t>Раствор готовый кладочный цементный марки: 100</t>
        </is>
      </c>
      <c r="E75" s="259" t="inlineStr">
        <is>
          <t>м3</t>
        </is>
      </c>
      <c r="F75" s="32" t="n">
        <v>0.0043096</v>
      </c>
      <c r="G75" s="261" t="n">
        <v>519.8</v>
      </c>
      <c r="H75" s="32">
        <f>ROUND(F75*G75,2)</f>
        <v/>
      </c>
      <c r="I75" s="162" t="n"/>
    </row>
    <row r="76" ht="25.5" customHeight="1">
      <c r="A76" s="259">
        <f>A75+1</f>
        <v/>
      </c>
      <c r="B76" s="168" t="n"/>
      <c r="C76" s="168" t="inlineStr">
        <is>
          <t>01.3.01.06-0050</t>
        </is>
      </c>
      <c r="D76" s="258" t="inlineStr">
        <is>
          <t>Смазка универсальная тугоплавкая УТ (консталин жировой)</t>
        </is>
      </c>
      <c r="E76" s="259" t="inlineStr">
        <is>
          <t>т</t>
        </is>
      </c>
      <c r="F76" s="32" t="n">
        <v>0.00012</v>
      </c>
      <c r="G76" s="261" t="n">
        <v>17500</v>
      </c>
      <c r="H76" s="32">
        <f>ROUND(F76*G76,2)</f>
        <v/>
      </c>
      <c r="I76" s="162" t="n"/>
    </row>
    <row r="77">
      <c r="A77" s="259">
        <f>A76+1</f>
        <v/>
      </c>
      <c r="B77" s="168" t="n"/>
      <c r="C77" s="168" t="inlineStr">
        <is>
          <t>01.7.20.08-0031</t>
        </is>
      </c>
      <c r="D77" s="258" t="inlineStr">
        <is>
          <t>Бязь суровая арт. 6804</t>
        </is>
      </c>
      <c r="E77" s="259" t="inlineStr">
        <is>
          <t>10 м2</t>
        </is>
      </c>
      <c r="F77" s="32" t="n">
        <v>0.0114</v>
      </c>
      <c r="G77" s="261" t="n">
        <v>79.09999999999999</v>
      </c>
      <c r="H77" s="32">
        <f>ROUND(F77*G77,2)</f>
        <v/>
      </c>
      <c r="I77" s="162" t="n"/>
    </row>
    <row r="78" ht="25.5" customHeight="1">
      <c r="A78" s="259">
        <f>A77+1</f>
        <v/>
      </c>
      <c r="B78" s="168" t="n"/>
      <c r="C78" s="168" t="inlineStr">
        <is>
          <t>02.3.01.02-0020</t>
        </is>
      </c>
      <c r="D78" s="258" t="inlineStr">
        <is>
          <t>Песок природный для строительных: растворов средний</t>
        </is>
      </c>
      <c r="E78" s="259" t="inlineStr">
        <is>
          <t>м3</t>
        </is>
      </c>
      <c r="F78" s="32" t="n">
        <v>0.01368</v>
      </c>
      <c r="G78" s="261" t="n">
        <v>59.99</v>
      </c>
      <c r="H78" s="32">
        <f>ROUND(F78*G78,2)</f>
        <v/>
      </c>
      <c r="I78" s="162" t="n"/>
    </row>
    <row r="79">
      <c r="A79" s="259">
        <f>A78+1</f>
        <v/>
      </c>
      <c r="B79" s="168" t="n"/>
      <c r="C79" s="168" t="inlineStr">
        <is>
          <t>14.5.09.11-0101</t>
        </is>
      </c>
      <c r="D79" s="258" t="inlineStr">
        <is>
          <t>Уайт-спирит</t>
        </is>
      </c>
      <c r="E79" s="259" t="inlineStr">
        <is>
          <t>т</t>
        </is>
      </c>
      <c r="F79" s="32" t="n">
        <v>0.0001</v>
      </c>
      <c r="G79" s="261" t="n">
        <v>6667</v>
      </c>
      <c r="H79" s="32">
        <f>ROUND(F79*G79,2)</f>
        <v/>
      </c>
      <c r="I79" s="162" t="n"/>
    </row>
    <row r="80">
      <c r="A80" s="259">
        <f>A79+1</f>
        <v/>
      </c>
      <c r="B80" s="168" t="n"/>
      <c r="C80" s="168" t="inlineStr">
        <is>
          <t>01.7.07.12-0024</t>
        </is>
      </c>
      <c r="D80" s="258" t="inlineStr">
        <is>
          <t>Пленка полиэтиленовая толщиной: 0,15 мм</t>
        </is>
      </c>
      <c r="E80" s="259" t="inlineStr">
        <is>
          <t>м2</t>
        </is>
      </c>
      <c r="F80" s="32" t="n">
        <v>0.1</v>
      </c>
      <c r="G80" s="261" t="n">
        <v>3.62</v>
      </c>
      <c r="H80" s="32">
        <f>ROUND(F80*G80,2)</f>
        <v/>
      </c>
      <c r="I80" s="162" t="n"/>
    </row>
    <row r="81" ht="25.5" customHeight="1">
      <c r="A81" s="259">
        <f>A80+1</f>
        <v/>
      </c>
      <c r="B81" s="168" t="n"/>
      <c r="C81" s="168" t="inlineStr">
        <is>
          <t>11.1.03.06-0087</t>
        </is>
      </c>
      <c r="D81" s="258" t="inlineStr">
        <is>
          <t>Доски обрезные хвойных пород длиной: 4-6,5 м, шириной 75-150 мм, толщиной 25 мм, III сорта</t>
        </is>
      </c>
      <c r="E81" s="259" t="inlineStr">
        <is>
          <t>м3</t>
        </is>
      </c>
      <c r="F81" s="32" t="n">
        <v>0.00014</v>
      </c>
      <c r="G81" s="261" t="n">
        <v>1100</v>
      </c>
      <c r="H81" s="32">
        <f>ROUND(F81*G81,2)</f>
        <v/>
      </c>
      <c r="I81" s="162" t="n"/>
    </row>
    <row r="82">
      <c r="A82" s="259">
        <f>A81+1</f>
        <v/>
      </c>
      <c r="B82" s="168" t="n"/>
      <c r="C82" s="168" t="inlineStr">
        <is>
          <t>08.3.07.01-0043</t>
        </is>
      </c>
      <c r="D82" s="258" t="inlineStr">
        <is>
          <t>Сталь полосовая: 40х5 мм, марка Ст3сп</t>
        </is>
      </c>
      <c r="E82" s="259" t="inlineStr">
        <is>
          <t>т</t>
        </is>
      </c>
      <c r="F82" s="32" t="n">
        <v>1.64e-05</v>
      </c>
      <c r="G82" s="261" t="n">
        <v>6159.22</v>
      </c>
      <c r="H82" s="32">
        <f>ROUND(F82*G82,2)</f>
        <v/>
      </c>
      <c r="I82" s="162" t="n"/>
    </row>
    <row r="83" ht="38.25" customHeight="1">
      <c r="A83" s="259">
        <f>A82+1</f>
        <v/>
      </c>
      <c r="B83" s="168" t="n"/>
      <c r="C83" s="168" t="inlineStr">
        <is>
          <t>11.1.03.06-0095</t>
        </is>
      </c>
      <c r="D83" s="258" t="inlineStr">
        <is>
          <t>Доски обрезные хвойных пород длиной: 4-6,5 м, шириной 75-150 мм, толщиной 44 мм и более, III сорта</t>
        </is>
      </c>
      <c r="E83" s="259" t="inlineStr">
        <is>
          <t>м3</t>
        </is>
      </c>
      <c r="F83" s="32" t="n">
        <v>6e-05</v>
      </c>
      <c r="G83" s="261" t="n">
        <v>1056</v>
      </c>
      <c r="H83" s="32">
        <f>ROUND(F83*G83,2)</f>
        <v/>
      </c>
      <c r="I83" s="162" t="n"/>
    </row>
    <row r="84" ht="25.5" customHeight="1">
      <c r="A84" s="259">
        <f>A83+1</f>
        <v/>
      </c>
      <c r="B84" s="168" t="n"/>
      <c r="C84" s="168" t="inlineStr">
        <is>
          <t>07.2.07.04-0007</t>
        </is>
      </c>
      <c r="D84" s="258" t="inlineStr">
        <is>
          <t>Конструкции стальные индивидуальные: решетчатые сварные массой до 0,1 т</t>
        </is>
      </c>
      <c r="E84" s="259" t="inlineStr">
        <is>
          <t>т</t>
        </is>
      </c>
      <c r="F84" s="32" t="n">
        <v>1e-06</v>
      </c>
      <c r="G84" s="261" t="n">
        <v>11500</v>
      </c>
      <c r="H84" s="32">
        <f>ROUND(F84*G84,2)</f>
        <v/>
      </c>
      <c r="I84" s="162" t="n"/>
    </row>
    <row r="85">
      <c r="A85" s="259">
        <f>A84+1</f>
        <v/>
      </c>
      <c r="B85" s="168" t="n"/>
      <c r="C85" s="168" t="inlineStr">
        <is>
          <t>01.2.01.02-0052</t>
        </is>
      </c>
      <c r="D85" s="258" t="inlineStr">
        <is>
          <t>Битумы нефтяные строительные марки: БН-70/30</t>
        </is>
      </c>
      <c r="E85" s="259" t="inlineStr">
        <is>
          <t>т</t>
        </is>
      </c>
      <c r="F85" s="32" t="n">
        <v>4.4e-06</v>
      </c>
      <c r="G85" s="261" t="n">
        <v>1525.5</v>
      </c>
      <c r="H85" s="32">
        <f>ROUND(F85*G85,2)</f>
        <v/>
      </c>
      <c r="I85" s="162" t="n"/>
    </row>
    <row r="86">
      <c r="C86" s="153" t="n"/>
      <c r="D86" s="151" t="n"/>
      <c r="E86" s="152" t="n"/>
      <c r="F86" s="152" t="n"/>
      <c r="G86" s="154" t="n"/>
      <c r="H86" s="167" t="n"/>
    </row>
    <row r="87">
      <c r="B87" s="164" t="inlineStr">
        <is>
          <t xml:space="preserve">Примечание: </t>
        </is>
      </c>
      <c r="C87" s="253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8">
      <c r="I88" s="165" t="n"/>
    </row>
    <row r="91" ht="14.25" customFormat="1" customHeight="1" s="12">
      <c r="A91" s="4" t="inlineStr">
        <is>
          <t>Составил ______________________    Е. М. Добровольская</t>
        </is>
      </c>
    </row>
    <row r="92" ht="14.25" customFormat="1" customHeight="1" s="12">
      <c r="A92" s="33" t="inlineStr">
        <is>
          <t xml:space="preserve">                         (подпись, инициалы, фамилия)</t>
        </is>
      </c>
    </row>
    <row r="93" ht="14.25" customFormat="1" customHeight="1" s="12">
      <c r="A93" s="4" t="n"/>
    </row>
    <row r="94" ht="14.25" customFormat="1" customHeight="1" s="12">
      <c r="A94" s="4" t="inlineStr">
        <is>
          <t>Проверил ______________________        А.В. Костянецкая</t>
        </is>
      </c>
    </row>
    <row r="95" ht="14.25" customFormat="1" customHeight="1" s="12">
      <c r="A95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9:A10"/>
    <mergeCell ref="A12:D12"/>
    <mergeCell ref="A2:H2"/>
    <mergeCell ref="A48:D48"/>
    <mergeCell ref="A25:D25"/>
    <mergeCell ref="C87:H87"/>
    <mergeCell ref="A3:I3"/>
    <mergeCell ref="C4:H4"/>
    <mergeCell ref="G9:H9"/>
    <mergeCell ref="A44:D44"/>
  </mergeCells>
  <pageMargins left="0.7086614173228347" right="0.7086614173228347" top="0.7480314960629921" bottom="0.7480314960629921" header="0.3149606299212598" footer="0.3149606299212598"/>
  <pageSetup orientation="landscape" paperSize="9" scale="84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8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322" t="inlineStr">
        <is>
          <t>Наименование разрабатываемого показателя УНЦ - Цифровой ТН на три фазы с устройством фундамента напряжение 6-15 кВ</t>
        </is>
      </c>
    </row>
    <row r="8">
      <c r="B8" s="257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1" customHeight="1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2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2">
        <f>'Прил.5 Расчет СМР и ОБ'!J40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2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2">
        <f>'Прил.5 Расчет СМР и ОБ'!J61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2">
        <f>'Прил.5 Расчет СМР и ОБ'!J91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8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ОБ'!D95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ОБ'!D94</f>
        <v/>
      </c>
      <c r="D23" s="27" t="n"/>
      <c r="E23" s="25" t="n"/>
    </row>
    <row r="24">
      <c r="B24" s="25" t="inlineStr">
        <is>
          <t>ВСЕГО СМР с НР и СП</t>
        </is>
      </c>
      <c r="C24" s="18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82">
        <f>'Прил.5 Расчет СМР и ОБ'!J49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8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183">
        <f>ROUND((C24+C29)*2.1%,2)</f>
        <v/>
      </c>
      <c r="D30" s="25" t="n"/>
      <c r="E30" s="27">
        <f>C30/$C$40</f>
        <v/>
      </c>
    </row>
    <row r="31" ht="25.5" customHeight="1">
      <c r="B31" s="196" t="inlineStr">
        <is>
          <t>Пусконаладочные работы (на основании СД ОП)</t>
        </is>
      </c>
      <c r="C31" s="26" t="n">
        <v>34874.65</v>
      </c>
      <c r="D31" s="197" t="n"/>
      <c r="E31" s="27">
        <f>C31/$C$40</f>
        <v/>
      </c>
    </row>
    <row r="32" ht="25.5" customHeight="1">
      <c r="B32" s="196" t="inlineStr">
        <is>
          <t>Затраты по перевозке работников к месту работы и обратно</t>
        </is>
      </c>
      <c r="C32" s="26">
        <f>ROUND($C$27*0%,2)</f>
        <v/>
      </c>
      <c r="D32" s="197" t="n"/>
      <c r="E32" s="27">
        <f>C32/$C$40</f>
        <v/>
      </c>
    </row>
    <row r="33" ht="25.5" customHeight="1">
      <c r="B33" s="196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197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8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8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2">
        <f>C40/'Прил.5 Расчет СМР и ОБ'!E98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view="pageBreakPreview" topLeftCell="A84" zoomScaleSheetLayoutView="100" workbookViewId="0">
      <selection activeCell="F102" sqref="F10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4.14062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hidden="1" width="14" customWidth="1" style="12" min="12" max="12"/>
  </cols>
  <sheetData>
    <row r="1">
      <c r="M1" s="12" t="n"/>
      <c r="N1" s="12" t="n"/>
    </row>
    <row r="2" ht="15.75" customHeight="1">
      <c r="H2" s="26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8" t="inlineStr">
        <is>
          <t>Расчет стоимости СМР и оборудования</t>
        </is>
      </c>
    </row>
    <row r="5" ht="12.75" customFormat="1" customHeight="1" s="4">
      <c r="A5" s="228" t="n"/>
      <c r="B5" s="228" t="n"/>
      <c r="C5" s="278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4">
      <c r="A6" s="231" t="inlineStr">
        <is>
          <t>Наименование разрабатываемого показателя УНЦ</t>
        </is>
      </c>
      <c r="D6" s="231" t="inlineStr">
        <is>
          <t>Цифровой ТН на три фазы с устройством фундамента напряжение 6-15 кВ</t>
        </is>
      </c>
      <c r="I6" s="145" t="n"/>
      <c r="J6" s="145" t="n"/>
    </row>
    <row r="7" ht="12.75" customFormat="1" customHeight="1" s="4">
      <c r="A7" s="231" t="inlineStr">
        <is>
          <t>Единица измерения  — 1 ед.</t>
        </is>
      </c>
      <c r="I7" s="322" t="n"/>
      <c r="J7" s="322" t="n"/>
    </row>
    <row r="8" ht="13.5" customFormat="1" customHeight="1" s="4">
      <c r="A8" s="231" t="n"/>
    </row>
    <row r="9" ht="27" customHeight="1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28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28" t="n"/>
      <c r="M9" s="12" t="n"/>
      <c r="N9" s="12" t="n"/>
    </row>
    <row r="10" ht="28.5" customHeight="1">
      <c r="A10" s="330" t="n"/>
      <c r="B10" s="330" t="n"/>
      <c r="C10" s="330" t="n"/>
      <c r="D10" s="330" t="n"/>
      <c r="E10" s="330" t="n"/>
      <c r="F10" s="259" t="inlineStr">
        <is>
          <t>на ед. изм.</t>
        </is>
      </c>
      <c r="G10" s="259" t="inlineStr">
        <is>
          <t>общая</t>
        </is>
      </c>
      <c r="H10" s="330" t="n"/>
      <c r="I10" s="259" t="inlineStr">
        <is>
          <t>на ед. изм.</t>
        </is>
      </c>
      <c r="J10" s="259" t="inlineStr">
        <is>
          <t>общая</t>
        </is>
      </c>
      <c r="M10" s="12" t="n"/>
      <c r="N10" s="12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67" t="n">
        <v>9</v>
      </c>
      <c r="J11" s="267" t="n">
        <v>10</v>
      </c>
      <c r="M11" s="12" t="n"/>
      <c r="N11" s="12" t="n"/>
    </row>
    <row r="12">
      <c r="A12" s="259" t="n"/>
      <c r="B12" s="263" t="inlineStr">
        <is>
          <t>Затраты труда рабочих-строителей</t>
        </is>
      </c>
      <c r="C12" s="327" t="n"/>
      <c r="D12" s="327" t="n"/>
      <c r="E12" s="327" t="n"/>
      <c r="F12" s="327" t="n"/>
      <c r="G12" s="327" t="n"/>
      <c r="H12" s="328" t="n"/>
      <c r="I12" s="186" t="n"/>
      <c r="J12" s="186" t="n"/>
    </row>
    <row r="13" ht="25.5" customHeight="1">
      <c r="A13" s="259" t="n">
        <v>1</v>
      </c>
      <c r="B13" s="168" t="inlineStr">
        <is>
          <t>1-3-4</t>
        </is>
      </c>
      <c r="C13" s="258" t="inlineStr">
        <is>
          <t>Затраты труда рабочих-строителей среднего разряда (3,4)</t>
        </is>
      </c>
      <c r="D13" s="259" t="inlineStr">
        <is>
          <t>чел.-ч.</t>
        </is>
      </c>
      <c r="E13" s="175" t="n">
        <v>35.09006</v>
      </c>
      <c r="F13" s="32" t="n">
        <v>8.970000000000001</v>
      </c>
      <c r="G13" s="32">
        <f>E13*F13</f>
        <v/>
      </c>
      <c r="H13" s="187">
        <f>G13/G16</f>
        <v/>
      </c>
      <c r="I13" s="32">
        <f>ФОТр.тек.!E13</f>
        <v/>
      </c>
      <c r="J13" s="32">
        <f>ROUND(I13*E13,2)</f>
        <v/>
      </c>
    </row>
    <row r="14">
      <c r="A14" s="259" t="n">
        <v>2</v>
      </c>
      <c r="B14" s="168" t="inlineStr">
        <is>
          <t>10-30-1</t>
        </is>
      </c>
      <c r="C14" s="258" t="inlineStr">
        <is>
          <t>Инженер I категории</t>
        </is>
      </c>
      <c r="D14" s="259" t="inlineStr">
        <is>
          <t>чел.-ч.</t>
        </is>
      </c>
      <c r="E14" s="175" t="n">
        <v>46.1</v>
      </c>
      <c r="F14" s="32" t="n">
        <v>15.49</v>
      </c>
      <c r="G14" s="32">
        <f>E14*F14</f>
        <v/>
      </c>
      <c r="H14" s="187">
        <f>G14/G16</f>
        <v/>
      </c>
      <c r="I14" s="32">
        <f>ФОТр.тек.!E21</f>
        <v/>
      </c>
      <c r="J14" s="32">
        <f>ROUND(I14*E14,2)</f>
        <v/>
      </c>
    </row>
    <row r="15">
      <c r="A15" s="259" t="n">
        <v>3</v>
      </c>
      <c r="B15" s="168" t="inlineStr">
        <is>
          <t>10-30-2</t>
        </is>
      </c>
      <c r="C15" s="258" t="inlineStr">
        <is>
          <t>Инженер II категории</t>
        </is>
      </c>
      <c r="D15" s="259" t="inlineStr">
        <is>
          <t>чел.-ч.</t>
        </is>
      </c>
      <c r="E15" s="175" t="n">
        <v>46.1</v>
      </c>
      <c r="F15" s="32" t="n">
        <v>14.09</v>
      </c>
      <c r="G15" s="32">
        <f>E15*F15</f>
        <v/>
      </c>
      <c r="H15" s="187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59" t="n"/>
      <c r="B16" s="259" t="n"/>
      <c r="C16" s="263" t="inlineStr">
        <is>
          <t>Итого по разделу "Затраты труда рабочих-строителей"</t>
        </is>
      </c>
      <c r="D16" s="259" t="inlineStr">
        <is>
          <t>чел.-ч.</t>
        </is>
      </c>
      <c r="E16" s="175">
        <f>SUM(E13:E15)</f>
        <v/>
      </c>
      <c r="F16" s="32" t="n"/>
      <c r="G16" s="32">
        <f>SUM(G13:G15)</f>
        <v/>
      </c>
      <c r="H16" s="262" t="n">
        <v>1</v>
      </c>
      <c r="I16" s="186" t="n"/>
      <c r="J16" s="32">
        <f>SUM(J13:J15)</f>
        <v/>
      </c>
    </row>
    <row r="17" ht="14.25" customFormat="1" customHeight="1" s="12">
      <c r="A17" s="259" t="n"/>
      <c r="B17" s="258" t="inlineStr">
        <is>
          <t>Затраты труда машинистов</t>
        </is>
      </c>
      <c r="C17" s="327" t="n"/>
      <c r="D17" s="327" t="n"/>
      <c r="E17" s="327" t="n"/>
      <c r="F17" s="327" t="n"/>
      <c r="G17" s="327" t="n"/>
      <c r="H17" s="328" t="n"/>
      <c r="I17" s="186" t="n"/>
      <c r="J17" s="186" t="n"/>
    </row>
    <row r="18" ht="14.25" customFormat="1" customHeight="1" s="12">
      <c r="A18" s="259" t="n">
        <v>4</v>
      </c>
      <c r="B18" s="259" t="n">
        <v>2</v>
      </c>
      <c r="C18" s="258" t="inlineStr">
        <is>
          <t>Затраты труда машинистов</t>
        </is>
      </c>
      <c r="D18" s="259" t="inlineStr">
        <is>
          <t>чел.-ч.</t>
        </is>
      </c>
      <c r="E18" s="175" t="n">
        <v>14.35344</v>
      </c>
      <c r="F18" s="32">
        <f>G18/E18</f>
        <v/>
      </c>
      <c r="G18" s="32" t="n">
        <v>168.36732</v>
      </c>
      <c r="H18" s="262" t="n">
        <v>1</v>
      </c>
      <c r="I18" s="32">
        <f>ROUND(F18*Прил.10!D11,2)</f>
        <v/>
      </c>
      <c r="J18" s="32">
        <f>ROUND(I18*E18,2)</f>
        <v/>
      </c>
    </row>
    <row r="19" ht="14.25" customFormat="1" customHeight="1" s="12">
      <c r="A19" s="259" t="n"/>
      <c r="B19" s="263" t="inlineStr">
        <is>
          <t>Машины и механизмы</t>
        </is>
      </c>
      <c r="C19" s="327" t="n"/>
      <c r="D19" s="327" t="n"/>
      <c r="E19" s="327" t="n"/>
      <c r="F19" s="327" t="n"/>
      <c r="G19" s="327" t="n"/>
      <c r="H19" s="328" t="n"/>
      <c r="I19" s="186" t="n"/>
      <c r="J19" s="186" t="n"/>
    </row>
    <row r="20" ht="14.25" customFormat="1" customHeight="1" s="12">
      <c r="A20" s="259" t="n"/>
      <c r="B20" s="258" t="inlineStr">
        <is>
          <t>Основные машины и механизмы</t>
        </is>
      </c>
      <c r="C20" s="327" t="n"/>
      <c r="D20" s="327" t="n"/>
      <c r="E20" s="327" t="n"/>
      <c r="F20" s="327" t="n"/>
      <c r="G20" s="327" t="n"/>
      <c r="H20" s="328" t="n"/>
      <c r="I20" s="186" t="n"/>
      <c r="J20" s="186" t="n"/>
    </row>
    <row r="21" ht="38.25" customFormat="1" customHeight="1" s="12">
      <c r="A21" s="259" t="n">
        <v>5</v>
      </c>
      <c r="B21" s="168" t="inlineStr">
        <is>
          <t>91.11.01-012</t>
        </is>
      </c>
      <c r="C21" s="258" t="inlineStr">
        <is>
          <t>Машины монтажные для выполнения работ при прокладке и монтаже кабеля на базе автомобиля</t>
        </is>
      </c>
      <c r="D21" s="259" t="inlineStr">
        <is>
          <t>маш.час</t>
        </is>
      </c>
      <c r="E21" s="175">
        <f>Прил.3!F26</f>
        <v/>
      </c>
      <c r="F21" s="261" t="n">
        <v>110.86</v>
      </c>
      <c r="G21" s="32">
        <f>ROUND(E21*F21,2)</f>
        <v/>
      </c>
      <c r="H21" s="187">
        <f>G21/$G$41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2">
      <c r="A22" s="259" t="n">
        <v>6</v>
      </c>
      <c r="B22" s="168" t="inlineStr">
        <is>
          <t>91.10.01-002</t>
        </is>
      </c>
      <c r="C22" s="258" t="inlineStr">
        <is>
          <t>Агрегаты наполнительно-опрессовочные: до 300 м3/ч</t>
        </is>
      </c>
      <c r="D22" s="259" t="inlineStr">
        <is>
          <t>маш.час</t>
        </is>
      </c>
      <c r="E22" s="175">
        <f>Прил.3!F27</f>
        <v/>
      </c>
      <c r="F22" s="261" t="n">
        <v>287.99</v>
      </c>
      <c r="G22" s="32">
        <f>ROUND(E22*F22,2)</f>
        <v/>
      </c>
      <c r="H22" s="187">
        <f>G22/$G$41</f>
        <v/>
      </c>
      <c r="I22" s="32">
        <f>ROUND(F22*Прил.10!D12,2)</f>
        <v/>
      </c>
      <c r="J22" s="32">
        <f>ROUND(I22*E22,2)</f>
        <v/>
      </c>
    </row>
    <row r="23" ht="25.5" customFormat="1" customHeight="1" s="12">
      <c r="A23" s="259" t="n">
        <v>7</v>
      </c>
      <c r="B23" s="168" t="inlineStr">
        <is>
          <t>91.06.03-058</t>
        </is>
      </c>
      <c r="C23" s="258" t="inlineStr">
        <is>
          <t>Лебедки электрические тяговым усилием: 156,96 кН (16 т)</t>
        </is>
      </c>
      <c r="D23" s="259" t="inlineStr">
        <is>
          <t>маш.час</t>
        </is>
      </c>
      <c r="E23" s="175">
        <f>Прил.3!F28</f>
        <v/>
      </c>
      <c r="F23" s="261" t="n">
        <v>131.44</v>
      </c>
      <c r="G23" s="32">
        <f>ROUND(E23*F23,2)</f>
        <v/>
      </c>
      <c r="H23" s="187">
        <f>G23/$G$41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12">
      <c r="A24" s="259" t="n"/>
      <c r="B24" s="259" t="n"/>
      <c r="C24" s="258" t="inlineStr">
        <is>
          <t>Итого основные машины и механизмы</t>
        </is>
      </c>
      <c r="D24" s="259" t="n"/>
      <c r="E24" s="175" t="n"/>
      <c r="F24" s="32" t="n"/>
      <c r="G24" s="32">
        <f>SUM(G21:G23)</f>
        <v/>
      </c>
      <c r="H24" s="262">
        <f>G24/G41</f>
        <v/>
      </c>
      <c r="I24" s="188" t="n"/>
      <c r="J24" s="32">
        <f>SUM(J21:J23)</f>
        <v/>
      </c>
    </row>
    <row r="25" outlineLevel="1" ht="25.5" customFormat="1" customHeight="1" s="12">
      <c r="A25" s="259" t="n">
        <v>8</v>
      </c>
      <c r="B25" s="168" t="inlineStr">
        <is>
          <t>91.05.05-014</t>
        </is>
      </c>
      <c r="C25" s="195" t="inlineStr">
        <is>
          <t>Краны на автомобильном ходу, грузоподъемность 10 т</t>
        </is>
      </c>
      <c r="D25" s="168" t="inlineStr">
        <is>
          <t>маш.час</t>
        </is>
      </c>
      <c r="E25" s="168" t="n">
        <v>1.174</v>
      </c>
      <c r="F25" s="261" t="n">
        <v>111.99</v>
      </c>
      <c r="G25" s="32">
        <f>ROUND(E25*F25,2)</f>
        <v/>
      </c>
      <c r="H25" s="187">
        <f>G25/$G$41</f>
        <v/>
      </c>
      <c r="I25" s="32">
        <f>ROUND(F25*Прил.10!$D$12,2)</f>
        <v/>
      </c>
      <c r="J25" s="32">
        <f>ROUND(I25*E25,2)</f>
        <v/>
      </c>
    </row>
    <row r="26" outlineLevel="1" ht="25.5" customFormat="1" customHeight="1" s="12">
      <c r="A26" s="259" t="n">
        <v>9</v>
      </c>
      <c r="B26" s="168" t="inlineStr">
        <is>
          <t>91.14.02-001</t>
        </is>
      </c>
      <c r="C26" s="195" t="inlineStr">
        <is>
          <t>Автомобили бортовые, грузоподъемность: до 5 т</t>
        </is>
      </c>
      <c r="D26" s="168" t="inlineStr">
        <is>
          <t>маш.час</t>
        </is>
      </c>
      <c r="E26" s="168" t="n">
        <v>0.384</v>
      </c>
      <c r="F26" s="261" t="n">
        <v>65.70999999999999</v>
      </c>
      <c r="G26" s="32">
        <f>ROUND(E26*F26,2)</f>
        <v/>
      </c>
      <c r="H26" s="187">
        <f>G26/$G$41</f>
        <v/>
      </c>
      <c r="I26" s="32">
        <f>ROUND(F26*Прил.10!$D$12,2)</f>
        <v/>
      </c>
      <c r="J26" s="32">
        <f>ROUND(I26*E26,2)</f>
        <v/>
      </c>
    </row>
    <row r="27" outlineLevel="1" ht="51" customFormat="1" customHeight="1" s="12">
      <c r="A27" s="259" t="n">
        <v>10</v>
      </c>
      <c r="B27" s="168" t="inlineStr">
        <is>
          <t>03-21-01-020</t>
        </is>
      </c>
      <c r="C27" s="195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D27" s="168" t="inlineStr">
        <is>
          <t>1 т груза</t>
        </is>
      </c>
      <c r="E27" s="168" t="n">
        <v>1.1536</v>
      </c>
      <c r="F27" s="261" t="n">
        <v>15.35</v>
      </c>
      <c r="G27" s="32">
        <f>ROUND(E27*F27,2)</f>
        <v/>
      </c>
      <c r="H27" s="187">
        <f>G27/$G$41</f>
        <v/>
      </c>
      <c r="I27" s="32">
        <f>ROUND(F27*Прил.10!$D$12,2)</f>
        <v/>
      </c>
      <c r="J27" s="32">
        <f>ROUND(I27*E27,2)</f>
        <v/>
      </c>
    </row>
    <row r="28" outlineLevel="1" ht="25.5" customFormat="1" customHeight="1" s="12">
      <c r="A28" s="259" t="n">
        <v>11</v>
      </c>
      <c r="B28" s="168" t="inlineStr">
        <is>
          <t>91.17.04-233</t>
        </is>
      </c>
      <c r="C28" s="195" t="inlineStr">
        <is>
          <t>Установки для сварки: ручной дуговой (постоянного тока)</t>
        </is>
      </c>
      <c r="D28" s="168" t="inlineStr">
        <is>
          <t>маш.час</t>
        </is>
      </c>
      <c r="E28" s="168" t="n">
        <v>1.526</v>
      </c>
      <c r="F28" s="261" t="n">
        <v>8.1</v>
      </c>
      <c r="G28" s="32">
        <f>ROUND(E28*F28,2)</f>
        <v/>
      </c>
      <c r="H28" s="187">
        <f>G28/$G$41</f>
        <v/>
      </c>
      <c r="I28" s="32">
        <f>ROUND(F28*Прил.10!$D$12,2)</f>
        <v/>
      </c>
      <c r="J28" s="32">
        <f>ROUND(I28*E28,2)</f>
        <v/>
      </c>
    </row>
    <row r="29" outlineLevel="1" ht="14.25" customFormat="1" customHeight="1" s="12">
      <c r="A29" s="259" t="n">
        <v>12</v>
      </c>
      <c r="B29" s="168" t="inlineStr">
        <is>
          <t>91.08.04-021</t>
        </is>
      </c>
      <c r="C29" s="195" t="inlineStr">
        <is>
          <t>Котлы битумные: передвижные 400 л</t>
        </is>
      </c>
      <c r="D29" s="168" t="inlineStr">
        <is>
          <t>маш.час</t>
        </is>
      </c>
      <c r="E29" s="168" t="n">
        <v>0.308</v>
      </c>
      <c r="F29" s="261" t="n">
        <v>30</v>
      </c>
      <c r="G29" s="32">
        <f>ROUND(E29*F29,2)</f>
        <v/>
      </c>
      <c r="H29" s="187">
        <f>G29/$G$41</f>
        <v/>
      </c>
      <c r="I29" s="32">
        <f>ROUND(F29*Прил.10!$D$12,2)</f>
        <v/>
      </c>
      <c r="J29" s="32">
        <f>ROUND(I29*E29,2)</f>
        <v/>
      </c>
    </row>
    <row r="30" outlineLevel="1" ht="51" customFormat="1" customHeight="1" s="12">
      <c r="A30" s="259" t="n">
        <v>13</v>
      </c>
      <c r="B30" s="168" t="inlineStr">
        <is>
          <t>91.18.01-007</t>
        </is>
      </c>
      <c r="C30" s="19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0" s="168" t="inlineStr">
        <is>
          <t>маш.час</t>
        </is>
      </c>
      <c r="E30" s="168" t="n">
        <v>0.102</v>
      </c>
      <c r="F30" s="261" t="n">
        <v>90</v>
      </c>
      <c r="G30" s="32">
        <f>ROUND(E30*F30,2)</f>
        <v/>
      </c>
      <c r="H30" s="187">
        <f>G30/$G$41</f>
        <v/>
      </c>
      <c r="I30" s="32">
        <f>ROUND(F30*Прил.10!$D$12,2)</f>
        <v/>
      </c>
      <c r="J30" s="32">
        <f>ROUND(I30*E30,2)</f>
        <v/>
      </c>
    </row>
    <row r="31" outlineLevel="1" ht="25.5" customFormat="1" customHeight="1" s="12">
      <c r="A31" s="259" t="n">
        <v>14</v>
      </c>
      <c r="B31" s="168" t="inlineStr">
        <is>
          <t>91.06.06-042</t>
        </is>
      </c>
      <c r="C31" s="195" t="inlineStr">
        <is>
          <t>Подъемники гидравлические высотой подъема: 10 м</t>
        </is>
      </c>
      <c r="D31" s="168" t="inlineStr">
        <is>
          <t>маш.час</t>
        </is>
      </c>
      <c r="E31" s="168" t="n">
        <v>0.212</v>
      </c>
      <c r="F31" s="261" t="n">
        <v>29.6</v>
      </c>
      <c r="G31" s="32">
        <f>ROUND(E31*F31,2)</f>
        <v/>
      </c>
      <c r="H31" s="187">
        <f>G31/$G$41</f>
        <v/>
      </c>
      <c r="I31" s="32">
        <f>ROUND(F31*Прил.10!$D$12,2)</f>
        <v/>
      </c>
      <c r="J31" s="32">
        <f>ROUND(I31*E31,2)</f>
        <v/>
      </c>
    </row>
    <row r="32" outlineLevel="1" ht="25.5" customFormat="1" customHeight="1" s="12">
      <c r="A32" s="259" t="n">
        <v>15</v>
      </c>
      <c r="B32" s="168" t="inlineStr">
        <is>
          <t>91.14.02-002</t>
        </is>
      </c>
      <c r="C32" s="195" t="inlineStr">
        <is>
          <t>Автомобили бортовые, грузоподъемность: до 8 т</t>
        </is>
      </c>
      <c r="D32" s="168" t="inlineStr">
        <is>
          <t>маш.час</t>
        </is>
      </c>
      <c r="E32" s="168" t="n">
        <v>0.07199999999999999</v>
      </c>
      <c r="F32" s="261" t="n">
        <v>85.84</v>
      </c>
      <c r="G32" s="32">
        <f>ROUND(E32*F32,2)</f>
        <v/>
      </c>
      <c r="H32" s="187">
        <f>G32/$G$41</f>
        <v/>
      </c>
      <c r="I32" s="32">
        <f>ROUND(F32*Прил.10!$D$12,2)</f>
        <v/>
      </c>
      <c r="J32" s="32">
        <f>ROUND(I32*E32,2)</f>
        <v/>
      </c>
    </row>
    <row r="33" outlineLevel="1" ht="25.5" customFormat="1" customHeight="1" s="12">
      <c r="A33" s="259" t="n">
        <v>16</v>
      </c>
      <c r="B33" s="168" t="inlineStr">
        <is>
          <t>91.06.01-003</t>
        </is>
      </c>
      <c r="C33" s="195" t="inlineStr">
        <is>
          <t>Домкраты гидравлические, грузоподъемность 63-100 т</t>
        </is>
      </c>
      <c r="D33" s="168" t="inlineStr">
        <is>
          <t>маш.час</t>
        </is>
      </c>
      <c r="E33" s="168" t="n">
        <v>2.508</v>
      </c>
      <c r="F33" s="261" t="n">
        <v>0.9</v>
      </c>
      <c r="G33" s="32">
        <f>ROUND(E33*F33,2)</f>
        <v/>
      </c>
      <c r="H33" s="187">
        <f>G33/$G$41</f>
        <v/>
      </c>
      <c r="I33" s="32">
        <f>ROUND(F33*Прил.10!$D$12,2)</f>
        <v/>
      </c>
      <c r="J33" s="32">
        <f>ROUND(I33*E33,2)</f>
        <v/>
      </c>
    </row>
    <row r="34" outlineLevel="1" ht="14.25" customFormat="1" customHeight="1" s="12">
      <c r="A34" s="259" t="n">
        <v>17</v>
      </c>
      <c r="B34" s="168" t="inlineStr">
        <is>
          <t>91.01.01-035</t>
        </is>
      </c>
      <c r="C34" s="195" t="inlineStr">
        <is>
          <t>Бульдозеры, мощность 79 кВт (108 л.с.)</t>
        </is>
      </c>
      <c r="D34" s="168" t="inlineStr">
        <is>
          <t>маш.час</t>
        </is>
      </c>
      <c r="E34" s="168" t="n">
        <v>0.012</v>
      </c>
      <c r="F34" s="261" t="n">
        <v>79.06999999999999</v>
      </c>
      <c r="G34" s="32">
        <f>ROUND(E34*F34,2)</f>
        <v/>
      </c>
      <c r="H34" s="187">
        <f>G34/$G$41</f>
        <v/>
      </c>
      <c r="I34" s="32">
        <f>ROUND(F34*Прил.10!$D$12,2)</f>
        <v/>
      </c>
      <c r="J34" s="32">
        <f>ROUND(I34*E34,2)</f>
        <v/>
      </c>
    </row>
    <row r="35" outlineLevel="1" ht="14.25" customFormat="1" customHeight="1" s="12">
      <c r="A35" s="259" t="n">
        <v>18</v>
      </c>
      <c r="B35" s="168" t="inlineStr">
        <is>
          <t>91.05.01-017</t>
        </is>
      </c>
      <c r="C35" s="195" t="inlineStr">
        <is>
          <t>Краны башенные, грузоподъемность 8 т</t>
        </is>
      </c>
      <c r="D35" s="168" t="inlineStr">
        <is>
          <t>маш.час</t>
        </is>
      </c>
      <c r="E35" s="168" t="n">
        <v>0.008</v>
      </c>
      <c r="F35" s="261" t="n">
        <v>86.40000000000001</v>
      </c>
      <c r="G35" s="32">
        <f>ROUND(E35*F35,2)</f>
        <v/>
      </c>
      <c r="H35" s="187">
        <f>G35/$G$41</f>
        <v/>
      </c>
      <c r="I35" s="32">
        <f>ROUND(F35*Прил.10!$D$12,2)</f>
        <v/>
      </c>
      <c r="J35" s="32">
        <f>ROUND(I35*E35,2)</f>
        <v/>
      </c>
    </row>
    <row r="36" outlineLevel="1" ht="38.25" customFormat="1" customHeight="1" s="12">
      <c r="A36" s="259" t="n">
        <v>19</v>
      </c>
      <c r="B36" s="168" t="inlineStr">
        <is>
          <t>03-02-01-031</t>
        </is>
      </c>
      <c r="C36" s="195" t="inlineStr">
        <is>
          <t>Перевозка грузов автомобилями бортовыми грузоподъемностью до 5 т на расстояние: I класс груза до 31 км</t>
        </is>
      </c>
      <c r="D36" s="168" t="inlineStr">
        <is>
          <t>1 т груза</t>
        </is>
      </c>
      <c r="E36" s="168" t="n">
        <v>0.0056964</v>
      </c>
      <c r="F36" s="261" t="n">
        <v>34.78</v>
      </c>
      <c r="G36" s="32">
        <f>ROUND(E36*F36,2)</f>
        <v/>
      </c>
      <c r="H36" s="187">
        <f>G36/$G$41</f>
        <v/>
      </c>
      <c r="I36" s="32">
        <f>ROUND(F36*Прил.10!$D$12,2)</f>
        <v/>
      </c>
      <c r="J36" s="32">
        <f>ROUND(I36*E36,2)</f>
        <v/>
      </c>
    </row>
    <row r="37" outlineLevel="1" ht="25.5" customFormat="1" customHeight="1" s="12">
      <c r="A37" s="259" t="n">
        <v>20</v>
      </c>
      <c r="B37" s="168" t="inlineStr">
        <is>
          <t>91.08.09-023</t>
        </is>
      </c>
      <c r="C37" s="195" t="inlineStr">
        <is>
          <t>Трамбовки пневматические при работе от: передвижных компрессорных станций</t>
        </is>
      </c>
      <c r="D37" s="168" t="inlineStr">
        <is>
          <t>маш.час</t>
        </is>
      </c>
      <c r="E37" s="168" t="n">
        <v>0.324</v>
      </c>
      <c r="F37" s="261" t="n">
        <v>0.55</v>
      </c>
      <c r="G37" s="32">
        <f>ROUND(E37*F37,2)</f>
        <v/>
      </c>
      <c r="H37" s="187">
        <f>G37/$G$41</f>
        <v/>
      </c>
      <c r="I37" s="32">
        <f>ROUND(F37*Прил.10!$D$12,2)</f>
        <v/>
      </c>
      <c r="J37" s="32">
        <f>ROUND(I37*E37,2)</f>
        <v/>
      </c>
    </row>
    <row r="38" outlineLevel="1" ht="38.25" customFormat="1" customHeight="1" s="12">
      <c r="A38" s="259" t="n">
        <v>21</v>
      </c>
      <c r="B38" s="168" t="inlineStr">
        <is>
          <t>91.21.01-012</t>
        </is>
      </c>
      <c r="C38" s="195" t="inlineStr">
        <is>
          <t>Агрегаты окрасочные высокого давления для окраски поверхностей конструкций, мощность 1 кВт</t>
        </is>
      </c>
      <c r="D38" s="168" t="inlineStr">
        <is>
          <t>маш.час</t>
        </is>
      </c>
      <c r="E38" s="168" t="n">
        <v>0.008</v>
      </c>
      <c r="F38" s="261" t="n">
        <v>6.82</v>
      </c>
      <c r="G38" s="32">
        <f>ROUND(E38*F38,2)</f>
        <v/>
      </c>
      <c r="H38" s="187">
        <f>G38/$G$41</f>
        <v/>
      </c>
      <c r="I38" s="32">
        <f>ROUND(F38*Прил.10!$D$12,2)</f>
        <v/>
      </c>
      <c r="J38" s="32">
        <f>ROUND(I38*E38,2)</f>
        <v/>
      </c>
    </row>
    <row r="39" outlineLevel="1" ht="14.25" customFormat="1" customHeight="1" s="12">
      <c r="A39" s="259" t="n">
        <v>22</v>
      </c>
      <c r="B39" s="168" t="inlineStr">
        <is>
          <t>91.07.04-002</t>
        </is>
      </c>
      <c r="C39" s="195" t="inlineStr">
        <is>
          <t>Вибратор поверхностный</t>
        </is>
      </c>
      <c r="D39" s="168" t="inlineStr">
        <is>
          <t>маш.час</t>
        </is>
      </c>
      <c r="E39" s="168" t="n">
        <v>0.024</v>
      </c>
      <c r="F39" s="261" t="n">
        <v>0.5</v>
      </c>
      <c r="G39" s="32">
        <f>ROUND(E39*F39,2)</f>
        <v/>
      </c>
      <c r="H39" s="187">
        <f>G39/$G$41</f>
        <v/>
      </c>
      <c r="I39" s="32">
        <f>ROUND(F39*Прил.10!$D$12,2)</f>
        <v/>
      </c>
      <c r="J39" s="32">
        <f>ROUND(I39*E39,2)</f>
        <v/>
      </c>
    </row>
    <row r="40" ht="14.25" customFormat="1" customHeight="1" s="12">
      <c r="A40" s="259" t="n"/>
      <c r="B40" s="259" t="n"/>
      <c r="C40" s="258" t="inlineStr">
        <is>
          <t>Итого прочие машины и механизмы</t>
        </is>
      </c>
      <c r="D40" s="259" t="n"/>
      <c r="E40" s="260" t="n"/>
      <c r="F40" s="32" t="n"/>
      <c r="G40" s="188">
        <f>SUM(G25:G39)</f>
        <v/>
      </c>
      <c r="H40" s="187">
        <f>G40/G41</f>
        <v/>
      </c>
      <c r="I40" s="32" t="n"/>
      <c r="J40" s="32">
        <f>SUM(J25:J39)</f>
        <v/>
      </c>
    </row>
    <row r="41" ht="25.5" customFormat="1" customHeight="1" s="12">
      <c r="A41" s="259" t="n"/>
      <c r="B41" s="259" t="n"/>
      <c r="C41" s="263" t="inlineStr">
        <is>
          <t>Итого по разделу «Машины и механизмы»</t>
        </is>
      </c>
      <c r="D41" s="259" t="n"/>
      <c r="E41" s="260" t="n"/>
      <c r="F41" s="32" t="n"/>
      <c r="G41" s="32">
        <f>G40+G24</f>
        <v/>
      </c>
      <c r="H41" s="189" t="n">
        <v>1</v>
      </c>
      <c r="I41" s="190" t="n"/>
      <c r="J41" s="191">
        <f>J40+J24</f>
        <v/>
      </c>
      <c r="L41" s="12">
        <f>G41*13.47</f>
        <v/>
      </c>
    </row>
    <row r="42" ht="20.25" customHeight="1">
      <c r="A42" s="259" t="n"/>
      <c r="B42" s="263" t="inlineStr">
        <is>
          <t>Оборудование</t>
        </is>
      </c>
      <c r="C42" s="327" t="n"/>
      <c r="D42" s="327" t="n"/>
      <c r="E42" s="327" t="n"/>
      <c r="F42" s="327" t="n"/>
      <c r="G42" s="327" t="n"/>
      <c r="H42" s="327" t="n"/>
      <c r="I42" s="327" t="n"/>
      <c r="J42" s="328" t="n"/>
    </row>
    <row r="43">
      <c r="A43" s="259" t="n"/>
      <c r="B43" s="258" t="inlineStr">
        <is>
          <t>Основное оборудование</t>
        </is>
      </c>
      <c r="C43" s="327" t="n"/>
      <c r="D43" s="327" t="n"/>
      <c r="E43" s="327" t="n"/>
      <c r="F43" s="327" t="n"/>
      <c r="G43" s="327" t="n"/>
      <c r="H43" s="328" t="n"/>
      <c r="I43" s="186" t="n"/>
      <c r="J43" s="186" t="n"/>
    </row>
    <row r="44" ht="30" customHeight="1">
      <c r="A44" s="259" t="n">
        <v>23</v>
      </c>
      <c r="B44" s="168" t="inlineStr">
        <is>
          <t>БЦ.16_1.155</t>
        </is>
      </c>
      <c r="C44" s="258" t="inlineStr">
        <is>
          <t>Трансформатор напряжения цифровой 10кВ</t>
        </is>
      </c>
      <c r="D44" s="259" t="inlineStr">
        <is>
          <t>шт.</t>
        </is>
      </c>
      <c r="E44" s="175" t="n">
        <v>3</v>
      </c>
      <c r="F44" s="261">
        <f>ROUND(I44/Прил.10!$D$14,2)</f>
        <v/>
      </c>
      <c r="G44" s="32">
        <f>F44*E44</f>
        <v/>
      </c>
      <c r="H44" s="262">
        <f>G44/$G$49</f>
        <v/>
      </c>
      <c r="I44" s="32" t="n">
        <v>1420545</v>
      </c>
      <c r="J44" s="192">
        <f>ROUND(I44*E44,2)</f>
        <v/>
      </c>
    </row>
    <row r="45">
      <c r="A45" s="259" t="n"/>
      <c r="B45" s="259" t="n"/>
      <c r="C45" s="258" t="inlineStr">
        <is>
          <t>Итого основное оборудование</t>
        </is>
      </c>
      <c r="D45" s="259" t="n"/>
      <c r="E45" s="175" t="n"/>
      <c r="F45" s="261" t="n"/>
      <c r="G45" s="32">
        <f>G44</f>
        <v/>
      </c>
      <c r="H45" s="262">
        <f>G45/$G$49</f>
        <v/>
      </c>
      <c r="I45" s="188" t="n"/>
      <c r="J45" s="32">
        <f>J44</f>
        <v/>
      </c>
    </row>
    <row r="46" ht="25.5" customHeight="1">
      <c r="A46" s="259" t="n">
        <v>24</v>
      </c>
      <c r="B46" s="168" t="inlineStr">
        <is>
          <t>Прайс из СД ОП</t>
        </is>
      </c>
      <c r="C46" s="258" t="inlineStr">
        <is>
          <t>Ящик АВР цепей напряжения
ЯАВР2.1-АСКУЭ-220В</t>
        </is>
      </c>
      <c r="D46" s="259" t="inlineStr">
        <is>
          <t>шт.</t>
        </is>
      </c>
      <c r="E46" s="175" t="n">
        <v>1</v>
      </c>
      <c r="F46" s="261">
        <f>ROUND(I46/Прил.10!$D$14,2)</f>
        <v/>
      </c>
      <c r="G46" s="32">
        <f>F46*E46</f>
        <v/>
      </c>
      <c r="H46" s="262">
        <f>G46/$G$49</f>
        <v/>
      </c>
      <c r="I46" s="32" t="n">
        <v>30596.25</v>
      </c>
      <c r="J46" s="192">
        <f>ROUND(I46*E46,2)</f>
        <v/>
      </c>
    </row>
    <row r="47" ht="25.5" customHeight="1">
      <c r="A47" s="259" t="n">
        <v>25</v>
      </c>
      <c r="B47" s="168" t="inlineStr">
        <is>
          <t>Прайс из СД ОП</t>
        </is>
      </c>
      <c r="C47" s="258" t="inlineStr">
        <is>
          <t>Ящик цепей напряжения ЯЗН-11-
АСКУЭ</t>
        </is>
      </c>
      <c r="D47" s="259" t="inlineStr">
        <is>
          <t>шт.</t>
        </is>
      </c>
      <c r="E47" s="175" t="n">
        <v>1</v>
      </c>
      <c r="F47" s="261">
        <f>ROUND(I47/Прил.10!$D$14,2)</f>
        <v/>
      </c>
      <c r="G47" s="32">
        <f>F47*E47</f>
        <v/>
      </c>
      <c r="H47" s="262">
        <f>G47/$G$49</f>
        <v/>
      </c>
      <c r="I47" s="32" t="n">
        <v>25333.41</v>
      </c>
      <c r="J47" s="192">
        <f>ROUND(I47*E47,2)</f>
        <v/>
      </c>
    </row>
    <row r="48">
      <c r="A48" s="259" t="n"/>
      <c r="B48" s="259" t="n"/>
      <c r="C48" s="258" t="inlineStr">
        <is>
          <t>Итого прочее оборудование</t>
        </is>
      </c>
      <c r="D48" s="259" t="n"/>
      <c r="E48" s="175" t="n"/>
      <c r="F48" s="261" t="n"/>
      <c r="G48" s="32">
        <f>SUM(G46:G47)</f>
        <v/>
      </c>
      <c r="H48" s="262">
        <f>G48/$G$49</f>
        <v/>
      </c>
      <c r="I48" s="188" t="n"/>
      <c r="J48" s="32">
        <f>SUM(J46:J47)</f>
        <v/>
      </c>
    </row>
    <row r="49">
      <c r="A49" s="259" t="n"/>
      <c r="B49" s="259" t="n"/>
      <c r="C49" s="263" t="inlineStr">
        <is>
          <t>Итого по разделу «Оборудование»</t>
        </is>
      </c>
      <c r="D49" s="259" t="n"/>
      <c r="E49" s="260" t="n"/>
      <c r="F49" s="261" t="n"/>
      <c r="G49" s="32">
        <f>G45+G48</f>
        <v/>
      </c>
      <c r="H49" s="262">
        <f>G49/$G$49</f>
        <v/>
      </c>
      <c r="I49" s="188" t="n"/>
      <c r="J49" s="32">
        <f>J48+J45</f>
        <v/>
      </c>
    </row>
    <row r="50" ht="25.5" customHeight="1">
      <c r="A50" s="259" t="n"/>
      <c r="B50" s="259" t="n"/>
      <c r="C50" s="258" t="inlineStr">
        <is>
          <t>в том числе технологическое оборудование</t>
        </is>
      </c>
      <c r="D50" s="259" t="n"/>
      <c r="E50" s="193" t="n"/>
      <c r="F50" s="261" t="n"/>
      <c r="G50" s="32">
        <f>G49</f>
        <v/>
      </c>
      <c r="H50" s="262" t="n"/>
      <c r="I50" s="188" t="n"/>
      <c r="J50" s="32">
        <f>J49</f>
        <v/>
      </c>
    </row>
    <row r="51" ht="25.5" customFormat="1" customHeight="1" s="12">
      <c r="A51" s="259" t="n"/>
      <c r="B51" s="263" t="inlineStr">
        <is>
          <t xml:space="preserve">Материалы </t>
        </is>
      </c>
      <c r="C51" s="327" t="n"/>
      <c r="D51" s="327" t="n"/>
      <c r="E51" s="327" t="n"/>
      <c r="F51" s="327" t="n"/>
      <c r="G51" s="327" t="n"/>
      <c r="H51" s="327" t="n"/>
      <c r="I51" s="327" t="n"/>
      <c r="J51" s="328" t="n"/>
    </row>
    <row r="52" ht="14.25" customFormat="1" customHeight="1" s="12">
      <c r="A52" s="259" t="n"/>
      <c r="B52" s="258" t="inlineStr">
        <is>
          <t>Основные материалы</t>
        </is>
      </c>
      <c r="C52" s="327" t="n"/>
      <c r="D52" s="327" t="n"/>
      <c r="E52" s="327" t="n"/>
      <c r="F52" s="327" t="n"/>
      <c r="G52" s="327" t="n"/>
      <c r="H52" s="328" t="n"/>
      <c r="I52" s="186" t="n"/>
      <c r="J52" s="186" t="n"/>
    </row>
    <row r="53" ht="25.5" customFormat="1" customHeight="1" s="12">
      <c r="A53" s="259" t="n">
        <v>26</v>
      </c>
      <c r="B53" s="168" t="inlineStr">
        <is>
          <t>07.2.07.04-0003</t>
        </is>
      </c>
      <c r="C53" s="195" t="inlineStr">
        <is>
          <t>Конструкции стальные индивидуальные решетчатые сварные, масса 0,1-0,5 т</t>
        </is>
      </c>
      <c r="D53" s="168" t="inlineStr">
        <is>
          <t>т</t>
        </is>
      </c>
      <c r="E53" s="168" t="n">
        <v>0.06398</v>
      </c>
      <c r="F53" s="261" t="n">
        <v>10874.02</v>
      </c>
      <c r="G53" s="32">
        <f>ROUND(E53*F53,2)</f>
        <v/>
      </c>
      <c r="H53" s="187">
        <f>G53/$G$92</f>
        <v/>
      </c>
      <c r="I53" s="32">
        <f>ROUND(F53*Прил.10!$D$13,2)</f>
        <v/>
      </c>
      <c r="J53" s="32">
        <f>ROUND(I53*E53,2)</f>
        <v/>
      </c>
    </row>
    <row r="54" ht="38.25" customFormat="1" customHeight="1" s="12">
      <c r="A54" s="259" t="n">
        <v>27</v>
      </c>
      <c r="B54" s="168" t="inlineStr">
        <is>
          <t>01.2.03.03-0003</t>
        </is>
      </c>
      <c r="C54" s="195" t="inlineStr">
        <is>
          <t>Мастика битумно-полимерная гидроизоляционная кровельная антикоррозийная холодного применения</t>
        </is>
      </c>
      <c r="D54" s="168" t="inlineStr">
        <is>
          <t>т</t>
        </is>
      </c>
      <c r="E54" s="168" t="n">
        <v>0.009587999999999999</v>
      </c>
      <c r="F54" s="261" t="n">
        <v>45295.14</v>
      </c>
      <c r="G54" s="32">
        <f>ROUND(E54*F54,2)</f>
        <v/>
      </c>
      <c r="H54" s="187">
        <f>G54/$G$92</f>
        <v/>
      </c>
      <c r="I54" s="32">
        <f>ROUND(F54*Прил.10!$D$13,2)</f>
        <v/>
      </c>
      <c r="J54" s="32">
        <f>ROUND(I54*E54,2)</f>
        <v/>
      </c>
    </row>
    <row r="55" ht="25.5" customFormat="1" customHeight="1" s="12">
      <c r="A55" s="259" t="n">
        <v>28</v>
      </c>
      <c r="B55" s="168" t="inlineStr">
        <is>
          <t>21.1.06.10-0411</t>
        </is>
      </c>
      <c r="C55" s="195" t="inlineStr">
        <is>
          <t>Кабель силовой с медными жилами ВВГнг(A)-LS 5х16мк(N, РЕ)-1000</t>
        </is>
      </c>
      <c r="D55" s="168" t="inlineStr">
        <is>
          <t>1000 м</t>
        </is>
      </c>
      <c r="E55" s="168" t="n">
        <v>0.0042</v>
      </c>
      <c r="F55" s="261" t="n">
        <v>98440.41</v>
      </c>
      <c r="G55" s="32">
        <f>ROUND(E55*F55,2)</f>
        <v/>
      </c>
      <c r="H55" s="187">
        <f>G55/$G$92</f>
        <v/>
      </c>
      <c r="I55" s="32">
        <f>ROUND(F55*Прил.10!$D$13,2)</f>
        <v/>
      </c>
      <c r="J55" s="32">
        <f>ROUND(I55*E55,2)</f>
        <v/>
      </c>
    </row>
    <row r="56" ht="25.5" customFormat="1" customHeight="1" s="12">
      <c r="A56" s="259" t="n">
        <v>29</v>
      </c>
      <c r="B56" s="168" t="inlineStr">
        <is>
          <t>05.1.05.16-0221</t>
        </is>
      </c>
      <c r="C56" s="195" t="inlineStr">
        <is>
          <t>Фундаменты сборные железобетонные ВЛ и ОРУ</t>
        </is>
      </c>
      <c r="D56" s="168" t="inlineStr">
        <is>
          <t>м3</t>
        </is>
      </c>
      <c r="E56" s="168" t="n">
        <v>0.23634</v>
      </c>
      <c r="F56" s="261" t="n">
        <v>1597.37</v>
      </c>
      <c r="G56" s="32">
        <f>ROUND(E56*F56,2)</f>
        <v/>
      </c>
      <c r="H56" s="187">
        <f>G56/$G$92</f>
        <v/>
      </c>
      <c r="I56" s="32">
        <f>ROUND(F56*Прил.10!$D$13,2)</f>
        <v/>
      </c>
      <c r="J56" s="32">
        <f>ROUND(I56*E56,2)</f>
        <v/>
      </c>
    </row>
    <row r="57" ht="14.25" customFormat="1" customHeight="1" s="12">
      <c r="A57" s="259" t="n">
        <v>30</v>
      </c>
      <c r="B57" s="168" t="inlineStr">
        <is>
          <t>21.1.08.03-0574</t>
        </is>
      </c>
      <c r="C57" s="195" t="inlineStr">
        <is>
          <t>Кабель контрольный КВВГЭнг(А)-LS 4x2,5</t>
        </is>
      </c>
      <c r="D57" s="168" t="inlineStr">
        <is>
          <t>1000 м</t>
        </is>
      </c>
      <c r="E57" s="168" t="n">
        <v>0.008399999999999999</v>
      </c>
      <c r="F57" s="261" t="n">
        <v>38348.22</v>
      </c>
      <c r="G57" s="32">
        <f>ROUND(E57*F57,2)</f>
        <v/>
      </c>
      <c r="H57" s="187">
        <f>G57/$G$92</f>
        <v/>
      </c>
      <c r="I57" s="32">
        <f>ROUND(F57*Прил.10!$D$13,2)</f>
        <v/>
      </c>
      <c r="J57" s="32">
        <f>ROUND(I57*E57,2)</f>
        <v/>
      </c>
    </row>
    <row r="58" ht="25.5" customFormat="1" customHeight="1" s="12">
      <c r="A58" s="259" t="n">
        <v>31</v>
      </c>
      <c r="B58" s="168" t="inlineStr">
        <is>
          <t>05.1.01.10-0131</t>
        </is>
      </c>
      <c r="C58" s="195" t="inlineStr">
        <is>
          <t>Лотки каналов и тоннелей железобетонные для прокладки коммуникаций</t>
        </is>
      </c>
      <c r="D58" s="168" t="inlineStr">
        <is>
          <t>м3</t>
        </is>
      </c>
      <c r="E58" s="168" t="n">
        <v>0.056</v>
      </c>
      <c r="F58" s="261" t="n">
        <v>1837.28</v>
      </c>
      <c r="G58" s="32">
        <f>ROUND(E58*F58,2)</f>
        <v/>
      </c>
      <c r="H58" s="187">
        <f>G58/$G$92</f>
        <v/>
      </c>
      <c r="I58" s="32">
        <f>ROUND(F58*Прил.10!$D$13,2)</f>
        <v/>
      </c>
      <c r="J58" s="32">
        <f>ROUND(I58*E58,2)</f>
        <v/>
      </c>
    </row>
    <row r="59" ht="63.75" customFormat="1" customHeight="1" s="12">
      <c r="A59" s="259" t="n">
        <v>32</v>
      </c>
      <c r="B59" s="168" t="inlineStr">
        <is>
          <t>21.2.01.02-0090</t>
        </is>
      </c>
      <c r="C59" s="19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      </is>
      </c>
      <c r="D59" s="168" t="inlineStr">
        <is>
          <t>т</t>
        </is>
      </c>
      <c r="E59" s="168" t="n">
        <v>0.0025662</v>
      </c>
      <c r="F59" s="261" t="n">
        <v>32762.18</v>
      </c>
      <c r="G59" s="32">
        <f>ROUND(E59*F59,2)</f>
        <v/>
      </c>
      <c r="H59" s="187">
        <f>G59/$G$92</f>
        <v/>
      </c>
      <c r="I59" s="32">
        <f>ROUND(F59*Прил.10!$D$13,2)</f>
        <v/>
      </c>
      <c r="J59" s="32">
        <f>ROUND(I59*E59,2)</f>
        <v/>
      </c>
    </row>
    <row r="60" ht="25.5" customFormat="1" customHeight="1" s="12">
      <c r="A60" s="259" t="n">
        <v>33</v>
      </c>
      <c r="B60" s="168" t="inlineStr">
        <is>
          <t>61.2.04.01-0002</t>
        </is>
      </c>
      <c r="C60" s="195" t="inlineStr">
        <is>
          <t>Арматура светосигнальная АМЕ с лампой накаливания КМ- 24В</t>
        </is>
      </c>
      <c r="D60" s="168" t="inlineStr">
        <is>
          <t>10 шт.</t>
        </is>
      </c>
      <c r="E60" s="168" t="n">
        <v>0.4</v>
      </c>
      <c r="F60" s="261" t="n">
        <v>194.2</v>
      </c>
      <c r="G60" s="32">
        <f>ROUND(E60*F60,2)</f>
        <v/>
      </c>
      <c r="H60" s="187">
        <f>G60/$G$92</f>
        <v/>
      </c>
      <c r="I60" s="32">
        <f>ROUND(F60*Прил.10!$D$13,2)</f>
        <v/>
      </c>
      <c r="J60" s="32">
        <f>ROUND(I60*E60,2)</f>
        <v/>
      </c>
    </row>
    <row r="61" ht="14.25" customFormat="1" customHeight="1" s="12">
      <c r="A61" s="259" t="n"/>
      <c r="B61" s="259" t="n"/>
      <c r="C61" s="258" t="inlineStr">
        <is>
          <t>Итого основные материалы</t>
        </is>
      </c>
      <c r="D61" s="259" t="n"/>
      <c r="E61" s="259" t="n"/>
      <c r="F61" s="261" t="n"/>
      <c r="G61" s="32">
        <f>SUM(G53:G60)</f>
        <v/>
      </c>
      <c r="H61" s="187">
        <f>G61/$G$92</f>
        <v/>
      </c>
      <c r="I61" s="32" t="n"/>
      <c r="J61" s="32">
        <f>SUM(J53:J60)</f>
        <v/>
      </c>
    </row>
    <row r="62" outlineLevel="1" ht="25.5" customFormat="1" customHeight="1" s="12">
      <c r="A62" s="259" t="n">
        <v>34</v>
      </c>
      <c r="B62" s="168" t="inlineStr">
        <is>
          <t>20.1.01.02-0062</t>
        </is>
      </c>
      <c r="C62" s="195" t="inlineStr">
        <is>
          <t>Зажим аппаратный прессуемый: А4А-150-2</t>
        </is>
      </c>
      <c r="D62" s="168" t="inlineStr">
        <is>
          <t>100 шт.</t>
        </is>
      </c>
      <c r="E62" s="168" t="n">
        <v>0.02472</v>
      </c>
      <c r="F62" s="261" t="n">
        <v>2695</v>
      </c>
      <c r="G62" s="32">
        <f>ROUND(E62*F62,2)</f>
        <v/>
      </c>
      <c r="H62" s="187">
        <f>G62/$G$92</f>
        <v/>
      </c>
      <c r="I62" s="32">
        <f>ROUND(F62*Прил.10!$D$13,2)</f>
        <v/>
      </c>
      <c r="J62" s="32">
        <f>ROUND(I62*E62,2)</f>
        <v/>
      </c>
    </row>
    <row r="63" outlineLevel="1" ht="25.5" customFormat="1" customHeight="1" s="12">
      <c r="A63" s="259" t="n">
        <v>35</v>
      </c>
      <c r="B63" s="168" t="inlineStr">
        <is>
          <t>20.2.08.07-0072</t>
        </is>
      </c>
      <c r="C63" s="195" t="inlineStr">
        <is>
          <t>Скобы металлические для крепления проводов</t>
        </is>
      </c>
      <c r="D63" s="168" t="inlineStr">
        <is>
          <t>10 шт.</t>
        </is>
      </c>
      <c r="E63" s="168" t="n">
        <v>1.6</v>
      </c>
      <c r="F63" s="261" t="n">
        <v>29.4</v>
      </c>
      <c r="G63" s="32">
        <f>ROUND(E63*F63,2)</f>
        <v/>
      </c>
      <c r="H63" s="187">
        <f>G63/$G$92</f>
        <v/>
      </c>
      <c r="I63" s="32">
        <f>ROUND(F63*Прил.10!$D$13,2)</f>
        <v/>
      </c>
      <c r="J63" s="32">
        <f>ROUND(I63*E63,2)</f>
        <v/>
      </c>
    </row>
    <row r="64" outlineLevel="1" ht="14.25" customFormat="1" customHeight="1" s="12">
      <c r="A64" s="259" t="n">
        <v>36</v>
      </c>
      <c r="B64" s="168" t="inlineStr">
        <is>
          <t>01.7.17.11-0001</t>
        </is>
      </c>
      <c r="C64" s="195" t="inlineStr">
        <is>
          <t>Бумага шлифовальная</t>
        </is>
      </c>
      <c r="D64" s="168" t="inlineStr">
        <is>
          <t>кг</t>
        </is>
      </c>
      <c r="E64" s="168" t="n">
        <v>0.8</v>
      </c>
      <c r="F64" s="261" t="n">
        <v>50</v>
      </c>
      <c r="G64" s="32">
        <f>ROUND(E64*F64,2)</f>
        <v/>
      </c>
      <c r="H64" s="187">
        <f>G64/$G$92</f>
        <v/>
      </c>
      <c r="I64" s="32">
        <f>ROUND(F64*Прил.10!$D$13,2)</f>
        <v/>
      </c>
      <c r="J64" s="32">
        <f>ROUND(I64*E64,2)</f>
        <v/>
      </c>
    </row>
    <row r="65" outlineLevel="1" ht="14.25" customFormat="1" customHeight="1" s="12">
      <c r="A65" s="259" t="n">
        <v>37</v>
      </c>
      <c r="B65" s="168" t="inlineStr">
        <is>
          <t>01.7.15.03-0042</t>
        </is>
      </c>
      <c r="C65" s="195" t="inlineStr">
        <is>
          <t>Болты с гайками и шайбами строительные</t>
        </is>
      </c>
      <c r="D65" s="168" t="inlineStr">
        <is>
          <t>кг</t>
        </is>
      </c>
      <c r="E65" s="168" t="n">
        <v>4.057</v>
      </c>
      <c r="F65" s="261" t="n">
        <v>9.039999999999999</v>
      </c>
      <c r="G65" s="32">
        <f>ROUND(E65*F65,2)</f>
        <v/>
      </c>
      <c r="H65" s="187">
        <f>G65/$G$92</f>
        <v/>
      </c>
      <c r="I65" s="32">
        <f>ROUND(F65*Прил.10!$D$13,2)</f>
        <v/>
      </c>
      <c r="J65" s="32">
        <f>ROUND(I65*E65,2)</f>
        <v/>
      </c>
    </row>
    <row r="66" outlineLevel="1" ht="25.5" customFormat="1" customHeight="1" s="12">
      <c r="A66" s="259" t="n">
        <v>38</v>
      </c>
      <c r="B66" s="168" t="inlineStr">
        <is>
          <t>999-9950</t>
        </is>
      </c>
      <c r="C66" s="195" t="inlineStr">
        <is>
          <t>Вспомогательные ненормируемые ресурсы (2% от Оплаты труда рабочих)</t>
        </is>
      </c>
      <c r="D66" s="168" t="inlineStr">
        <is>
          <t>руб</t>
        </is>
      </c>
      <c r="E66" s="168" t="n">
        <v>31.8608</v>
      </c>
      <c r="F66" s="261" t="n">
        <v>1</v>
      </c>
      <c r="G66" s="32">
        <f>ROUND(E66*F66,2)</f>
        <v/>
      </c>
      <c r="H66" s="187">
        <f>G66/$G$92</f>
        <v/>
      </c>
      <c r="I66" s="32">
        <f>ROUND(F66*Прил.10!$D$13,2)</f>
        <v/>
      </c>
      <c r="J66" s="32">
        <f>ROUND(I66*E66,2)</f>
        <v/>
      </c>
    </row>
    <row r="67" outlineLevel="1" ht="38.25" customFormat="1" customHeight="1" s="12">
      <c r="A67" s="259" t="n">
        <v>39</v>
      </c>
      <c r="B67" s="168" t="inlineStr">
        <is>
          <t>02.2.04.03-0012</t>
        </is>
      </c>
      <c r="C67" s="195" t="inlineStr">
        <is>
          <t>Смесь песчано-гравийная природная обогащенная с содержанием гравия: 25-35 %</t>
        </is>
      </c>
      <c r="D67" s="168" t="inlineStr">
        <is>
          <t>м3</t>
        </is>
      </c>
      <c r="E67" s="168" t="n">
        <v>0.39</v>
      </c>
      <c r="F67" s="261" t="n">
        <v>69.55</v>
      </c>
      <c r="G67" s="32">
        <f>ROUND(E67*F67,2)</f>
        <v/>
      </c>
      <c r="H67" s="187">
        <f>G67/$G$92</f>
        <v/>
      </c>
      <c r="I67" s="32">
        <f>ROUND(F67*Прил.10!$D$13,2)</f>
        <v/>
      </c>
      <c r="J67" s="32">
        <f>ROUND(I67*E67,2)</f>
        <v/>
      </c>
    </row>
    <row r="68" outlineLevel="1" ht="14.25" customFormat="1" customHeight="1" s="12">
      <c r="A68" s="259" t="n">
        <v>40</v>
      </c>
      <c r="B68" s="168" t="inlineStr">
        <is>
          <t>20.2.08.05-0017</t>
        </is>
      </c>
      <c r="C68" s="195" t="inlineStr">
        <is>
          <t>Профиль монтажный</t>
        </is>
      </c>
      <c r="D68" s="168" t="inlineStr">
        <is>
          <t>шт.</t>
        </is>
      </c>
      <c r="E68" s="168" t="n">
        <v>0.4</v>
      </c>
      <c r="F68" s="261" t="n">
        <v>66.81999999999999</v>
      </c>
      <c r="G68" s="32">
        <f>ROUND(E68*F68,2)</f>
        <v/>
      </c>
      <c r="H68" s="187">
        <f>G68/$G$92</f>
        <v/>
      </c>
      <c r="I68" s="32">
        <f>ROUND(F68*Прил.10!$D$13,2)</f>
        <v/>
      </c>
      <c r="J68" s="32">
        <f>ROUND(I68*E68,2)</f>
        <v/>
      </c>
    </row>
    <row r="69" outlineLevel="1" ht="25.5" customFormat="1" customHeight="1" s="12">
      <c r="A69" s="259" t="n">
        <v>41</v>
      </c>
      <c r="B69" s="168" t="inlineStr">
        <is>
          <t>02.2.05.04-0052</t>
        </is>
      </c>
      <c r="C69" s="195" t="inlineStr">
        <is>
          <t>Щебень из гравия для строительных работ марка 800, фракция 40-70 мм</t>
        </is>
      </c>
      <c r="D69" s="168" t="inlineStr">
        <is>
          <t>м3</t>
        </is>
      </c>
      <c r="E69" s="168" t="n">
        <v>0.204</v>
      </c>
      <c r="F69" s="261" t="n">
        <v>125.95</v>
      </c>
      <c r="G69" s="32">
        <f>ROUND(E69*F69,2)</f>
        <v/>
      </c>
      <c r="H69" s="187">
        <f>G69/$G$92</f>
        <v/>
      </c>
      <c r="I69" s="32">
        <f>ROUND(F69*Прил.10!$D$13,2)</f>
        <v/>
      </c>
      <c r="J69" s="32">
        <f>ROUND(I69*E69,2)</f>
        <v/>
      </c>
    </row>
    <row r="70" outlineLevel="1" ht="14.25" customFormat="1" customHeight="1" s="12">
      <c r="A70" s="259" t="n">
        <v>42</v>
      </c>
      <c r="B70" s="168" t="inlineStr">
        <is>
          <t>20.1.01.03-0002</t>
        </is>
      </c>
      <c r="C70" s="195" t="inlineStr">
        <is>
          <t>Зажим винтовой ЗВИ-10 2,5-6 мм2 12 пар</t>
        </is>
      </c>
      <c r="D70" s="168" t="inlineStr">
        <is>
          <t>шт.</t>
        </is>
      </c>
      <c r="E70" s="168" t="n">
        <v>4</v>
      </c>
      <c r="F70" s="261" t="n">
        <v>6.29</v>
      </c>
      <c r="G70" s="32">
        <f>ROUND(E70*F70,2)</f>
        <v/>
      </c>
      <c r="H70" s="187">
        <f>G70/$G$92</f>
        <v/>
      </c>
      <c r="I70" s="32">
        <f>ROUND(F70*Прил.10!$D$13,2)</f>
        <v/>
      </c>
      <c r="J70" s="32">
        <f>ROUND(I70*E70,2)</f>
        <v/>
      </c>
    </row>
    <row r="71" outlineLevel="1" ht="51" customFormat="1" customHeight="1" s="12">
      <c r="A71" s="259" t="n">
        <v>43</v>
      </c>
      <c r="B71" s="168" t="inlineStr">
        <is>
          <t>04.1.02.03-0041</t>
        </is>
      </c>
      <c r="C71" s="195" t="inlineStr">
        <is>
          <t>Бетон тяжелый для дорожных и аэродромных покрытий и оснований, крупность заполнителя: 20 мм, класс В10 (М150)</t>
        </is>
      </c>
      <c r="D71" s="168" t="inlineStr">
        <is>
          <t>м3</t>
        </is>
      </c>
      <c r="E71" s="168" t="n">
        <v>0.0408</v>
      </c>
      <c r="F71" s="261" t="n">
        <v>581.51</v>
      </c>
      <c r="G71" s="32">
        <f>ROUND(E71*F71,2)</f>
        <v/>
      </c>
      <c r="H71" s="187">
        <f>G71/$G$92</f>
        <v/>
      </c>
      <c r="I71" s="32">
        <f>ROUND(F71*Прил.10!$D$13,2)</f>
        <v/>
      </c>
      <c r="J71" s="32">
        <f>ROUND(I71*E71,2)</f>
        <v/>
      </c>
    </row>
    <row r="72" outlineLevel="1" ht="25.5" customFormat="1" customHeight="1" s="12">
      <c r="A72" s="259" t="n">
        <v>44</v>
      </c>
      <c r="B72" s="168" t="inlineStr">
        <is>
          <t>02.2.05.04-1777</t>
        </is>
      </c>
      <c r="C72" s="195" t="inlineStr">
        <is>
          <t>Щебень М 800, фракция 20-40 мм, группа 2</t>
        </is>
      </c>
      <c r="D72" s="168" t="inlineStr">
        <is>
          <t>м3</t>
        </is>
      </c>
      <c r="E72" s="168" t="n">
        <v>0.16</v>
      </c>
      <c r="F72" s="261" t="n">
        <v>108.4</v>
      </c>
      <c r="G72" s="32">
        <f>ROUND(E72*F72,2)</f>
        <v/>
      </c>
      <c r="H72" s="187">
        <f>G72/$G$92</f>
        <v/>
      </c>
      <c r="I72" s="32">
        <f>ROUND(F72*Прил.10!$D$13,2)</f>
        <v/>
      </c>
      <c r="J72" s="32">
        <f>ROUND(I72*E72,2)</f>
        <v/>
      </c>
    </row>
    <row r="73" outlineLevel="1" ht="25.5" customFormat="1" customHeight="1" s="12">
      <c r="A73" s="259" t="n">
        <v>45</v>
      </c>
      <c r="B73" s="168" t="inlineStr">
        <is>
          <t>08.3.07.01-0076</t>
        </is>
      </c>
      <c r="C73" s="195" t="inlineStr">
        <is>
          <t>Сталь полосовая, марка стали: Ст3сп шириной 50-200 мм толщиной 4-5 мм</t>
        </is>
      </c>
      <c r="D73" s="168" t="inlineStr">
        <is>
          <t>т</t>
        </is>
      </c>
      <c r="E73" s="168" t="n">
        <v>0.00208</v>
      </c>
      <c r="F73" s="261" t="n">
        <v>5000</v>
      </c>
      <c r="G73" s="32">
        <f>ROUND(E73*F73,2)</f>
        <v/>
      </c>
      <c r="H73" s="187">
        <f>G73/$G$92</f>
        <v/>
      </c>
      <c r="I73" s="32">
        <f>ROUND(F73*Прил.10!$D$13,2)</f>
        <v/>
      </c>
      <c r="J73" s="32">
        <f>ROUND(I73*E73,2)</f>
        <v/>
      </c>
    </row>
    <row r="74" outlineLevel="1" ht="14.25" customFormat="1" customHeight="1" s="12">
      <c r="A74" s="259" t="n">
        <v>46</v>
      </c>
      <c r="B74" s="168" t="inlineStr">
        <is>
          <t>01.7.15.07-0031</t>
        </is>
      </c>
      <c r="C74" s="195" t="inlineStr">
        <is>
          <t>Дюбели распорные с гайкой</t>
        </is>
      </c>
      <c r="D74" s="168" t="inlineStr">
        <is>
          <t>100 шт.</t>
        </is>
      </c>
      <c r="E74" s="168" t="n">
        <v>0.07298</v>
      </c>
      <c r="F74" s="261" t="n">
        <v>110</v>
      </c>
      <c r="G74" s="32">
        <f>ROUND(E74*F74,2)</f>
        <v/>
      </c>
      <c r="H74" s="187">
        <f>G74/$G$92</f>
        <v/>
      </c>
      <c r="I74" s="32">
        <f>ROUND(F74*Прил.10!$D$13,2)</f>
        <v/>
      </c>
      <c r="J74" s="32">
        <f>ROUND(I74*E74,2)</f>
        <v/>
      </c>
    </row>
    <row r="75" outlineLevel="1" ht="25.5" customFormat="1" customHeight="1" s="12">
      <c r="A75" s="259" t="n">
        <v>47</v>
      </c>
      <c r="B75" s="168" t="inlineStr">
        <is>
          <t>03.2.01.01-0003</t>
        </is>
      </c>
      <c r="C75" s="195" t="inlineStr">
        <is>
          <t>Портландцемент общестроительного назначения бездобавочный, марки: 500</t>
        </is>
      </c>
      <c r="D75" s="168" t="inlineStr">
        <is>
          <t>т</t>
        </is>
      </c>
      <c r="E75" s="168" t="n">
        <v>0.01642</v>
      </c>
      <c r="F75" s="261" t="n">
        <v>480</v>
      </c>
      <c r="G75" s="32">
        <f>ROUND(E75*F75,2)</f>
        <v/>
      </c>
      <c r="H75" s="187">
        <f>G75/$G$92</f>
        <v/>
      </c>
      <c r="I75" s="32">
        <f>ROUND(F75*Прил.10!$D$13,2)</f>
        <v/>
      </c>
      <c r="J75" s="32">
        <f>ROUND(I75*E75,2)</f>
        <v/>
      </c>
    </row>
    <row r="76" outlineLevel="1" ht="25.5" customFormat="1" customHeight="1" s="12">
      <c r="A76" s="259" t="n">
        <v>48</v>
      </c>
      <c r="B76" s="168" t="inlineStr">
        <is>
          <t>01.7.15.05-0027</t>
        </is>
      </c>
      <c r="C76" s="195" t="inlineStr">
        <is>
          <t>Гайки шестигранные оцинкованные диаметр резьбы: 24 мм</t>
        </is>
      </c>
      <c r="D76" s="168" t="inlineStr">
        <is>
          <t>т</t>
        </is>
      </c>
      <c r="E76" s="168" t="n">
        <v>0.0003936</v>
      </c>
      <c r="F76" s="261" t="n">
        <v>19978.06</v>
      </c>
      <c r="G76" s="32">
        <f>ROUND(E76*F76,2)</f>
        <v/>
      </c>
      <c r="H76" s="187">
        <f>G76/$G$92</f>
        <v/>
      </c>
      <c r="I76" s="32">
        <f>ROUND(F76*Прил.10!$D$13,2)</f>
        <v/>
      </c>
      <c r="J76" s="32">
        <f>ROUND(I76*E76,2)</f>
        <v/>
      </c>
    </row>
    <row r="77" outlineLevel="1" ht="14.25" customFormat="1" customHeight="1" s="12">
      <c r="A77" s="259" t="n">
        <v>49</v>
      </c>
      <c r="B77" s="168" t="inlineStr">
        <is>
          <t>01.7.15.11-0052</t>
        </is>
      </c>
      <c r="C77" s="195" t="inlineStr">
        <is>
          <t>Шайбы оцинкованные, диаметр: 24 мм</t>
        </is>
      </c>
      <c r="D77" s="168" t="inlineStr">
        <is>
          <t>кг</t>
        </is>
      </c>
      <c r="E77" s="168" t="n">
        <v>0.2224</v>
      </c>
      <c r="F77" s="261" t="n">
        <v>28.45</v>
      </c>
      <c r="G77" s="32">
        <f>ROUND(E77*F77,2)</f>
        <v/>
      </c>
      <c r="H77" s="187">
        <f>G77/$G$92</f>
        <v/>
      </c>
      <c r="I77" s="32">
        <f>ROUND(F77*Прил.10!$D$13,2)</f>
        <v/>
      </c>
      <c r="J77" s="32">
        <f>ROUND(I77*E77,2)</f>
        <v/>
      </c>
    </row>
    <row r="78" outlineLevel="1" ht="14.25" customFormat="1" customHeight="1" s="12">
      <c r="A78" s="259" t="n">
        <v>50</v>
      </c>
      <c r="B78" s="168" t="inlineStr">
        <is>
          <t>01.7.11.07-0034</t>
        </is>
      </c>
      <c r="C78" s="195" t="inlineStr">
        <is>
          <t>Электроды диаметром: 4 мм Э42А</t>
        </is>
      </c>
      <c r="D78" s="168" t="inlineStr">
        <is>
          <t>кг</t>
        </is>
      </c>
      <c r="E78" s="168" t="n">
        <v>0.59312</v>
      </c>
      <c r="F78" s="261" t="n">
        <v>10.57</v>
      </c>
      <c r="G78" s="32">
        <f>ROUND(E78*F78,2)</f>
        <v/>
      </c>
      <c r="H78" s="187">
        <f>G78/$G$92</f>
        <v/>
      </c>
      <c r="I78" s="32">
        <f>ROUND(F78*Прил.10!$D$13,2)</f>
        <v/>
      </c>
      <c r="J78" s="32">
        <f>ROUND(I78*E78,2)</f>
        <v/>
      </c>
    </row>
    <row r="79" outlineLevel="1" ht="14.25" customFormat="1" customHeight="1" s="12">
      <c r="A79" s="259" t="n">
        <v>51</v>
      </c>
      <c r="B79" s="168" t="inlineStr">
        <is>
          <t>14.4.02.09-0001</t>
        </is>
      </c>
      <c r="C79" s="195" t="inlineStr">
        <is>
          <t>Краска</t>
        </is>
      </c>
      <c r="D79" s="168" t="inlineStr">
        <is>
          <t>кг</t>
        </is>
      </c>
      <c r="E79" s="168" t="n">
        <v>0.07920000000000001</v>
      </c>
      <c r="F79" s="261" t="n">
        <v>28.6</v>
      </c>
      <c r="G79" s="32">
        <f>ROUND(E79*F79,2)</f>
        <v/>
      </c>
      <c r="H79" s="187">
        <f>G79/$G$92</f>
        <v/>
      </c>
      <c r="I79" s="32">
        <f>ROUND(F79*Прил.10!$D$13,2)</f>
        <v/>
      </c>
      <c r="J79" s="32">
        <f>ROUND(I79*E79,2)</f>
        <v/>
      </c>
    </row>
    <row r="80" outlineLevel="1" ht="25.5" customFormat="1" customHeight="1" s="12">
      <c r="A80" s="259" t="n">
        <v>52</v>
      </c>
      <c r="B80" s="168" t="inlineStr">
        <is>
          <t>04.3.01.09-0014</t>
        </is>
      </c>
      <c r="C80" s="195" t="inlineStr">
        <is>
          <t>Раствор готовый кладочный цементный марки: 100</t>
        </is>
      </c>
      <c r="D80" s="168" t="inlineStr">
        <is>
          <t>м3</t>
        </is>
      </c>
      <c r="E80" s="168" t="n">
        <v>0.0043096</v>
      </c>
      <c r="F80" s="261" t="n">
        <v>519.8</v>
      </c>
      <c r="G80" s="32">
        <f>ROUND(E80*F80,2)</f>
        <v/>
      </c>
      <c r="H80" s="187">
        <f>G80/$G$92</f>
        <v/>
      </c>
      <c r="I80" s="32">
        <f>ROUND(F80*Прил.10!$D$13,2)</f>
        <v/>
      </c>
      <c r="J80" s="32">
        <f>ROUND(I80*E80,2)</f>
        <v/>
      </c>
    </row>
    <row r="81" outlineLevel="1" ht="25.5" customFormat="1" customHeight="1" s="12">
      <c r="A81" s="259" t="n">
        <v>53</v>
      </c>
      <c r="B81" s="168" t="inlineStr">
        <is>
          <t>01.3.01.06-0050</t>
        </is>
      </c>
      <c r="C81" s="195" t="inlineStr">
        <is>
          <t>Смазка универсальная тугоплавкая УТ (консталин жировой)</t>
        </is>
      </c>
      <c r="D81" s="168" t="inlineStr">
        <is>
          <t>т</t>
        </is>
      </c>
      <c r="E81" s="168" t="n">
        <v>0.00012</v>
      </c>
      <c r="F81" s="261" t="n">
        <v>17500</v>
      </c>
      <c r="G81" s="32">
        <f>ROUND(E81*F81,2)</f>
        <v/>
      </c>
      <c r="H81" s="187">
        <f>G81/$G$92</f>
        <v/>
      </c>
      <c r="I81" s="32">
        <f>ROUND(F81*Прил.10!$D$13,2)</f>
        <v/>
      </c>
      <c r="J81" s="32">
        <f>ROUND(I81*E81,2)</f>
        <v/>
      </c>
    </row>
    <row r="82" outlineLevel="1" ht="14.25" customFormat="1" customHeight="1" s="12">
      <c r="A82" s="259" t="n">
        <v>54</v>
      </c>
      <c r="B82" s="168" t="inlineStr">
        <is>
          <t>01.7.20.08-0031</t>
        </is>
      </c>
      <c r="C82" s="195" t="inlineStr">
        <is>
          <t>Бязь суровая арт. 6804</t>
        </is>
      </c>
      <c r="D82" s="168" t="inlineStr">
        <is>
          <t>10 м2</t>
        </is>
      </c>
      <c r="E82" s="168" t="n">
        <v>0.0114</v>
      </c>
      <c r="F82" s="261" t="n">
        <v>79.09999999999999</v>
      </c>
      <c r="G82" s="32">
        <f>ROUND(E82*F82,2)</f>
        <v/>
      </c>
      <c r="H82" s="187">
        <f>G82/$G$92</f>
        <v/>
      </c>
      <c r="I82" s="32">
        <f>ROUND(F82*Прил.10!$D$13,2)</f>
        <v/>
      </c>
      <c r="J82" s="32">
        <f>ROUND(I82*E82,2)</f>
        <v/>
      </c>
    </row>
    <row r="83" outlineLevel="1" ht="25.5" customFormat="1" customHeight="1" s="12">
      <c r="A83" s="259" t="n">
        <v>55</v>
      </c>
      <c r="B83" s="168" t="inlineStr">
        <is>
          <t>02.3.01.02-0020</t>
        </is>
      </c>
      <c r="C83" s="195" t="inlineStr">
        <is>
          <t>Песок природный для строительных: растворов средний</t>
        </is>
      </c>
      <c r="D83" s="168" t="inlineStr">
        <is>
          <t>м3</t>
        </is>
      </c>
      <c r="E83" s="168" t="n">
        <v>0.01368</v>
      </c>
      <c r="F83" s="261" t="n">
        <v>59.99</v>
      </c>
      <c r="G83" s="32">
        <f>ROUND(E83*F83,2)</f>
        <v/>
      </c>
      <c r="H83" s="187">
        <f>G83/$G$92</f>
        <v/>
      </c>
      <c r="I83" s="32">
        <f>ROUND(F83*Прил.10!$D$13,2)</f>
        <v/>
      </c>
      <c r="J83" s="32">
        <f>ROUND(I83*E83,2)</f>
        <v/>
      </c>
    </row>
    <row r="84" outlineLevel="1" ht="14.25" customFormat="1" customHeight="1" s="12">
      <c r="A84" s="259" t="n">
        <v>56</v>
      </c>
      <c r="B84" s="168" t="inlineStr">
        <is>
          <t>14.5.09.11-0101</t>
        </is>
      </c>
      <c r="C84" s="195" t="inlineStr">
        <is>
          <t>Уайт-спирит</t>
        </is>
      </c>
      <c r="D84" s="168" t="inlineStr">
        <is>
          <t>т</t>
        </is>
      </c>
      <c r="E84" s="168" t="n">
        <v>0.0001</v>
      </c>
      <c r="F84" s="261" t="n">
        <v>6667</v>
      </c>
      <c r="G84" s="32">
        <f>ROUND(E84*F84,2)</f>
        <v/>
      </c>
      <c r="H84" s="187">
        <f>G84/$G$92</f>
        <v/>
      </c>
      <c r="I84" s="32">
        <f>ROUND(F84*Прил.10!$D$13,2)</f>
        <v/>
      </c>
      <c r="J84" s="32">
        <f>ROUND(I84*E84,2)</f>
        <v/>
      </c>
    </row>
    <row r="85" outlineLevel="1" ht="25.5" customFormat="1" customHeight="1" s="12">
      <c r="A85" s="259" t="n">
        <v>57</v>
      </c>
      <c r="B85" s="168" t="inlineStr">
        <is>
          <t>01.7.07.12-0024</t>
        </is>
      </c>
      <c r="C85" s="195" t="inlineStr">
        <is>
          <t>Пленка полиэтиленовая толщиной: 0,15 мм</t>
        </is>
      </c>
      <c r="D85" s="168" t="inlineStr">
        <is>
          <t>м2</t>
        </is>
      </c>
      <c r="E85" s="168" t="n">
        <v>0.1</v>
      </c>
      <c r="F85" s="261" t="n">
        <v>3.62</v>
      </c>
      <c r="G85" s="32">
        <f>ROUND(E85*F85,2)</f>
        <v/>
      </c>
      <c r="H85" s="187">
        <f>G85/$G$92</f>
        <v/>
      </c>
      <c r="I85" s="32">
        <f>ROUND(F85*Прил.10!$D$13,2)</f>
        <v/>
      </c>
      <c r="J85" s="32">
        <f>ROUND(I85*E85,2)</f>
        <v/>
      </c>
    </row>
    <row r="86" outlineLevel="1" ht="38.25" customFormat="1" customHeight="1" s="12">
      <c r="A86" s="259" t="n">
        <v>58</v>
      </c>
      <c r="B86" s="168" t="inlineStr">
        <is>
          <t>11.1.03.06-0087</t>
        </is>
      </c>
      <c r="C86" s="195" t="inlineStr">
        <is>
          <t>Доски обрезные хвойных пород длиной: 4-6,5 м, шириной 75-150 мм, толщиной 25 мм, III сорта</t>
        </is>
      </c>
      <c r="D86" s="168" t="inlineStr">
        <is>
          <t>м3</t>
        </is>
      </c>
      <c r="E86" s="168" t="n">
        <v>0.00014</v>
      </c>
      <c r="F86" s="261" t="n">
        <v>1100</v>
      </c>
      <c r="G86" s="32">
        <f>ROUND(E86*F86,2)</f>
        <v/>
      </c>
      <c r="H86" s="187">
        <f>G86/$G$92</f>
        <v/>
      </c>
      <c r="I86" s="32">
        <f>ROUND(F86*Прил.10!$D$13,2)</f>
        <v/>
      </c>
      <c r="J86" s="32">
        <f>ROUND(I86*E86,2)</f>
        <v/>
      </c>
    </row>
    <row r="87" outlineLevel="1" ht="14.25" customFormat="1" customHeight="1" s="12">
      <c r="A87" s="259" t="n">
        <v>59</v>
      </c>
      <c r="B87" s="168" t="inlineStr">
        <is>
          <t>08.3.07.01-0043</t>
        </is>
      </c>
      <c r="C87" s="195" t="inlineStr">
        <is>
          <t>Сталь полосовая: 40х5 мм, марка Ст3сп</t>
        </is>
      </c>
      <c r="D87" s="168" t="inlineStr">
        <is>
          <t>т</t>
        </is>
      </c>
      <c r="E87" s="168" t="n">
        <v>1.64e-05</v>
      </c>
      <c r="F87" s="261" t="n">
        <v>6159.22</v>
      </c>
      <c r="G87" s="32">
        <f>ROUND(E87*F87,2)</f>
        <v/>
      </c>
      <c r="H87" s="187">
        <f>G87/$G$92</f>
        <v/>
      </c>
      <c r="I87" s="32">
        <f>ROUND(F87*Прил.10!$D$13,2)</f>
        <v/>
      </c>
      <c r="J87" s="32">
        <f>ROUND(I87*E87,2)</f>
        <v/>
      </c>
    </row>
    <row r="88" outlineLevel="1" ht="38.25" customFormat="1" customHeight="1" s="12">
      <c r="A88" s="259" t="n">
        <v>60</v>
      </c>
      <c r="B88" s="168" t="inlineStr">
        <is>
          <t>11.1.03.06-0095</t>
        </is>
      </c>
      <c r="C88" s="195" t="inlineStr">
        <is>
          <t>Доски обрезные хвойных пород длиной: 4-6,5 м, шириной 75-150 мм, толщиной 44 мм и более, III сорта</t>
        </is>
      </c>
      <c r="D88" s="168" t="inlineStr">
        <is>
          <t>м3</t>
        </is>
      </c>
      <c r="E88" s="168" t="n">
        <v>6e-05</v>
      </c>
      <c r="F88" s="261" t="n">
        <v>1056</v>
      </c>
      <c r="G88" s="32">
        <f>ROUND(E88*F88,2)</f>
        <v/>
      </c>
      <c r="H88" s="187">
        <f>G88/$G$92</f>
        <v/>
      </c>
      <c r="I88" s="32">
        <f>ROUND(F88*Прил.10!$D$13,2)</f>
        <v/>
      </c>
      <c r="J88" s="32">
        <f>ROUND(I88*E88,2)</f>
        <v/>
      </c>
    </row>
    <row r="89" outlineLevel="1" ht="25.5" customFormat="1" customHeight="1" s="12">
      <c r="A89" s="259" t="n">
        <v>61</v>
      </c>
      <c r="B89" s="168" t="inlineStr">
        <is>
          <t>07.2.07.04-0007</t>
        </is>
      </c>
      <c r="C89" s="195" t="inlineStr">
        <is>
          <t>Конструкции стальные индивидуальные: решетчатые сварные массой до 0,1 т</t>
        </is>
      </c>
      <c r="D89" s="168" t="inlineStr">
        <is>
          <t>т</t>
        </is>
      </c>
      <c r="E89" s="168" t="n">
        <v>1e-06</v>
      </c>
      <c r="F89" s="261" t="n">
        <v>11500</v>
      </c>
      <c r="G89" s="32">
        <f>ROUND(E89*F89,2)</f>
        <v/>
      </c>
      <c r="H89" s="187">
        <f>G89/$G$92</f>
        <v/>
      </c>
      <c r="I89" s="32">
        <f>ROUND(F89*Прил.10!$D$13,2)</f>
        <v/>
      </c>
      <c r="J89" s="32">
        <f>ROUND(I89*E89,2)</f>
        <v/>
      </c>
    </row>
    <row r="90" outlineLevel="1" ht="25.5" customFormat="1" customHeight="1" s="12">
      <c r="A90" s="259" t="n">
        <v>62</v>
      </c>
      <c r="B90" s="168" t="inlineStr">
        <is>
          <t>01.2.01.02-0052</t>
        </is>
      </c>
      <c r="C90" s="195" t="inlineStr">
        <is>
          <t>Битумы нефтяные строительные марки: БН-70/30</t>
        </is>
      </c>
      <c r="D90" s="168" t="inlineStr">
        <is>
          <t>т</t>
        </is>
      </c>
      <c r="E90" s="168" t="n">
        <v>4.4e-06</v>
      </c>
      <c r="F90" s="261" t="n">
        <v>1525.5</v>
      </c>
      <c r="G90" s="32">
        <f>ROUND(E90*F90,2)</f>
        <v/>
      </c>
      <c r="H90" s="187">
        <f>G90/$G$92</f>
        <v/>
      </c>
      <c r="I90" s="32">
        <f>ROUND(F90*Прил.10!$D$13,2)</f>
        <v/>
      </c>
      <c r="J90" s="32">
        <f>ROUND(I90*E90,2)</f>
        <v/>
      </c>
    </row>
    <row r="91" ht="14.25" customFormat="1" customHeight="1" s="12">
      <c r="A91" s="259" t="n"/>
      <c r="B91" s="259" t="n"/>
      <c r="C91" s="258" t="inlineStr">
        <is>
          <t>Итого прочие материалы</t>
        </is>
      </c>
      <c r="D91" s="259" t="n"/>
      <c r="E91" s="260" t="n"/>
      <c r="F91" s="261" t="n"/>
      <c r="G91" s="32">
        <f>SUM(G62:G90)</f>
        <v/>
      </c>
      <c r="H91" s="262">
        <f>G91/G92</f>
        <v/>
      </c>
      <c r="I91" s="32" t="n"/>
      <c r="J91" s="32">
        <f>SUM(J62:J90)</f>
        <v/>
      </c>
    </row>
    <row r="92" ht="14.25" customFormat="1" customHeight="1" s="12">
      <c r="A92" s="259" t="n"/>
      <c r="B92" s="259" t="n"/>
      <c r="C92" s="263" t="inlineStr">
        <is>
          <t>Итого по разделу «Материалы»</t>
        </is>
      </c>
      <c r="D92" s="259" t="n"/>
      <c r="E92" s="260" t="n"/>
      <c r="F92" s="261" t="n"/>
      <c r="G92" s="32">
        <f>G61+G91</f>
        <v/>
      </c>
      <c r="H92" s="262" t="n">
        <v>1</v>
      </c>
      <c r="I92" s="32" t="n"/>
      <c r="J92" s="32">
        <f>J61+J91</f>
        <v/>
      </c>
    </row>
    <row r="93" ht="14.25" customFormat="1" customHeight="1" s="12">
      <c r="A93" s="259" t="n"/>
      <c r="B93" s="259" t="n"/>
      <c r="C93" s="258" t="inlineStr">
        <is>
          <t>ИТОГО ПО РМ</t>
        </is>
      </c>
      <c r="D93" s="259" t="n"/>
      <c r="E93" s="260" t="n"/>
      <c r="F93" s="261" t="n"/>
      <c r="G93" s="32">
        <f>G16+G41+G92</f>
        <v/>
      </c>
      <c r="H93" s="262" t="n"/>
      <c r="I93" s="32" t="n"/>
      <c r="J93" s="32">
        <f>J16+J41+J92</f>
        <v/>
      </c>
    </row>
    <row r="94" ht="14.25" customFormat="1" customHeight="1" s="12">
      <c r="A94" s="259" t="n"/>
      <c r="B94" s="259" t="n"/>
      <c r="C94" s="258" t="inlineStr">
        <is>
          <t>Накладные расходы</t>
        </is>
      </c>
      <c r="D94" s="194" t="n">
        <v>0.82</v>
      </c>
      <c r="E94" s="260" t="n"/>
      <c r="F94" s="261" t="n"/>
      <c r="G94" s="32">
        <f>ROUND(D94*(G16+G18),2)</f>
        <v/>
      </c>
      <c r="H94" s="262" t="n"/>
      <c r="I94" s="32" t="n"/>
      <c r="J94" s="32">
        <f>ROUND(D94*(J16+J18),2)</f>
        <v/>
      </c>
    </row>
    <row r="95" ht="14.25" customFormat="1" customHeight="1" s="12">
      <c r="A95" s="259" t="n"/>
      <c r="B95" s="259" t="n"/>
      <c r="C95" s="258" t="inlineStr">
        <is>
          <t>Сметная прибыль</t>
        </is>
      </c>
      <c r="D95" s="194" t="n">
        <v>0.6</v>
      </c>
      <c r="E95" s="260" t="n"/>
      <c r="F95" s="261" t="n"/>
      <c r="G95" s="32">
        <f>ROUND(D95*(G16+G18),2)</f>
        <v/>
      </c>
      <c r="H95" s="262" t="n"/>
      <c r="I95" s="32" t="n"/>
      <c r="J95" s="32">
        <f>ROUND(D95*(J16+J18),2)</f>
        <v/>
      </c>
    </row>
    <row r="96" ht="14.25" customFormat="1" customHeight="1" s="12">
      <c r="A96" s="259" t="n"/>
      <c r="B96" s="259" t="n"/>
      <c r="C96" s="258" t="inlineStr">
        <is>
          <t>Итого СМР (с НР и СП)</t>
        </is>
      </c>
      <c r="D96" s="259" t="n"/>
      <c r="E96" s="260" t="n"/>
      <c r="F96" s="261" t="n"/>
      <c r="G96" s="32">
        <f>G16+G41+G92+G94+G95</f>
        <v/>
      </c>
      <c r="H96" s="262" t="n"/>
      <c r="I96" s="32" t="n"/>
      <c r="J96" s="32">
        <f>J16+J41+J92+J94+J95</f>
        <v/>
      </c>
    </row>
    <row r="97" ht="14.25" customFormat="1" customHeight="1" s="12">
      <c r="A97" s="259" t="n"/>
      <c r="B97" s="259" t="n"/>
      <c r="C97" s="258" t="inlineStr">
        <is>
          <t>ВСЕГО СМР + ОБОРУДОВАНИЕ</t>
        </is>
      </c>
      <c r="D97" s="259" t="n"/>
      <c r="E97" s="260" t="n"/>
      <c r="F97" s="261" t="n"/>
      <c r="G97" s="32">
        <f>G96+G49</f>
        <v/>
      </c>
      <c r="H97" s="262" t="n"/>
      <c r="I97" s="32" t="n"/>
      <c r="J97" s="32">
        <f>J96+J49</f>
        <v/>
      </c>
    </row>
    <row r="98" ht="34.5" customFormat="1" customHeight="1" s="12">
      <c r="A98" s="259" t="n"/>
      <c r="B98" s="259" t="n"/>
      <c r="C98" s="258" t="inlineStr">
        <is>
          <t>ИТОГО ПОКАЗАТЕЛЬ НА ЕД. ИЗМ.</t>
        </is>
      </c>
      <c r="D98" s="259" t="inlineStr">
        <is>
          <t>ед.</t>
        </is>
      </c>
      <c r="E98" s="260" t="n">
        <v>1</v>
      </c>
      <c r="F98" s="261" t="n"/>
      <c r="G98" s="32">
        <f>G97/E98</f>
        <v/>
      </c>
      <c r="H98" s="262" t="n"/>
      <c r="I98" s="32" t="n"/>
      <c r="J98" s="32">
        <f>J97/E98</f>
        <v/>
      </c>
    </row>
    <row r="99" ht="24" customFormat="1" customHeight="1" s="12">
      <c r="A99" s="321" t="n"/>
      <c r="B99" s="321" t="n"/>
      <c r="C99" s="322" t="n"/>
      <c r="D99" s="321" t="n"/>
      <c r="E99" s="323" t="n"/>
      <c r="F99" s="324" t="n"/>
      <c r="G99" s="325" t="n"/>
      <c r="H99" s="326" t="n"/>
      <c r="I99" s="325" t="n"/>
      <c r="J99" s="325" t="n"/>
    </row>
    <row r="101" ht="14.25" customFormat="1" customHeight="1" s="12">
      <c r="A101" s="4" t="inlineStr">
        <is>
          <t>Составил ______________________    Е. М. Добровольская</t>
        </is>
      </c>
    </row>
    <row r="102" ht="14.25" customFormat="1" customHeight="1" s="12">
      <c r="A102" s="33" t="inlineStr">
        <is>
          <t xml:space="preserve">                         (подпись, инициалы, фамилия)</t>
        </is>
      </c>
    </row>
    <row r="103" ht="14.25" customFormat="1" customHeight="1" s="12">
      <c r="A103" s="4" t="n"/>
    </row>
    <row r="104" ht="14.25" customFormat="1" customHeight="1" s="12">
      <c r="A104" s="4" t="inlineStr">
        <is>
          <t>Проверил ______________________        А.В. Костянецкая</t>
        </is>
      </c>
    </row>
    <row r="105" ht="14.25" customFormat="1" customHeight="1" s="12">
      <c r="A105" s="33" t="inlineStr">
        <is>
          <t xml:space="preserve">                        (подпись, инициалы, фамилия)</t>
        </is>
      </c>
    </row>
  </sheetData>
  <mergeCells count="22">
    <mergeCell ref="H9:H10"/>
    <mergeCell ref="B42:J42"/>
    <mergeCell ref="A4:J4"/>
    <mergeCell ref="H2:J2"/>
    <mergeCell ref="B20:H20"/>
    <mergeCell ref="C9:C10"/>
    <mergeCell ref="E9:E10"/>
    <mergeCell ref="D6:H6"/>
    <mergeCell ref="A7:H7"/>
    <mergeCell ref="B9:B10"/>
    <mergeCell ref="D9:D10"/>
    <mergeCell ref="B51:J51"/>
    <mergeCell ref="B52:H52"/>
    <mergeCell ref="B43:H43"/>
    <mergeCell ref="B12:H12"/>
    <mergeCell ref="A8:H8"/>
    <mergeCell ref="F9:G9"/>
    <mergeCell ref="B17:H17"/>
    <mergeCell ref="A9:A10"/>
    <mergeCell ref="A6:C6"/>
    <mergeCell ref="B19:H19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9" t="inlineStr">
        <is>
          <t>Приложение №6</t>
        </is>
      </c>
    </row>
    <row r="2" ht="21.75" customHeight="1">
      <c r="A2" s="269" t="n"/>
      <c r="B2" s="269" t="n"/>
      <c r="C2" s="269" t="n"/>
      <c r="D2" s="269" t="n"/>
      <c r="E2" s="269" t="n"/>
      <c r="F2" s="269" t="n"/>
      <c r="G2" s="269" t="n"/>
    </row>
    <row r="3">
      <c r="A3" s="228" t="inlineStr">
        <is>
          <t>Расчет стоимости оборудования</t>
        </is>
      </c>
    </row>
    <row r="4" ht="25.5" customHeight="1">
      <c r="A4" s="231" t="inlineStr">
        <is>
          <t>Наименование разрабатываемого показателя УНЦ - Цифровой ТН на три фазы с устройством фундамента напряжение 6-15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9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8" t="n"/>
    </row>
    <row r="7">
      <c r="A7" s="330" t="n"/>
      <c r="B7" s="330" t="n"/>
      <c r="C7" s="330" t="n"/>
      <c r="D7" s="330" t="n"/>
      <c r="E7" s="330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>
      <c r="A9" s="25" t="n"/>
      <c r="B9" s="258" t="inlineStr">
        <is>
          <t>ИНЖЕНЕРНОЕ ОБОРУДОВАНИЕ</t>
        </is>
      </c>
      <c r="C9" s="327" t="n"/>
      <c r="D9" s="327" t="n"/>
      <c r="E9" s="327" t="n"/>
      <c r="F9" s="327" t="n"/>
      <c r="G9" s="328" t="n"/>
    </row>
    <row r="10" ht="27" customHeight="1">
      <c r="A10" s="259" t="n"/>
      <c r="B10" s="263" t="n"/>
      <c r="C10" s="258" t="inlineStr">
        <is>
          <t>ИТОГО ИНЖЕНЕРНОЕ ОБОРУДОВАНИЕ</t>
        </is>
      </c>
      <c r="D10" s="263" t="n"/>
      <c r="E10" s="105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27" t="n"/>
      <c r="D11" s="327" t="n"/>
      <c r="E11" s="327" t="n"/>
      <c r="F11" s="327" t="n"/>
      <c r="G11" s="328" t="n"/>
    </row>
    <row r="12" ht="25.5" customHeight="1">
      <c r="A12" s="259" t="n">
        <v>1</v>
      </c>
      <c r="B12" s="168" t="inlineStr">
        <is>
          <t>БЦ.16_1.155</t>
        </is>
      </c>
      <c r="C12" s="258" t="inlineStr">
        <is>
          <t>Трансформатор напряжения цифровой 10кВ</t>
        </is>
      </c>
      <c r="D12" s="259" t="inlineStr">
        <is>
          <t>шт.</t>
        </is>
      </c>
      <c r="E12" s="259" t="n">
        <v>3</v>
      </c>
      <c r="F12" s="261">
        <f>'Прил.5 Расчет СМР и ОБ'!F44</f>
        <v/>
      </c>
      <c r="G12" s="32">
        <f>E12*F12</f>
        <v/>
      </c>
    </row>
    <row r="13" ht="25.5" customHeight="1">
      <c r="A13" s="259" t="n">
        <v>2</v>
      </c>
      <c r="B13" s="168" t="inlineStr">
        <is>
          <t>Прайс из СД ОП</t>
        </is>
      </c>
      <c r="C13" s="258" t="inlineStr">
        <is>
          <t>Ящик АВР цепей напряжения
ЯАВР2.1-АСКУЭ-220В</t>
        </is>
      </c>
      <c r="D13" s="259" t="inlineStr">
        <is>
          <t>шт.</t>
        </is>
      </c>
      <c r="E13" s="259" t="n">
        <v>1</v>
      </c>
      <c r="F13" s="261">
        <f>'Прил.5 Расчет СМР и ОБ'!F46</f>
        <v/>
      </c>
      <c r="G13" s="32">
        <f>E13*F13</f>
        <v/>
      </c>
    </row>
    <row r="14" ht="25.5" customHeight="1">
      <c r="A14" s="259" t="n">
        <v>3</v>
      </c>
      <c r="B14" s="168" t="inlineStr">
        <is>
          <t>Прайс из СД ОП</t>
        </is>
      </c>
      <c r="C14" s="258" t="inlineStr">
        <is>
          <t>Ящик цепей напряжения ЯЗН-11-
АСКУЭ</t>
        </is>
      </c>
      <c r="D14" s="259" t="inlineStr">
        <is>
          <t>шт.</t>
        </is>
      </c>
      <c r="E14" s="259" t="n">
        <v>1</v>
      </c>
      <c r="F14" s="261">
        <f>'Прил.5 Расчет СМР и ОБ'!F47</f>
        <v/>
      </c>
      <c r="G14" s="32">
        <f>E14*F14</f>
        <v/>
      </c>
    </row>
    <row r="15" ht="25.5" customHeight="1">
      <c r="A15" s="259" t="n"/>
      <c r="B15" s="258" t="n"/>
      <c r="C15" s="258" t="inlineStr">
        <is>
          <t>ИТОГО ТЕХНОЛОГИЧЕСКОЕ ОБОРУДОВАНИЕ</t>
        </is>
      </c>
      <c r="D15" s="258" t="n"/>
      <c r="E15" s="273" t="n"/>
      <c r="F15" s="261" t="n"/>
      <c r="G15" s="32">
        <f>SUM(G12:G14)</f>
        <v/>
      </c>
    </row>
    <row r="16" ht="19.5" customHeight="1">
      <c r="A16" s="259" t="n"/>
      <c r="B16" s="258" t="n"/>
      <c r="C16" s="258" t="inlineStr">
        <is>
          <t>Всего по разделу «Оборудование»</t>
        </is>
      </c>
      <c r="D16" s="258" t="n"/>
      <c r="E16" s="273" t="n"/>
      <c r="F16" s="261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min="1" max="1"/>
    <col width="29.7109375" customWidth="1" min="2" max="2"/>
    <col width="35.425781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>
      <c r="A3" s="228" t="inlineStr">
        <is>
          <t>Расчет показателя УНЦ</t>
        </is>
      </c>
    </row>
    <row r="4" ht="24.75" customHeight="1">
      <c r="A4" s="228" t="n"/>
      <c r="B4" s="228" t="n"/>
      <c r="C4" s="228" t="n"/>
      <c r="D4" s="228" t="n"/>
    </row>
    <row r="5" ht="47.25" customHeight="1">
      <c r="A5" s="275" t="inlineStr">
        <is>
          <t xml:space="preserve">Наименование разрабатываемого показателя УНЦ - </t>
        </is>
      </c>
      <c r="D5" s="275">
        <f>'Прил.5 Расчет СМР и ОБ'!D6:H6</f>
        <v/>
      </c>
    </row>
    <row r="6" ht="19.9" customHeight="1">
      <c r="A6" s="275" t="inlineStr">
        <is>
          <t>Единица измерения  — 1 ед</t>
        </is>
      </c>
      <c r="D6" s="275" t="n"/>
    </row>
    <row r="7">
      <c r="A7" s="215" t="n"/>
      <c r="B7" s="215" t="n"/>
      <c r="C7" s="215" t="n"/>
      <c r="D7" s="215" t="n"/>
    </row>
    <row r="8" ht="14.45" customHeight="1">
      <c r="A8" s="276" t="inlineStr">
        <is>
          <t>Код показателя</t>
        </is>
      </c>
      <c r="B8" s="276" t="inlineStr">
        <is>
          <t>Наименование показателя</t>
        </is>
      </c>
      <c r="C8" s="276" t="inlineStr">
        <is>
          <t>Наименование РМ, входящих в состав показателя</t>
        </is>
      </c>
      <c r="D8" s="276" t="inlineStr">
        <is>
          <t>Норматив цены на 01.01.2023, тыс.руб.</t>
        </is>
      </c>
    </row>
    <row r="9" ht="15" customHeight="1">
      <c r="A9" s="330" t="n"/>
      <c r="B9" s="330" t="n"/>
      <c r="C9" s="330" t="n"/>
      <c r="D9" s="330" t="n"/>
    </row>
    <row r="10">
      <c r="A10" s="216" t="n">
        <v>1</v>
      </c>
      <c r="B10" s="216" t="n">
        <v>2</v>
      </c>
      <c r="C10" s="216" t="n">
        <v>3</v>
      </c>
      <c r="D10" s="216" t="n">
        <v>4</v>
      </c>
    </row>
    <row r="11" ht="41.45" customHeight="1">
      <c r="A11" s="216" t="inlineStr">
        <is>
          <t>И5-08-1</t>
        </is>
      </c>
      <c r="B11" s="216" t="inlineStr">
        <is>
          <t xml:space="preserve">УНЦ элементов ПС с устройством фундаментов </t>
        </is>
      </c>
      <c r="C11" s="217">
        <f>D5</f>
        <v/>
      </c>
      <c r="D11" s="218">
        <f>'Прил.4 РМ'!C41/1000</f>
        <v/>
      </c>
      <c r="E11" s="143" t="n"/>
    </row>
    <row r="12">
      <c r="A12" s="219" t="n"/>
      <c r="B12" s="220" t="n"/>
      <c r="C12" s="219" t="n"/>
      <c r="D12" s="219" t="n"/>
    </row>
    <row r="13">
      <c r="A13" s="215" t="inlineStr">
        <is>
          <t>Составил ______________________      Е. М. Добровольская</t>
        </is>
      </c>
      <c r="B13" s="221" t="n"/>
      <c r="C13" s="221" t="n"/>
      <c r="D13" s="219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6" zoomScale="60" zoomScaleNormal="85" workbookViewId="0">
      <selection activeCell="C26" sqref="C26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6" t="inlineStr">
        <is>
          <t>Приложение № 10</t>
        </is>
      </c>
    </row>
    <row r="5" ht="18.75" customHeight="1">
      <c r="B5" s="138" t="n"/>
    </row>
    <row r="6" ht="15.75" customHeight="1">
      <c r="B6" s="241" t="inlineStr">
        <is>
          <t>Используемые индексы изменений сметной стоимости и нормы сопутствующих затрат</t>
        </is>
      </c>
    </row>
    <row r="7">
      <c r="B7" s="277" t="inlineStr">
        <is>
          <t>*Стоимость ПНР принята на основании СД ОП</t>
        </is>
      </c>
    </row>
    <row r="8">
      <c r="B8" s="277" t="n"/>
      <c r="C8" s="277" t="n"/>
      <c r="D8" s="277" t="n"/>
      <c r="E8" s="277" t="n"/>
    </row>
    <row r="9" ht="47.25" customHeight="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>
      <c r="B10" s="242" t="n">
        <v>1</v>
      </c>
      <c r="C10" s="242" t="n">
        <v>2</v>
      </c>
      <c r="D10" s="242" t="n">
        <v>3</v>
      </c>
    </row>
    <row r="11" ht="45" customHeight="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13.47</v>
      </c>
    </row>
    <row r="13" ht="29.25" customHeight="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8.039999999999999</v>
      </c>
    </row>
    <row r="14" ht="30.75" customHeight="1">
      <c r="B14" s="242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2" t="n">
        <v>6.26</v>
      </c>
    </row>
    <row r="15" ht="89.25" customHeight="1">
      <c r="B15" s="242" t="inlineStr">
        <is>
          <t>Временные здания и сооружения</t>
        </is>
      </c>
      <c r="C15" s="24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2" t="inlineStr">
        <is>
          <t>Пусконаладочные работы*</t>
        </is>
      </c>
      <c r="C17" s="242" t="n"/>
      <c r="D17" s="242" t="inlineStr">
        <is>
          <t>Расчет</t>
        </is>
      </c>
    </row>
    <row r="18" ht="31.5" customHeight="1">
      <c r="B18" s="242" t="inlineStr">
        <is>
          <t>Строительный контроль</t>
        </is>
      </c>
      <c r="C18" s="242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2" t="inlineStr">
        <is>
          <t>Авторский надзор - 0,2%</t>
        </is>
      </c>
      <c r="C19" s="242" t="inlineStr">
        <is>
          <t>Приказ от 4.08.2020 № 421/пр п.173</t>
        </is>
      </c>
      <c r="D19" s="139" t="n">
        <v>0.002</v>
      </c>
    </row>
    <row r="20" ht="24" customHeight="1">
      <c r="B20" s="242" t="inlineStr">
        <is>
          <t>Непредвиденные расходы</t>
        </is>
      </c>
      <c r="C20" s="242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workbookViewId="0">
      <selection activeCell="G18" sqref="G1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4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42" t="n"/>
      <c r="D10" s="242" t="n"/>
      <c r="E10" s="132" t="n">
        <v>3.4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133" t="n">
        <v>1.247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23" t="inlineStr">
        <is>
          <t>Коэффициент инфляции, определяемый поквартально</t>
        </is>
      </c>
      <c r="C12" s="242" t="inlineStr">
        <is>
          <t>Кинф</t>
        </is>
      </c>
      <c r="D12" s="242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2" t="inlineStr">
        <is>
          <t>ФОТр.тек.</t>
        </is>
      </c>
      <c r="D13" s="242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  <row r="14">
      <c r="A14" s="201" t="n"/>
      <c r="B14" s="202" t="inlineStr">
        <is>
          <t>Инженер I категории</t>
        </is>
      </c>
      <c r="C14" s="201" t="n"/>
      <c r="D14" s="201" t="n"/>
      <c r="E14" s="201" t="n"/>
      <c r="F14" s="201" t="n"/>
    </row>
    <row r="15" ht="63.75" customHeight="1">
      <c r="A15" s="203" t="inlineStr">
        <is>
          <t>1.1</t>
        </is>
      </c>
      <c r="B15" s="20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5" t="inlineStr">
        <is>
          <t>С1ср</t>
        </is>
      </c>
      <c r="D15" s="205" t="inlineStr">
        <is>
          <t>-</t>
        </is>
      </c>
      <c r="E15" s="206" t="n">
        <v>47872.94</v>
      </c>
      <c r="F15" s="20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203" t="inlineStr">
        <is>
          <t>1.2</t>
        </is>
      </c>
      <c r="B16" s="204" t="inlineStr">
        <is>
          <t>Среднегодовое нормативное число часов работы одного рабочего в месяц, часы (ч.)</t>
        </is>
      </c>
      <c r="C16" s="205" t="inlineStr">
        <is>
          <t>tср</t>
        </is>
      </c>
      <c r="D16" s="205" t="inlineStr">
        <is>
          <t>1973ч/12мес.</t>
        </is>
      </c>
      <c r="E16" s="206">
        <f>1973/12</f>
        <v/>
      </c>
      <c r="F16" s="204" t="inlineStr">
        <is>
          <t>Производственный календарь 2023 год
(40-часов.неделя)</t>
        </is>
      </c>
    </row>
    <row r="17">
      <c r="A17" s="203" t="inlineStr">
        <is>
          <t>1.3</t>
        </is>
      </c>
      <c r="B17" s="204" t="inlineStr">
        <is>
          <t>Коэффициент увеличения</t>
        </is>
      </c>
      <c r="C17" s="205" t="inlineStr">
        <is>
          <t>Кув</t>
        </is>
      </c>
      <c r="D17" s="205" t="inlineStr">
        <is>
          <t>-</t>
        </is>
      </c>
      <c r="E17" s="206" t="n">
        <v>1</v>
      </c>
      <c r="F17" s="204" t="n"/>
    </row>
    <row r="18">
      <c r="A18" s="203" t="inlineStr">
        <is>
          <t>1.4</t>
        </is>
      </c>
      <c r="B18" s="204" t="inlineStr">
        <is>
          <t>Средний разряд работ</t>
        </is>
      </c>
      <c r="C18" s="205" t="n"/>
      <c r="D18" s="205" t="n"/>
      <c r="E18" s="207" t="n">
        <v>1</v>
      </c>
      <c r="F18" s="204" t="inlineStr">
        <is>
          <t>РТМ</t>
        </is>
      </c>
    </row>
    <row r="19" ht="51" customHeight="1">
      <c r="A19" s="203" t="inlineStr">
        <is>
          <t>1.5</t>
        </is>
      </c>
      <c r="B19" s="204" t="inlineStr">
        <is>
          <t>Тарифный коэффициент среднего разряда работ</t>
        </is>
      </c>
      <c r="C19" s="205" t="inlineStr">
        <is>
          <t>КТ</t>
        </is>
      </c>
      <c r="D19" s="205" t="inlineStr">
        <is>
          <t>-</t>
        </is>
      </c>
      <c r="E19" s="208" t="n">
        <v>2.15</v>
      </c>
      <c r="F19" s="20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203" t="inlineStr">
        <is>
          <t>1.6</t>
        </is>
      </c>
      <c r="B20" s="209" t="inlineStr">
        <is>
          <t>Коэффициент инфляции, определяемый поквартально</t>
        </is>
      </c>
      <c r="C20" s="205" t="inlineStr">
        <is>
          <t>Кинф</t>
        </is>
      </c>
      <c r="D20" s="205" t="inlineStr">
        <is>
          <t>-</t>
        </is>
      </c>
      <c r="E20" s="210" t="n">
        <v>1.139</v>
      </c>
      <c r="F20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203" t="inlineStr">
        <is>
          <t>1.7</t>
        </is>
      </c>
      <c r="B21" s="212" t="inlineStr">
        <is>
          <t>Размер средств на оплату труда рабочих-строителей в текущем уровне цен (ФОТи.тек.), руб/чел.-ч</t>
        </is>
      </c>
      <c r="C21" s="205" t="inlineStr">
        <is>
          <t>ФОТр.тек.</t>
        </is>
      </c>
      <c r="D21" s="205" t="inlineStr">
        <is>
          <t>(С1ср/tср*КТ*Т*Кув)*Кинф</t>
        </is>
      </c>
      <c r="E21" s="213">
        <f>((E15*E17/E16)*E19)*E20</f>
        <v/>
      </c>
      <c r="F21" s="20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201" t="n"/>
      <c r="B22" s="202" t="inlineStr">
        <is>
          <t>Инженер II категории</t>
        </is>
      </c>
      <c r="C22" s="201" t="n"/>
      <c r="D22" s="201" t="n"/>
      <c r="E22" s="201" t="n"/>
      <c r="F22" s="201" t="n"/>
    </row>
    <row r="23" ht="63.75" customHeight="1">
      <c r="A23" s="203" t="inlineStr">
        <is>
          <t>1.1</t>
        </is>
      </c>
      <c r="B23" s="20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05" t="inlineStr">
        <is>
          <t>С1ср</t>
        </is>
      </c>
      <c r="D23" s="205" t="inlineStr">
        <is>
          <t>-</t>
        </is>
      </c>
      <c r="E23" s="206" t="n">
        <v>47872.94</v>
      </c>
      <c r="F23" s="20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203" t="inlineStr">
        <is>
          <t>1.2</t>
        </is>
      </c>
      <c r="B24" s="204" t="inlineStr">
        <is>
          <t>Среднегодовое нормативное число часов работы одного рабочего в месяц, часы (ч.)</t>
        </is>
      </c>
      <c r="C24" s="205" t="inlineStr">
        <is>
          <t>tср</t>
        </is>
      </c>
      <c r="D24" s="205" t="inlineStr">
        <is>
          <t>1973ч/12мес.</t>
        </is>
      </c>
      <c r="E24" s="206">
        <f>1973/12</f>
        <v/>
      </c>
      <c r="F24" s="204" t="inlineStr">
        <is>
          <t>Производственный календарь 2023 год
(40-часов.неделя)</t>
        </is>
      </c>
    </row>
    <row r="25">
      <c r="A25" s="203" t="inlineStr">
        <is>
          <t>1.3</t>
        </is>
      </c>
      <c r="B25" s="204" t="inlineStr">
        <is>
          <t>Коэффициент увеличения</t>
        </is>
      </c>
      <c r="C25" s="205" t="inlineStr">
        <is>
          <t>Кув</t>
        </is>
      </c>
      <c r="D25" s="205" t="inlineStr">
        <is>
          <t>-</t>
        </is>
      </c>
      <c r="E25" s="206" t="n">
        <v>1</v>
      </c>
      <c r="F25" s="204" t="n"/>
    </row>
    <row r="26">
      <c r="A26" s="203" t="inlineStr">
        <is>
          <t>1.4</t>
        </is>
      </c>
      <c r="B26" s="204" t="inlineStr">
        <is>
          <t>Средний разряд работ</t>
        </is>
      </c>
      <c r="C26" s="205" t="n"/>
      <c r="D26" s="205" t="n"/>
      <c r="E26" s="207" t="n">
        <v>1</v>
      </c>
      <c r="F26" s="204" t="inlineStr">
        <is>
          <t>РТМ</t>
        </is>
      </c>
    </row>
    <row r="27" ht="51" customHeight="1">
      <c r="A27" s="203" t="inlineStr">
        <is>
          <t>1.5</t>
        </is>
      </c>
      <c r="B27" s="204" t="inlineStr">
        <is>
          <t>Тарифный коэффициент среднего разряда работ</t>
        </is>
      </c>
      <c r="C27" s="205" t="inlineStr">
        <is>
          <t>КТ</t>
        </is>
      </c>
      <c r="D27" s="205" t="inlineStr">
        <is>
          <t>-</t>
        </is>
      </c>
      <c r="E27" s="208" t="n">
        <v>1.96</v>
      </c>
      <c r="F27" s="20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203" t="inlineStr">
        <is>
          <t>1.6</t>
        </is>
      </c>
      <c r="B28" s="209" t="inlineStr">
        <is>
          <t>Коэффициент инфляции, определяемый поквартально</t>
        </is>
      </c>
      <c r="C28" s="205" t="inlineStr">
        <is>
          <t>Кинф</t>
        </is>
      </c>
      <c r="D28" s="205" t="inlineStr">
        <is>
          <t>-</t>
        </is>
      </c>
      <c r="E28" s="210" t="n">
        <v>1.139</v>
      </c>
      <c r="F28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203" t="inlineStr">
        <is>
          <t>1.7</t>
        </is>
      </c>
      <c r="B29" s="212" t="inlineStr">
        <is>
          <t>Размер средств на оплату труда рабочих-строителей в текущем уровне цен (ФОТи.тек.), руб/чел.-ч</t>
        </is>
      </c>
      <c r="C29" s="205" t="inlineStr">
        <is>
          <t>ФОТр.тек.</t>
        </is>
      </c>
      <c r="D29" s="205" t="inlineStr">
        <is>
          <t>(С1ср/tср*КТ*Т*Кув)*Кинф</t>
        </is>
      </c>
      <c r="E29" s="213">
        <f>((E23*E25/E24)*E27)*E28</f>
        <v/>
      </c>
      <c r="F29" s="20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2025-01-24T12:02:22Z</dcterms:modified>
  <cp:lastModifiedBy>Danil</cp:lastModifiedBy>
  <cp:lastPrinted>2023-11-28T08:19:28Z</cp:lastPrinted>
</cp:coreProperties>
</file>