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000" windowHeight="9735" tabRatio="891" firstSheet="5" activeTab="8" autoFilterDateGrouping="1"/>
  </bookViews>
  <sheets>
    <sheet name="Прил.1 Сравнит табл " sheetId="1" state="visible" r:id="rId1"/>
    <sheet name="Прил.2 Расч стоим 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 '!n_3=1,'Прил.1 Сравнит табл '!n_2,'Прил.1 Сравнит табл '!n_3&amp;'Прил.1 Сравнит табл '!n_1)</definedName>
    <definedName name="n1x" localSheetId="0">IF('Прил.1 Сравнит табл '!n_3=1,'Прил.1 Сравнит табл '!n_2,'Прил.1 Сравнит табл '!n_3&amp;'Прил.1 Сравнит табл 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й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йцйу3йк" localSheetId="0">#REF!</definedName>
    <definedName name="Ицпп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йки" localSheetId="0">#REF!</definedName>
    <definedName name="Наименование_строительства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Нсапк" localSheetId="0">#REF!</definedName>
    <definedName name="Нсстр" localSheetId="0">#REF!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 '!n_3=1,'Прил.2 Расч стоим '!n_2,'Прил.2 Расч стоим '!n_3&amp;'Прил.2 Расч стоим '!n_1)</definedName>
    <definedName name="n1x" localSheetId="1">IF('Прил.2 Расч стоим '!n_3=1,'Прил.2 Расч стоим '!n_2,'Прил.2 Расч стоим '!n_3&amp;'Прил.2 Расч стоим 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й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йцйу3йк" localSheetId="1">#REF!</definedName>
    <definedName name="Ицпп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йки" localSheetId="1">#REF!</definedName>
    <definedName name="Наименование_строительства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Нсапк" localSheetId="1">#REF!</definedName>
    <definedName name="Нсстр" localSheetId="1">#REF!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 '!$A$1:$J$25</definedName>
    <definedName name="_Toc132270799" localSheetId="2">Прил.3!$A$3</definedName>
    <definedName name="_xlnm.Print_Titles" localSheetId="2">'Прил.3'!$10:$12</definedName>
    <definedName name="_xlnm.Print_Area" localSheetId="2">'Прил.3'!$A$1:$H$65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РМ'!$B$6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_-* #,##0.0\ _₽_-;\-* #,##0.0\ _₽_-;_-* &quot;-&quot;??\ _₽_-;_-@_-"/>
    <numFmt numFmtId="171" formatCode="_-* #,##0.00\ _₽_-;\-* #,##0.00\ _₽_-;_-* &quot;-&quot;??\ _₽_-;_-@_-"/>
    <numFmt numFmtId="172" formatCode="0.000"/>
  </numFmts>
  <fonts count="35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Arial Cyr"/>
      <color rgb="FF0563C1"/>
      <sz val="10"/>
      <u val="single"/>
    </font>
    <font>
      <name val="Calibri"/>
      <charset val="204"/>
      <family val="2"/>
      <color rgb="FF0563C1"/>
      <sz val="11"/>
      <u val="single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E7E6E6"/>
      <sz val="11"/>
    </font>
    <font>
      <name val="Times New Roman"/>
      <charset val="204"/>
      <family val="1"/>
      <color rgb="FF000000"/>
      <sz val="11"/>
    </font>
    <font>
      <name val="Calibri"/>
      <charset val="204"/>
      <family val="2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0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Calibri"/>
      <charset val="204"/>
      <family val="2"/>
      <b val="1"/>
      <color rgb="FF000000"/>
      <sz val="11"/>
      <vertAlign val="subscript"/>
    </font>
    <font>
      <name val="Calibri"/>
      <charset val="204"/>
      <family val="2"/>
      <color rgb="FF000000"/>
      <sz val="11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3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left" vertical="center"/>
    </xf>
    <xf numFmtId="49" fontId="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10" fontId="19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vertical="top"/>
    </xf>
    <xf numFmtId="0" fontId="2" fillId="0" borderId="0" applyAlignment="1" pivotButton="0" quotePrefix="0" xfId="0">
      <alignment horizontal="center" vertical="center"/>
    </xf>
    <xf numFmtId="165" fontId="4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4" fontId="4" fillId="0" borderId="0" pivotButton="0" quotePrefix="0" xfId="0"/>
    <xf numFmtId="170" fontId="20" fillId="4" borderId="0" pivotButton="0" quotePrefix="0" xfId="0"/>
    <xf numFmtId="0" fontId="0" fillId="0" borderId="1" applyAlignment="1" pivotButton="0" quotePrefix="0" xfId="0">
      <alignment horizont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9" fillId="0" borderId="1" applyAlignment="1" pivotButton="0" quotePrefix="0" xfId="0">
      <alignment vertical="center" wrapText="1"/>
    </xf>
    <xf numFmtId="14" fontId="21" fillId="0" borderId="1" applyAlignment="1" pivotButton="0" quotePrefix="0" xfId="0">
      <alignment horizontal="center" vertical="center" wrapText="1"/>
    </xf>
    <xf numFmtId="2" fontId="21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22" fillId="0" borderId="1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19" fillId="0" borderId="0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left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24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0" fontId="24" fillId="0" borderId="0" applyAlignment="1" pivotButton="0" quotePrefix="0" xfId="0">
      <alignment wrapText="1"/>
    </xf>
    <xf numFmtId="49" fontId="19" fillId="0" borderId="1" applyAlignment="1" pivotButton="0" quotePrefix="0" xfId="0">
      <alignment horizontal="center" vertical="center" wrapText="1"/>
    </xf>
    <xf numFmtId="0" fontId="19" fillId="0" borderId="2" applyAlignment="1" pivotButton="0" quotePrefix="0" xfId="0">
      <alignment vertical="center" wrapText="1"/>
    </xf>
    <xf numFmtId="0" fontId="19" fillId="0" borderId="2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center"/>
    </xf>
    <xf numFmtId="0" fontId="0" fillId="0" borderId="0" pivotButton="0" quotePrefix="0" xfId="0"/>
    <xf numFmtId="0" fontId="19" fillId="0" borderId="1" applyAlignment="1" pivotButton="0" quotePrefix="0" xfId="0">
      <alignment vertical="center"/>
    </xf>
    <xf numFmtId="2" fontId="19" fillId="0" borderId="1" applyAlignment="1" pivotButton="0" quotePrefix="0" xfId="0">
      <alignment horizontal="right" vertical="center"/>
    </xf>
    <xf numFmtId="0" fontId="19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horizontal="right" vertical="center" wrapText="1"/>
    </xf>
    <xf numFmtId="2" fontId="25" fillId="0" borderId="1" applyAlignment="1" pivotButton="0" quotePrefix="0" xfId="0">
      <alignment vertical="center" wrapText="1"/>
    </xf>
    <xf numFmtId="0" fontId="25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2" fontId="25" fillId="0" borderId="1" applyAlignment="1" pivotButton="0" quotePrefix="0" xfId="0">
      <alignment horizontal="right" vertical="center" wrapText="1"/>
    </xf>
    <xf numFmtId="49" fontId="19" fillId="0" borderId="1" applyAlignment="1" pivotButton="0" quotePrefix="1" xfId="0">
      <alignment vertical="center"/>
    </xf>
    <xf numFmtId="0" fontId="0" fillId="0" borderId="0" pivotButton="0" quotePrefix="0" xfId="0"/>
    <xf numFmtId="0" fontId="0" fillId="0" borderId="0" pivotButton="0" quotePrefix="0" xfId="0"/>
    <xf numFmtId="171" fontId="0" fillId="0" borderId="0" pivotButton="0" quotePrefix="0" xfId="0"/>
    <xf numFmtId="172" fontId="19" fillId="0" borderId="1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3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horizontal="center" vertical="center"/>
    </xf>
    <xf numFmtId="0" fontId="15" fillId="0" borderId="12" applyAlignment="1" pivotButton="0" quotePrefix="0" xfId="0">
      <alignment horizontal="center" vertical="center" wrapText="1"/>
    </xf>
    <xf numFmtId="0" fontId="15" fillId="0" borderId="13" applyAlignment="1" pivotButton="0" quotePrefix="0" xfId="0">
      <alignment horizontal="center" vertical="center" wrapText="1"/>
    </xf>
    <xf numFmtId="0" fontId="15" fillId="0" borderId="14" applyAlignment="1" pivotButton="0" quotePrefix="0" xfId="0">
      <alignment horizontal="center" vertical="center" wrapText="1"/>
    </xf>
    <xf numFmtId="0" fontId="15" fillId="0" borderId="15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6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7" applyAlignment="1" pivotButton="0" quotePrefix="0" xfId="0">
      <alignment horizontal="center" vertical="center" wrapText="1"/>
    </xf>
    <xf numFmtId="0" fontId="15" fillId="0" borderId="18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/>
    </xf>
    <xf numFmtId="0" fontId="19" fillId="0" borderId="5" applyAlignment="1" pivotButton="0" quotePrefix="0" xfId="0">
      <alignment horizontal="center" vertical="center" wrapText="1"/>
    </xf>
    <xf numFmtId="0" fontId="19" fillId="0" borderId="19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2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5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6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20" applyAlignment="1" pivotButton="0" quotePrefix="0" xfId="0">
      <alignment horizontal="left" vertical="center" wrapText="1"/>
    </xf>
    <xf numFmtId="0" fontId="1" fillId="0" borderId="2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22" applyAlignment="1" pivotButton="0" quotePrefix="0" xfId="0">
      <alignment horizontal="center" wrapText="1"/>
    </xf>
    <xf numFmtId="0" fontId="0" fillId="0" borderId="23" applyAlignment="1" pivotButton="0" quotePrefix="0" xfId="0">
      <alignment horizontal="center" wrapText="1"/>
    </xf>
    <xf numFmtId="0" fontId="0" fillId="0" borderId="23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9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20" applyAlignment="1" pivotButton="0" quotePrefix="0" xfId="0">
      <alignment horizontal="center" vertical="center" wrapText="1"/>
    </xf>
    <xf numFmtId="0" fontId="0" fillId="4" borderId="21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21" pivotButton="0" quotePrefix="0" xfId="0"/>
    <xf numFmtId="0" fontId="0" fillId="0" borderId="19" pivotButton="0" quotePrefix="0" xfId="0"/>
    <xf numFmtId="0" fontId="0" fillId="0" borderId="4" pivotButton="0" quotePrefix="0" xfId="0"/>
    <xf numFmtId="0" fontId="2" fillId="0" borderId="19" applyAlignment="1" pivotButton="0" quotePrefix="0" xfId="0">
      <alignment horizontal="left" vertical="center" wrapText="1"/>
    </xf>
    <xf numFmtId="0" fontId="0" fillId="0" borderId="16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6">
    <outlinePr summaryBelow="1" summaryRight="1"/>
    <pageSetUpPr/>
  </sheetPr>
  <dimension ref="B3:E32"/>
  <sheetViews>
    <sheetView view="pageBreakPreview" topLeftCell="A22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199" min="1" max="2"/>
    <col width="36.85546875" customWidth="1" style="199" min="3" max="3"/>
    <col width="36.5703125" customWidth="1" style="199" min="4" max="4"/>
    <col width="37.42578125" customWidth="1" style="199" min="5" max="5"/>
    <col width="9.140625" customWidth="1" style="199" min="6" max="6"/>
    <col width="9.140625" customWidth="1" style="240" min="7" max="7"/>
  </cols>
  <sheetData>
    <row r="3">
      <c r="B3" s="251" t="inlineStr">
        <is>
          <t>Приложение № 1</t>
        </is>
      </c>
    </row>
    <row r="4">
      <c r="B4" s="255" t="inlineStr">
        <is>
          <t>Сравнительная таблица отбора объекта-представителя</t>
        </is>
      </c>
    </row>
    <row r="5">
      <c r="B5" s="200" t="n"/>
      <c r="C5" s="200" t="n"/>
      <c r="D5" s="200" t="n"/>
    </row>
    <row r="6">
      <c r="B6" s="200" t="n"/>
      <c r="C6" s="200" t="n"/>
      <c r="D6" s="200" t="n"/>
    </row>
    <row r="7" ht="37.5" customHeight="1" s="240">
      <c r="B7" s="250" t="inlineStr">
        <is>
          <t>Наименование разрабатываемого показателя УНЦ — Шинная опора на одну фазу с устройством фундамента напряжение 6-15 кВ</t>
        </is>
      </c>
      <c r="E7" s="202" t="n"/>
    </row>
    <row r="8" ht="31.5" customHeight="1" s="240">
      <c r="B8" s="250" t="inlineStr">
        <is>
          <t>Сопоставимый уровень цен: 3 кв 2021</t>
        </is>
      </c>
    </row>
    <row r="9">
      <c r="B9" s="250" t="inlineStr">
        <is>
          <t>Единица измерения  — 1 ед.</t>
        </is>
      </c>
      <c r="E9" s="202" t="n"/>
    </row>
    <row r="10">
      <c r="B10" s="250" t="n"/>
    </row>
    <row r="11">
      <c r="B11" s="267" t="inlineStr">
        <is>
          <t>№ п/п</t>
        </is>
      </c>
      <c r="C11" s="267" t="inlineStr">
        <is>
          <t>Параметр</t>
        </is>
      </c>
      <c r="D11" s="204" t="inlineStr">
        <is>
          <t>Объект-представитель 1</t>
        </is>
      </c>
      <c r="E11" s="202" t="n"/>
    </row>
    <row r="12" ht="47.25" customHeight="1" s="240">
      <c r="B12" s="267" t="n">
        <v>1</v>
      </c>
      <c r="C12" s="204" t="inlineStr">
        <is>
          <t>Наименование объекта-представителя</t>
        </is>
      </c>
      <c r="D12" s="267" t="inlineStr">
        <is>
          <t>Реконструкция ПС 35/10 кВ «Тульская» с заменой 2х4 МВА на 2х10 МВА</t>
        </is>
      </c>
    </row>
    <row r="13" ht="31.5" customHeight="1" s="240">
      <c r="B13" s="267" t="n">
        <v>2</v>
      </c>
      <c r="C13" s="204" t="inlineStr">
        <is>
          <t>Наименование субъекта Российской Федерации</t>
        </is>
      </c>
      <c r="D13" s="267" t="inlineStr">
        <is>
          <t>Республика Адыгея (Адыгея), МО "Майкопский район"</t>
        </is>
      </c>
    </row>
    <row r="14">
      <c r="B14" s="267" t="n">
        <v>3</v>
      </c>
      <c r="C14" s="204" t="inlineStr">
        <is>
          <t>Климатический район и подрайон</t>
        </is>
      </c>
      <c r="D14" s="267" t="inlineStr">
        <is>
          <t>IIIБ</t>
        </is>
      </c>
    </row>
    <row r="15">
      <c r="B15" s="267" t="n">
        <v>4</v>
      </c>
      <c r="C15" s="204" t="inlineStr">
        <is>
          <t>Мощность объекта</t>
        </is>
      </c>
      <c r="D15" s="267" t="n">
        <v>6</v>
      </c>
    </row>
    <row r="16" ht="94.5" customHeight="1" s="240">
      <c r="B16" s="267" t="n">
        <v>5</v>
      </c>
      <c r="C16" s="20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7" t="inlineStr">
        <is>
          <t>Шинная опора полимерная 10 кВ ШОП-10-2Л100-4 УХЛ1</t>
        </is>
      </c>
    </row>
    <row r="17" ht="78.75" customHeight="1" s="240">
      <c r="B17" s="267" t="n">
        <v>6</v>
      </c>
      <c r="C17" s="20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0">
        <f>SUM(D18:D21)</f>
        <v/>
      </c>
      <c r="E17" s="206" t="n"/>
    </row>
    <row r="18">
      <c r="B18" s="207" t="inlineStr">
        <is>
          <t>6.1</t>
        </is>
      </c>
      <c r="C18" s="204" t="inlineStr">
        <is>
          <t>строительно-монтажные работы</t>
        </is>
      </c>
      <c r="D18" s="220">
        <f>'Прил.2 Расч стоим '!F16+'Прил.2 Расч стоим '!G16</f>
        <v/>
      </c>
    </row>
    <row r="19" ht="15.75" customHeight="1" s="240">
      <c r="B19" s="207" t="inlineStr">
        <is>
          <t>6.2</t>
        </is>
      </c>
      <c r="C19" s="204" t="inlineStr">
        <is>
          <t>оборудование и инвентарь</t>
        </is>
      </c>
      <c r="D19" s="220" t="n">
        <v>0</v>
      </c>
    </row>
    <row r="20" ht="16.5" customHeight="1" s="240">
      <c r="B20" s="207" t="inlineStr">
        <is>
          <t>6.3</t>
        </is>
      </c>
      <c r="C20" s="204" t="inlineStr">
        <is>
          <t>пусконаладочные работы</t>
        </is>
      </c>
      <c r="D20" s="220" t="n">
        <v>0</v>
      </c>
    </row>
    <row r="21">
      <c r="B21" s="207" t="inlineStr">
        <is>
          <t>6.4</t>
        </is>
      </c>
      <c r="C21" s="208" t="inlineStr">
        <is>
          <t>прочие и лимитированные затраты</t>
        </is>
      </c>
      <c r="D21" s="220">
        <f>D18*3.9%*0.8+(D18*3.9%*0.8+D18)*0.6%</f>
        <v/>
      </c>
    </row>
    <row r="22">
      <c r="B22" s="267" t="n">
        <v>7</v>
      </c>
      <c r="C22" s="208" t="inlineStr">
        <is>
          <t>Сопоставимый уровень цен</t>
        </is>
      </c>
      <c r="D22" s="267" t="inlineStr">
        <is>
          <t>3 кв 2021</t>
        </is>
      </c>
      <c r="E22" s="206" t="n"/>
    </row>
    <row r="23" ht="110.25" customHeight="1" s="240">
      <c r="B23" s="267" t="n">
        <v>8</v>
      </c>
      <c r="C23" s="20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0">
        <f>D17</f>
        <v/>
      </c>
    </row>
    <row r="24" ht="47.25" customHeight="1" s="240">
      <c r="B24" s="267" t="n">
        <v>9</v>
      </c>
      <c r="C24" s="205" t="inlineStr">
        <is>
          <t>Приведенная сметная стоимость на единицу мощности, тыс. руб. (строка 8/строку 4)</t>
        </is>
      </c>
      <c r="D24" s="220">
        <f>D23/D15</f>
        <v/>
      </c>
      <c r="E24" s="206" t="n"/>
    </row>
    <row r="25">
      <c r="B25" s="267" t="n">
        <v>10</v>
      </c>
      <c r="C25" s="204" t="inlineStr">
        <is>
          <t>Примечание</t>
        </is>
      </c>
      <c r="D25" s="204" t="n"/>
    </row>
    <row r="26">
      <c r="B26" s="265" t="n"/>
      <c r="C26" s="211" t="n"/>
      <c r="D26" s="211" t="n"/>
    </row>
    <row r="27" ht="37.5" customHeight="1" s="240">
      <c r="B27" s="212" t="n"/>
    </row>
    <row r="28">
      <c r="B28" s="199" t="inlineStr">
        <is>
          <t>Составил ______________________        Е. М. Добровольская</t>
        </is>
      </c>
    </row>
    <row r="29">
      <c r="B29" s="212" t="inlineStr">
        <is>
          <t xml:space="preserve">                         (подпись, инициалы, фамилия)</t>
        </is>
      </c>
    </row>
    <row r="31">
      <c r="B31" s="199" t="inlineStr">
        <is>
          <t>Проверил ______________________        А.В. Костянецкая</t>
        </is>
      </c>
    </row>
    <row r="32">
      <c r="B32" s="212" t="inlineStr">
        <is>
          <t xml:space="preserve">                        (подпись, инициалы, фамилия)</t>
        </is>
      </c>
    </row>
  </sheetData>
  <mergeCells count="5">
    <mergeCell ref="B3:D3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6"/>
</worksheet>
</file>

<file path=xl/worksheets/sheet2.xml><?xml version="1.0" encoding="utf-8"?>
<worksheet xmlns="http://schemas.openxmlformats.org/spreadsheetml/2006/main">
  <sheetPr codeName="Лист7">
    <outlinePr summaryBelow="1" summaryRight="1"/>
    <pageSetUpPr/>
  </sheetPr>
  <dimension ref="B3:R25"/>
  <sheetViews>
    <sheetView view="pageBreakPreview" topLeftCell="A7" zoomScaleNormal="70" workbookViewId="0">
      <selection activeCell="B21" sqref="B21"/>
    </sheetView>
  </sheetViews>
  <sheetFormatPr baseColWidth="8" defaultColWidth="9.140625" defaultRowHeight="15.75"/>
  <cols>
    <col width="5.5703125" customWidth="1" style="199" min="1" max="1"/>
    <col width="9.140625" customWidth="1" style="199" min="2" max="2"/>
    <col width="35.28515625" customWidth="1" style="199" min="3" max="3"/>
    <col width="13.85546875" customWidth="1" style="199" min="4" max="4"/>
    <col width="24.85546875" customWidth="1" style="199" min="5" max="5"/>
    <col width="15.5703125" customWidth="1" style="199" min="6" max="6"/>
    <col width="14.85546875" customWidth="1" style="199" min="7" max="7"/>
    <col width="16.7109375" customWidth="1" style="199" min="8" max="8"/>
    <col width="13" customWidth="1" style="199" min="9" max="10"/>
    <col width="18" customWidth="1" style="199" min="11" max="11"/>
    <col width="9.140625" customWidth="1" style="199" min="12" max="12"/>
    <col width="9.140625" customWidth="1" style="240" min="13" max="13"/>
  </cols>
  <sheetData>
    <row r="3">
      <c r="B3" s="251" t="inlineStr">
        <is>
          <t>Приложение № 2</t>
        </is>
      </c>
      <c r="K3" s="212" t="n"/>
    </row>
    <row r="4">
      <c r="B4" s="255" t="inlineStr">
        <is>
          <t>Расчет стоимости основных видов работ для выбора объекта-представителя</t>
        </is>
      </c>
    </row>
    <row r="5"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</row>
    <row r="6" ht="15.75" customHeight="1" s="240">
      <c r="B6" s="268" t="inlineStr">
        <is>
          <t>Наименование разрабатываемого показателя УНЦ —   Шинная опора на одну фазу с устройством фундамента напряжение 6-15 кВ</t>
        </is>
      </c>
      <c r="K6" s="212" t="n"/>
      <c r="L6" s="202" t="n"/>
    </row>
    <row r="7">
      <c r="B7" s="250">
        <f>'Прил.1 Сравнит табл '!B9:D9</f>
        <v/>
      </c>
      <c r="L7" s="202" t="n"/>
    </row>
    <row r="8">
      <c r="B8" s="250" t="n"/>
    </row>
    <row r="9">
      <c r="B9" s="267" t="inlineStr">
        <is>
          <t>№ п/п</t>
        </is>
      </c>
      <c r="C9" s="26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7" t="inlineStr">
        <is>
          <t>Объект-представитель 1</t>
        </is>
      </c>
      <c r="E9" s="347" t="n"/>
      <c r="F9" s="347" t="n"/>
      <c r="G9" s="347" t="n"/>
      <c r="H9" s="347" t="n"/>
      <c r="I9" s="347" t="n"/>
      <c r="J9" s="348" t="n"/>
    </row>
    <row r="10">
      <c r="B10" s="349" t="n"/>
      <c r="C10" s="349" t="n"/>
      <c r="D10" s="267" t="inlineStr">
        <is>
          <t>Номер сметы</t>
        </is>
      </c>
      <c r="E10" s="267" t="inlineStr">
        <is>
          <t>Наименование сметы</t>
        </is>
      </c>
      <c r="F10" s="267" t="inlineStr">
        <is>
          <t>Сметная стоимость в уровне цен 3 кв. 2021 г., тыс. руб.</t>
        </is>
      </c>
      <c r="G10" s="347" t="n"/>
      <c r="H10" s="347" t="n"/>
      <c r="I10" s="347" t="n"/>
      <c r="J10" s="348" t="n"/>
    </row>
    <row r="11" ht="31.5" customHeight="1" s="240">
      <c r="B11" s="350" t="n"/>
      <c r="C11" s="350" t="n"/>
      <c r="D11" s="350" t="n"/>
      <c r="E11" s="350" t="n"/>
      <c r="F11" s="267" t="inlineStr">
        <is>
          <t>Строительные работы</t>
        </is>
      </c>
      <c r="G11" s="267" t="inlineStr">
        <is>
          <t>Монтажные работы</t>
        </is>
      </c>
      <c r="H11" s="267" t="inlineStr">
        <is>
          <t>Оборудование</t>
        </is>
      </c>
      <c r="I11" s="267" t="inlineStr">
        <is>
          <t>Прочее</t>
        </is>
      </c>
      <c r="J11" s="267" t="inlineStr">
        <is>
          <t>Всего</t>
        </is>
      </c>
    </row>
    <row r="12" ht="31.5" customHeight="1" s="240">
      <c r="B12" s="214" t="n">
        <v>1</v>
      </c>
      <c r="C12" s="267">
        <f>'Прил.1 Сравнит табл '!D16</f>
        <v/>
      </c>
      <c r="D12" s="238" t="inlineStr">
        <is>
          <t>02-01-01</t>
        </is>
      </c>
      <c r="E12" s="204" t="inlineStr">
        <is>
          <t>Архитектурно-строительные решения</t>
        </is>
      </c>
      <c r="F12" s="242" t="n">
        <v>117.131947282</v>
      </c>
      <c r="G12" s="242" t="n"/>
      <c r="H12" s="242" t="n"/>
      <c r="I12" s="216" t="n"/>
      <c r="J12" s="217">
        <f>SUM(F12:I12)</f>
        <v/>
      </c>
    </row>
    <row r="13" ht="31.5" customHeight="1" s="240">
      <c r="B13" s="214" t="n">
        <v>2</v>
      </c>
      <c r="C13" s="349" t="n"/>
      <c r="D13" s="238" t="inlineStr">
        <is>
          <t>02-01-02</t>
        </is>
      </c>
      <c r="E13" s="204" t="inlineStr">
        <is>
          <t>Электротехнические решения</t>
        </is>
      </c>
      <c r="F13" s="242" t="n"/>
      <c r="G13" s="242" t="n">
        <v>55.5233776</v>
      </c>
      <c r="H13" s="242" t="n">
        <v>41.7196824</v>
      </c>
      <c r="I13" s="216" t="n"/>
      <c r="J13" s="217">
        <f>SUM(F13:I13)</f>
        <v/>
      </c>
    </row>
    <row r="14">
      <c r="B14" s="214" t="n">
        <v>3</v>
      </c>
      <c r="C14" s="350" t="n"/>
      <c r="D14" s="238" t="inlineStr">
        <is>
          <t>02-01-04</t>
        </is>
      </c>
      <c r="E14" s="204" t="inlineStr">
        <is>
          <t>Вторичные соединения</t>
        </is>
      </c>
      <c r="F14" s="215" t="n"/>
      <c r="G14" s="216">
        <f>4625/1000</f>
        <v/>
      </c>
      <c r="H14" s="216" t="n"/>
      <c r="I14" s="216" t="n"/>
      <c r="J14" s="217">
        <f>SUM(F14:I14)</f>
        <v/>
      </c>
    </row>
    <row r="15">
      <c r="B15" s="266" t="inlineStr">
        <is>
          <t>Всего по объекту:</t>
        </is>
      </c>
      <c r="C15" s="347" t="n"/>
      <c r="D15" s="347" t="n"/>
      <c r="E15" s="348" t="n"/>
      <c r="F15" s="218">
        <f>SUM(F12:F14)</f>
        <v/>
      </c>
      <c r="G15" s="218">
        <f>SUM(G12:G14)</f>
        <v/>
      </c>
      <c r="H15" s="218">
        <f>SUM(H12:H14)</f>
        <v/>
      </c>
      <c r="I15" s="219" t="n"/>
      <c r="J15" s="237">
        <f>SUM(F15:I15)</f>
        <v/>
      </c>
    </row>
    <row r="16">
      <c r="B16" s="266" t="inlineStr">
        <is>
          <t>Всего по объекту в сопоставимом уровне цен 3 кв. 2021 г:</t>
        </is>
      </c>
      <c r="C16" s="347" t="n"/>
      <c r="D16" s="347" t="n"/>
      <c r="E16" s="348" t="n"/>
      <c r="F16" s="218">
        <f>F15</f>
        <v/>
      </c>
      <c r="G16" s="218">
        <f>G15</f>
        <v/>
      </c>
      <c r="H16" s="218">
        <f>H15</f>
        <v/>
      </c>
      <c r="I16" s="218">
        <f>'Прил.1 Сравнит табл '!D21</f>
        <v/>
      </c>
      <c r="J16" s="237">
        <f>SUM(F16:I16)</f>
        <v/>
      </c>
    </row>
    <row r="17">
      <c r="B17" s="250" t="n"/>
    </row>
    <row r="20"/>
    <row r="21">
      <c r="B21" s="199" t="inlineStr">
        <is>
          <t>Составил ______________________        Е. М. Добровольская</t>
        </is>
      </c>
    </row>
    <row r="22">
      <c r="B22" s="212" t="inlineStr">
        <is>
          <t xml:space="preserve">                         (подпись, инициалы, фамилия)</t>
        </is>
      </c>
    </row>
    <row r="24">
      <c r="B24" s="199" t="inlineStr">
        <is>
          <t>Проверил ______________________        А.В. Костянецкая</t>
        </is>
      </c>
    </row>
    <row r="25">
      <c r="B25" s="212" t="inlineStr">
        <is>
          <t xml:space="preserve">                        (подпись, инициалы, фамилия)</t>
        </is>
      </c>
    </row>
  </sheetData>
  <mergeCells count="13">
    <mergeCell ref="B3:J3"/>
    <mergeCell ref="D10:D11"/>
    <mergeCell ref="C12:C14"/>
    <mergeCell ref="B4:K4"/>
    <mergeCell ref="D9:J9"/>
    <mergeCell ref="F10:J10"/>
    <mergeCell ref="B16:E16"/>
    <mergeCell ref="B15:E15"/>
    <mergeCell ref="B6:J6"/>
    <mergeCell ref="B7:K7"/>
    <mergeCell ref="B9:B11"/>
    <mergeCell ref="E10:E11"/>
    <mergeCell ref="C9:C11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 codeName="Лист8">
    <outlinePr summaryBelow="1" summaryRight="1"/>
    <pageSetUpPr fitToPage="1"/>
  </sheetPr>
  <dimension ref="A2:I65"/>
  <sheetViews>
    <sheetView view="pageBreakPreview" topLeftCell="A52" workbookViewId="0">
      <selection activeCell="E62" sqref="E62"/>
    </sheetView>
  </sheetViews>
  <sheetFormatPr baseColWidth="8" defaultRowHeight="15"/>
  <cols>
    <col width="11.140625" customWidth="1" style="240" min="1" max="1"/>
    <col width="14.7109375" customWidth="1" style="240" min="2" max="2"/>
    <col width="17" customWidth="1" style="240" min="3" max="3"/>
    <col width="49.7109375" customWidth="1" style="240" min="4" max="4"/>
    <col width="16.28515625" customWidth="1" style="240" min="5" max="5"/>
    <col width="20.7109375" customWidth="1" style="240" min="6" max="6"/>
    <col width="16.140625" customWidth="1" style="240" min="7" max="7"/>
    <col width="16.7109375" customWidth="1" style="240" min="8" max="8"/>
    <col width="13.140625" customWidth="1" style="240" min="9" max="9"/>
  </cols>
  <sheetData>
    <row r="2" ht="15.75" customHeight="1" s="240">
      <c r="A2" s="251" t="inlineStr">
        <is>
          <t xml:space="preserve">Приложение № 3 </t>
        </is>
      </c>
    </row>
    <row r="3" ht="18.75" customHeight="1" s="240">
      <c r="A3" s="252" t="inlineStr">
        <is>
          <t>Объектная ресурсная ведомость</t>
        </is>
      </c>
    </row>
    <row r="4">
      <c r="B4" s="148" t="n"/>
    </row>
    <row r="5" s="240">
      <c r="B5" s="148" t="n"/>
    </row>
    <row r="6" ht="18.75" customHeight="1" s="240">
      <c r="A6" s="252" t="n"/>
      <c r="B6" s="252" t="n"/>
      <c r="C6" s="275" t="n"/>
    </row>
    <row r="7" ht="32.25" customHeight="1" s="240">
      <c r="A7" s="212">
        <f>'Прил.1 Сравнит табл '!B7</f>
        <v/>
      </c>
      <c r="B7" s="223" t="n"/>
      <c r="C7" s="223" t="n"/>
      <c r="D7" s="223" t="n"/>
      <c r="E7" s="223" t="n"/>
      <c r="F7" s="223" t="n"/>
      <c r="G7" s="223" t="n"/>
      <c r="H7" s="223" t="n"/>
    </row>
    <row r="8" ht="21.75" customHeight="1" s="240">
      <c r="A8" s="268" t="n"/>
      <c r="B8" s="268" t="n"/>
      <c r="C8" s="268" t="n"/>
      <c r="D8" s="268" t="n"/>
      <c r="E8" s="268" t="n"/>
      <c r="F8" s="268" t="n"/>
      <c r="G8" s="268" t="n"/>
      <c r="H8" s="153" t="n"/>
    </row>
    <row r="9" ht="38.25" customHeight="1" s="240">
      <c r="A9" s="267" t="inlineStr">
        <is>
          <t>п/п</t>
        </is>
      </c>
      <c r="B9" s="267" t="inlineStr">
        <is>
          <t>№ЛСР</t>
        </is>
      </c>
      <c r="C9" s="267" t="inlineStr">
        <is>
          <t>Код ресурса</t>
        </is>
      </c>
      <c r="D9" s="267" t="inlineStr">
        <is>
          <t>Наименование ресурса</t>
        </is>
      </c>
      <c r="E9" s="267" t="inlineStr">
        <is>
          <t>Ед. изм.</t>
        </is>
      </c>
      <c r="F9" s="267" t="inlineStr">
        <is>
          <t>Кол-во единиц по данным объекта-представителя</t>
        </is>
      </c>
      <c r="G9" s="267" t="inlineStr">
        <is>
          <t>Сметная стоимость в ценах на 01.01.2000 (руб.)</t>
        </is>
      </c>
      <c r="H9" s="348" t="n"/>
    </row>
    <row r="10" ht="15.75" customHeight="1" s="240">
      <c r="A10" s="350" t="n"/>
      <c r="B10" s="350" t="n"/>
      <c r="C10" s="350" t="n"/>
      <c r="D10" s="350" t="n"/>
      <c r="E10" s="350" t="n"/>
      <c r="F10" s="350" t="n"/>
      <c r="G10" s="267" t="inlineStr">
        <is>
          <t>на ед.изм.</t>
        </is>
      </c>
      <c r="H10" s="267" t="inlineStr">
        <is>
          <t>общая</t>
        </is>
      </c>
    </row>
    <row r="11" ht="15.75" customHeight="1" s="240">
      <c r="A11" s="267" t="n">
        <v>1</v>
      </c>
      <c r="B11" s="146" t="n"/>
      <c r="C11" s="267" t="n">
        <v>2</v>
      </c>
      <c r="D11" s="267" t="inlineStr">
        <is>
          <t>З</t>
        </is>
      </c>
      <c r="E11" s="267" t="n">
        <v>4</v>
      </c>
      <c r="F11" s="267" t="n">
        <v>5</v>
      </c>
      <c r="G11" s="146" t="n">
        <v>6</v>
      </c>
      <c r="H11" s="146" t="n">
        <v>7</v>
      </c>
    </row>
    <row r="12" ht="15" customHeight="1" s="240">
      <c r="A12" s="273" t="inlineStr">
        <is>
          <t>Затраты труда рабочих</t>
        </is>
      </c>
      <c r="B12" s="347" t="n"/>
      <c r="C12" s="347" t="n"/>
      <c r="D12" s="347" t="n"/>
      <c r="E12" s="347" t="n"/>
      <c r="F12" s="147">
        <f>SUM(F13:F16)</f>
        <v/>
      </c>
      <c r="G12" s="10" t="n"/>
      <c r="H12" s="147">
        <f>SUM(H13:H16)</f>
        <v/>
      </c>
    </row>
    <row r="13">
      <c r="A13" s="140" t="n">
        <v>1</v>
      </c>
      <c r="B13" s="154" t="n"/>
      <c r="C13" s="140" t="inlineStr">
        <is>
          <t>1-4-1</t>
        </is>
      </c>
      <c r="D13" s="141" t="inlineStr">
        <is>
          <t>Затраты труда рабочих (ср 4,1)</t>
        </is>
      </c>
      <c r="E13" s="297" t="inlineStr">
        <is>
          <t>чел.-ч</t>
        </is>
      </c>
      <c r="F13" s="143" t="n">
        <v>15.6180416</v>
      </c>
      <c r="G13" s="143" t="n">
        <v>9.76</v>
      </c>
      <c r="H13" s="143">
        <f>ROUND(F13*G13,2)</f>
        <v/>
      </c>
    </row>
    <row r="14">
      <c r="A14" s="144">
        <f>A13+1</f>
        <v/>
      </c>
      <c r="B14" s="154" t="n"/>
      <c r="C14" s="140" t="inlineStr">
        <is>
          <t>1-4-0</t>
        </is>
      </c>
      <c r="D14" s="141" t="inlineStr">
        <is>
          <t>Затраты труда рабочих (ср 4)</t>
        </is>
      </c>
      <c r="E14" s="297" t="inlineStr">
        <is>
          <t>чел.-ч</t>
        </is>
      </c>
      <c r="F14" s="143" t="n">
        <v>26.78</v>
      </c>
      <c r="G14" s="143" t="n">
        <v>9.619999999999999</v>
      </c>
      <c r="H14" s="143">
        <f>ROUND(F14*G14,2)</f>
        <v/>
      </c>
    </row>
    <row r="15">
      <c r="A15" s="144">
        <f>A14+1</f>
        <v/>
      </c>
      <c r="B15" s="154" t="n"/>
      <c r="C15" s="140" t="inlineStr">
        <is>
          <t>1-3-8</t>
        </is>
      </c>
      <c r="D15" s="141" t="inlineStr">
        <is>
          <t>Затраты труда рабочих (ср 3,8)</t>
        </is>
      </c>
      <c r="E15" s="297" t="inlineStr">
        <is>
          <t>чел.-ч</t>
        </is>
      </c>
      <c r="F15" s="143" t="n">
        <v>7.424</v>
      </c>
      <c r="G15" s="143" t="n">
        <v>9.4</v>
      </c>
      <c r="H15" s="143">
        <f>ROUND(F15*G15,2)</f>
        <v/>
      </c>
    </row>
    <row r="16">
      <c r="A16" s="144">
        <f>A15+1</f>
        <v/>
      </c>
      <c r="B16" s="154" t="n"/>
      <c r="C16" s="140" t="inlineStr">
        <is>
          <t>1-3-6</t>
        </is>
      </c>
      <c r="D16" s="141" t="inlineStr">
        <is>
          <t>Затраты труда рабочих (ср 3,6)</t>
        </is>
      </c>
      <c r="E16" s="297" t="inlineStr">
        <is>
          <t>чел.-ч</t>
        </is>
      </c>
      <c r="F16" s="143" t="n">
        <v>1.024</v>
      </c>
      <c r="G16" s="143" t="n">
        <v>9.18</v>
      </c>
      <c r="H16" s="143">
        <f>ROUND(F16*G16,2)</f>
        <v/>
      </c>
    </row>
    <row r="17" ht="15" customHeight="1" s="240">
      <c r="A17" s="272" t="inlineStr">
        <is>
          <t>Затраты труда машинистов</t>
        </is>
      </c>
      <c r="B17" s="347" t="n"/>
      <c r="C17" s="347" t="n"/>
      <c r="D17" s="347" t="n"/>
      <c r="E17" s="348" t="n"/>
      <c r="F17" s="143" t="n"/>
      <c r="G17" s="10" t="n"/>
      <c r="H17" s="147">
        <f>H18</f>
        <v/>
      </c>
    </row>
    <row r="18">
      <c r="A18" s="144">
        <f>A16+1</f>
        <v/>
      </c>
      <c r="B18" s="154" t="n"/>
      <c r="C18" s="140" t="n">
        <v>2</v>
      </c>
      <c r="D18" s="141" t="inlineStr">
        <is>
          <t>Затраты труда машинистов</t>
        </is>
      </c>
      <c r="E18" s="297" t="inlineStr">
        <is>
          <t>чел.-ч</t>
        </is>
      </c>
      <c r="F18" s="143" t="n">
        <v>17.2199972</v>
      </c>
      <c r="G18" s="143" t="n"/>
      <c r="H18" t="n">
        <v>203.35</v>
      </c>
    </row>
    <row r="19" ht="15" customHeight="1" s="240">
      <c r="A19" s="272" t="inlineStr">
        <is>
          <t>Машины и механизмы</t>
        </is>
      </c>
      <c r="B19" s="347" t="n"/>
      <c r="C19" s="347" t="n"/>
      <c r="D19" s="347" t="n"/>
      <c r="E19" s="348" t="n"/>
      <c r="F19" s="143" t="n"/>
      <c r="G19" s="10" t="n"/>
      <c r="H19" s="147">
        <f>SUM(H20:H33)</f>
        <v/>
      </c>
    </row>
    <row r="20">
      <c r="A20" s="140">
        <f>A18+1</f>
        <v/>
      </c>
      <c r="B20" s="154" t="n"/>
      <c r="C20" s="140" t="inlineStr">
        <is>
          <t>91.05.05-015</t>
        </is>
      </c>
      <c r="D20" s="141" t="inlineStr">
        <is>
          <t>Краны на автомобильном ходу, грузоподъемность 16 т</t>
        </is>
      </c>
      <c r="E20" s="297" t="inlineStr">
        <is>
          <t>маш.час</t>
        </is>
      </c>
      <c r="F20" s="143" t="n">
        <v>6.8511676</v>
      </c>
      <c r="G20" s="145" t="n">
        <v>115.4</v>
      </c>
      <c r="H20" s="143">
        <f>ROUND(F20*G20,2)</f>
        <v/>
      </c>
    </row>
    <row r="21" ht="25.5" customHeight="1" s="240">
      <c r="A21" s="140">
        <f>A20+1</f>
        <v/>
      </c>
      <c r="B21" s="154" t="n"/>
      <c r="C21" s="140" t="inlineStr">
        <is>
          <t>91.04.01-031</t>
        </is>
      </c>
      <c r="D21" s="141" t="inlineStr">
        <is>
          <t>Машины бурильно-крановые на автомобиле, глубина бурения 3,5 м</t>
        </is>
      </c>
      <c r="E21" s="297" t="inlineStr">
        <is>
          <t>маш.час</t>
        </is>
      </c>
      <c r="F21" s="143" t="n">
        <v>2.14</v>
      </c>
      <c r="G21" s="145" t="n">
        <v>138.54</v>
      </c>
      <c r="H21" s="143">
        <f>ROUND(F21*G21,2)</f>
        <v/>
      </c>
    </row>
    <row r="22">
      <c r="A22" s="140">
        <f>A21+1</f>
        <v/>
      </c>
      <c r="B22" s="154" t="n"/>
      <c r="C22" s="140" t="inlineStr">
        <is>
          <t>91.06.06-042</t>
        </is>
      </c>
      <c r="D22" s="141" t="inlineStr">
        <is>
          <t>Подъемники гидравлические, высота подъема 10 м</t>
        </is>
      </c>
      <c r="E22" s="297" t="inlineStr">
        <is>
          <t>маш.час</t>
        </is>
      </c>
      <c r="F22" s="143" t="n">
        <v>5.31</v>
      </c>
      <c r="G22" s="145" t="n">
        <v>29.6</v>
      </c>
      <c r="H22" s="143">
        <f>ROUND(F22*G22,2)</f>
        <v/>
      </c>
    </row>
    <row r="23" ht="38.25" customHeight="1" s="240">
      <c r="A23" s="140">
        <f>A22+1</f>
        <v/>
      </c>
      <c r="B23" s="154" t="n"/>
      <c r="C23" s="140" t="inlineStr">
        <is>
          <t>91.18.01-007</t>
        </is>
      </c>
      <c r="D23" s="14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3" s="297" t="inlineStr">
        <is>
          <t>маш.час</t>
        </is>
      </c>
      <c r="F23" s="143" t="n">
        <v>1.504</v>
      </c>
      <c r="G23" s="145" t="n">
        <v>90</v>
      </c>
      <c r="H23" s="143">
        <f>ROUND(F23*G23,2)</f>
        <v/>
      </c>
    </row>
    <row r="24">
      <c r="A24" s="140">
        <f>A23+1</f>
        <v/>
      </c>
      <c r="B24" s="154" t="n"/>
      <c r="C24" s="140" t="inlineStr">
        <is>
          <t>91.05.06-012</t>
        </is>
      </c>
      <c r="D24" s="141" t="inlineStr">
        <is>
          <t>Краны на гусеничном ходу, грузоподъемность до 16 т</t>
        </is>
      </c>
      <c r="E24" s="297" t="inlineStr">
        <is>
          <t>маш.час</t>
        </is>
      </c>
      <c r="F24" s="143" t="n">
        <v>0.5600000000000001</v>
      </c>
      <c r="G24" s="145" t="n">
        <v>96.89</v>
      </c>
      <c r="H24" s="143">
        <f>ROUND(F24*G24,2)</f>
        <v/>
      </c>
    </row>
    <row r="25">
      <c r="A25" s="140">
        <f>A24+1</f>
        <v/>
      </c>
      <c r="B25" s="154" t="n"/>
      <c r="C25" s="140" t="inlineStr">
        <is>
          <t>91.14.02-001</t>
        </is>
      </c>
      <c r="D25" s="141" t="inlineStr">
        <is>
          <t>Автомобили бортовые, грузоподъемность до 5 т</t>
        </is>
      </c>
      <c r="E25" s="297" t="inlineStr">
        <is>
          <t>маш.час</t>
        </is>
      </c>
      <c r="F25" s="143" t="n">
        <v>0.8120000000000001</v>
      </c>
      <c r="G25" s="145" t="n">
        <v>65.70999999999999</v>
      </c>
      <c r="H25" s="143">
        <f>ROUND(F25*G25,2)</f>
        <v/>
      </c>
    </row>
    <row r="26" ht="25.5" customHeight="1" s="240">
      <c r="A26" s="140">
        <f>A25+1</f>
        <v/>
      </c>
      <c r="B26" s="154" t="n"/>
      <c r="C26" s="140" t="inlineStr">
        <is>
          <t>91.17.04-036</t>
        </is>
      </c>
      <c r="D26" s="141" t="inlineStr">
        <is>
          <t>Агрегаты сварочные передвижные с дизельным двигателем, номинальный сварочный ток 250-400 А</t>
        </is>
      </c>
      <c r="E26" s="297" t="inlineStr">
        <is>
          <t>маш.час</t>
        </is>
      </c>
      <c r="F26" s="143" t="n">
        <v>1.9599944</v>
      </c>
      <c r="G26" s="145" t="n">
        <v>14</v>
      </c>
      <c r="H26" s="143">
        <f>ROUND(F26*G26,2)</f>
        <v/>
      </c>
    </row>
    <row r="27" ht="25.5" customHeight="1" s="240">
      <c r="A27" s="140">
        <f>A26+1</f>
        <v/>
      </c>
      <c r="B27" s="154" t="n"/>
      <c r="C27" s="140" t="inlineStr">
        <is>
          <t>91.19.06-011</t>
        </is>
      </c>
      <c r="D27" s="141" t="inlineStr">
        <is>
          <t>Насосы грязевые, подача 23,4-65,3 м3/ч, давление нагнетания 15,7-5,88 МПа (160-60 кгс/см2)</t>
        </is>
      </c>
      <c r="E27" s="297" t="inlineStr">
        <is>
          <t>маш.час</t>
        </is>
      </c>
      <c r="F27" s="143" t="n">
        <v>0.336</v>
      </c>
      <c r="G27" s="145" t="n">
        <v>32.71</v>
      </c>
      <c r="H27" s="143">
        <f>ROUND(F27*G27,2)</f>
        <v/>
      </c>
    </row>
    <row r="28" ht="25.5" customHeight="1" s="240">
      <c r="A28" s="140">
        <f>A27+1</f>
        <v/>
      </c>
      <c r="B28" s="154" t="n"/>
      <c r="C28" s="140" t="inlineStr">
        <is>
          <t>91.17.04-233</t>
        </is>
      </c>
      <c r="D28" s="141" t="inlineStr">
        <is>
          <t>Установки для сварки ручной дуговой (постоянного тока)</t>
        </is>
      </c>
      <c r="E28" s="297" t="inlineStr">
        <is>
          <t>маш.час</t>
        </is>
      </c>
      <c r="F28" s="143" t="n">
        <v>0.72</v>
      </c>
      <c r="G28" s="145" t="n">
        <v>8.1</v>
      </c>
      <c r="H28" s="143">
        <f>ROUND(F28*G28,2)</f>
        <v/>
      </c>
    </row>
    <row r="29" ht="25.5" customHeight="1" s="240">
      <c r="A29" s="140">
        <f>A28+1</f>
        <v/>
      </c>
      <c r="B29" s="154" t="n"/>
      <c r="C29" s="140" t="inlineStr">
        <is>
          <t>91.06.03-061</t>
        </is>
      </c>
      <c r="D29" s="141" t="inlineStr">
        <is>
          <t>Лебедки электрические тяговым усилием до 12,26 кН (1,25 т)</t>
        </is>
      </c>
      <c r="E29" s="297" t="inlineStr">
        <is>
          <t>маш.час</t>
        </is>
      </c>
      <c r="F29" s="143" t="n">
        <v>1.76</v>
      </c>
      <c r="G29" s="145" t="n">
        <v>3.28</v>
      </c>
      <c r="H29" s="143">
        <f>ROUND(F29*G29,2)</f>
        <v/>
      </c>
    </row>
    <row r="30">
      <c r="A30" s="140">
        <f>A29+1</f>
        <v/>
      </c>
      <c r="B30" s="154" t="n"/>
      <c r="C30" s="140" t="inlineStr">
        <is>
          <t>91.06.01-003</t>
        </is>
      </c>
      <c r="D30" s="141" t="inlineStr">
        <is>
          <t>Домкраты гидравлические, грузоподъемность 63-100 т</t>
        </is>
      </c>
      <c r="E30" s="297" t="inlineStr">
        <is>
          <t>маш.час</t>
        </is>
      </c>
      <c r="F30" s="143" t="n">
        <v>5.54</v>
      </c>
      <c r="G30" s="145" t="n">
        <v>0.9</v>
      </c>
      <c r="H30" s="143">
        <f>ROUND(F30*G30,2)</f>
        <v/>
      </c>
    </row>
    <row r="31">
      <c r="A31" s="140">
        <f>A30+1</f>
        <v/>
      </c>
      <c r="B31" s="154" t="n"/>
      <c r="C31" s="140" t="inlineStr">
        <is>
          <t>91.14.02-002</t>
        </is>
      </c>
      <c r="D31" s="141" t="inlineStr">
        <is>
          <t>Автомобили бортовые, грузоподъемность до 8 т</t>
        </is>
      </c>
      <c r="E31" s="297" t="inlineStr">
        <is>
          <t>маш.час</t>
        </is>
      </c>
      <c r="F31" s="143" t="n">
        <v>0.0428296</v>
      </c>
      <c r="G31" s="145" t="n">
        <v>85.84</v>
      </c>
      <c r="H31" s="143">
        <f>ROUND(F31*G31,2)</f>
        <v/>
      </c>
    </row>
    <row r="32" ht="25.5" customHeight="1" s="240">
      <c r="A32" s="140">
        <f>A31+1</f>
        <v/>
      </c>
      <c r="B32" s="154" t="n"/>
      <c r="C32" s="140" t="inlineStr">
        <is>
          <t>91.08.09-023</t>
        </is>
      </c>
      <c r="D32" s="141" t="inlineStr">
        <is>
          <t>Трамбовки пневматические при работе от передвижных компрессорных станций</t>
        </is>
      </c>
      <c r="E32" s="297" t="inlineStr">
        <is>
          <t>маш.час</t>
        </is>
      </c>
      <c r="F32" s="143" t="n">
        <v>3.008</v>
      </c>
      <c r="G32" s="145" t="n">
        <v>0.55</v>
      </c>
      <c r="H32" s="143">
        <f>ROUND(F32*G32,2)</f>
        <v/>
      </c>
    </row>
    <row r="33">
      <c r="A33" s="140">
        <f>A32+1</f>
        <v/>
      </c>
      <c r="B33" s="154" t="n"/>
      <c r="C33" s="140" t="inlineStr">
        <is>
          <t>91.07.04-001</t>
        </is>
      </c>
      <c r="D33" s="141" t="inlineStr">
        <is>
          <t>Вибраторы глубинные</t>
        </is>
      </c>
      <c r="E33" s="297" t="inlineStr">
        <is>
          <t>маш.час</t>
        </is>
      </c>
      <c r="F33" s="143" t="n">
        <v>0.384</v>
      </c>
      <c r="G33" s="145" t="n">
        <v>1.9</v>
      </c>
      <c r="H33" s="143">
        <f>ROUND(F33*G33,2)</f>
        <v/>
      </c>
    </row>
    <row r="34" ht="15" customHeight="1" s="240">
      <c r="A34" s="272" t="inlineStr">
        <is>
          <t>Оборудование</t>
        </is>
      </c>
      <c r="B34" s="347" t="n"/>
      <c r="C34" s="347" t="n"/>
      <c r="D34" s="347" t="n"/>
      <c r="E34" s="348" t="n"/>
      <c r="F34" s="10" t="n"/>
      <c r="G34" s="10" t="n"/>
      <c r="H34" s="147">
        <f>SUM(H35:H35)</f>
        <v/>
      </c>
    </row>
    <row r="35" ht="25.5" customHeight="1" s="240">
      <c r="A35" s="144">
        <f>A33+1</f>
        <v/>
      </c>
      <c r="B35" s="272" t="n"/>
      <c r="C35" s="140" t="inlineStr">
        <is>
          <t>Прайс из СД ОП</t>
        </is>
      </c>
      <c r="D35" s="278" t="inlineStr">
        <is>
          <t>Шинная опора полимерная 10 кВ ШОП-10-2Л100-4 УХЛ1</t>
        </is>
      </c>
      <c r="E35" s="297" t="inlineStr">
        <is>
          <t>шт.</t>
        </is>
      </c>
      <c r="F35" s="145" t="n">
        <v>6</v>
      </c>
      <c r="G35" s="143" t="n">
        <v>1250.59</v>
      </c>
      <c r="H35" s="143" t="n">
        <v>7503.54</v>
      </c>
    </row>
    <row r="36" ht="15" customHeight="1" s="240">
      <c r="A36" s="272" t="inlineStr">
        <is>
          <t>Материалы</t>
        </is>
      </c>
      <c r="B36" s="347" t="n"/>
      <c r="C36" s="347" t="n"/>
      <c r="D36" s="347" t="n"/>
      <c r="E36" s="348" t="n"/>
      <c r="F36" s="10" t="n"/>
      <c r="G36" s="10" t="n"/>
      <c r="H36" s="147">
        <f>SUM(H37:H57)</f>
        <v/>
      </c>
    </row>
    <row r="37">
      <c r="A37" s="144">
        <f>A35+1</f>
        <v/>
      </c>
      <c r="B37" s="154" t="n"/>
      <c r="C37" s="140" t="inlineStr">
        <is>
          <t>22.2.02.07-0003</t>
        </is>
      </c>
      <c r="D37" s="141" t="inlineStr">
        <is>
          <t>Конструкции стальные порталов ОРУ</t>
        </is>
      </c>
      <c r="E37" s="297" t="inlineStr">
        <is>
          <t>т</t>
        </is>
      </c>
      <c r="F37" s="143" t="n">
        <v>0.40448</v>
      </c>
      <c r="G37" s="143" t="n">
        <v>12500</v>
      </c>
      <c r="H37" s="143">
        <f>ROUND(F37*G37,2)</f>
        <v/>
      </c>
    </row>
    <row r="38">
      <c r="A38" s="144">
        <f>A37+1</f>
        <v/>
      </c>
      <c r="B38" s="154" t="n"/>
      <c r="C38" s="140" t="inlineStr">
        <is>
          <t>07.2.07.13-0211</t>
        </is>
      </c>
      <c r="D38" s="141" t="inlineStr">
        <is>
          <t>Тяги, распорки, связи, стойки стальные оцинкованные</t>
        </is>
      </c>
      <c r="E38" s="297" t="inlineStr">
        <is>
          <t>т</t>
        </is>
      </c>
      <c r="F38" s="143" t="n">
        <v>0.1754</v>
      </c>
      <c r="G38" s="143" t="n">
        <v>22977.81</v>
      </c>
      <c r="H38" s="143">
        <f>ROUND(F38*G38,2)</f>
        <v/>
      </c>
    </row>
    <row r="39" ht="38.25" customHeight="1" s="240">
      <c r="A39" s="144">
        <f>A38+1</f>
        <v/>
      </c>
      <c r="B39" s="154" t="n"/>
      <c r="C39" s="140" t="inlineStr">
        <is>
          <t>05.1.02.07-0028</t>
        </is>
      </c>
      <c r="D39" s="141" t="inlineStr">
        <is>
          <t>Стойки железобетонные под оборудование подстанций УСО-1А, бетон B15, объем 0,32 м3, расход арматуры 66,53 кг</t>
        </is>
      </c>
      <c r="E39" s="297" t="inlineStr">
        <is>
          <t>шт</t>
        </is>
      </c>
      <c r="F39" s="143" t="n">
        <v>2</v>
      </c>
      <c r="G39" s="143" t="n">
        <v>1340.68</v>
      </c>
      <c r="H39" s="143">
        <f>ROUND(F39*G39,2)</f>
        <v/>
      </c>
    </row>
    <row r="40">
      <c r="A40" s="144">
        <f>A38+1</f>
        <v/>
      </c>
      <c r="B40" s="154" t="n"/>
      <c r="C40" s="140" t="inlineStr">
        <is>
          <t>20.1.01.02-0066</t>
        </is>
      </c>
      <c r="D40" s="141" t="inlineStr">
        <is>
          <t>Зажим аппаратный прессуемый: А4А-300-2</t>
        </is>
      </c>
      <c r="E40" s="297" t="inlineStr">
        <is>
          <t>100 шт</t>
        </is>
      </c>
      <c r="F40" s="143" t="n">
        <v>0.18</v>
      </c>
      <c r="G40" s="143" t="n">
        <v>6080</v>
      </c>
      <c r="H40" s="143">
        <f>ROUND(F40*G40,2)</f>
        <v/>
      </c>
    </row>
    <row r="41" ht="25.5" customHeight="1" s="240">
      <c r="A41" s="144">
        <f>A40+1</f>
        <v/>
      </c>
      <c r="B41" s="154" t="n"/>
      <c r="C41" s="140" t="inlineStr">
        <is>
          <t>21.2.01.02-0094</t>
        </is>
      </c>
      <c r="D41" s="141" t="inlineStr">
        <is>
          <t>Провод неизолированный для воздушных линий электропередачи АС 300/39</t>
        </is>
      </c>
      <c r="E41" s="297" t="inlineStr">
        <is>
          <t>т</t>
        </is>
      </c>
      <c r="F41" s="143" t="n">
        <v>0.0311753</v>
      </c>
      <c r="G41" s="143" t="n">
        <v>32758.86</v>
      </c>
      <c r="H41" s="143">
        <f>ROUND(F41*G41,2)</f>
        <v/>
      </c>
    </row>
    <row r="42" ht="25.5" customHeight="1" s="240">
      <c r="A42" s="144">
        <f>A41+1</f>
        <v/>
      </c>
      <c r="B42" s="154" t="n"/>
      <c r="C42" s="140" t="inlineStr">
        <is>
          <t>04.1.02.05-0003</t>
        </is>
      </c>
      <c r="D42" s="141" t="inlineStr">
        <is>
          <t>Смеси бетонные тяжелого бетона (БСТ), класс В7,5 (М100)</t>
        </is>
      </c>
      <c r="E42" s="297" t="inlineStr">
        <is>
          <t>м3</t>
        </is>
      </c>
      <c r="F42" s="143" t="n">
        <v>1.632</v>
      </c>
      <c r="G42" s="143" t="n">
        <v>560</v>
      </c>
      <c r="H42" s="143">
        <f>ROUND(F42*G42,2)</f>
        <v/>
      </c>
    </row>
    <row r="43" ht="25.5" customHeight="1" s="240">
      <c r="A43" s="144">
        <f>A42+1</f>
        <v/>
      </c>
      <c r="B43" s="154" t="n"/>
      <c r="C43" s="140" t="inlineStr">
        <is>
          <t>21.1.06.09-0177</t>
        </is>
      </c>
      <c r="D43" s="141" t="inlineStr">
        <is>
          <t>Кабель силовой с медными жилами ВВГнг(A)-LS 5х4-660</t>
        </is>
      </c>
      <c r="E43" s="297" t="inlineStr">
        <is>
          <t>1000 м</t>
        </is>
      </c>
      <c r="F43" s="143" t="n">
        <v>0.04</v>
      </c>
      <c r="G43" s="143" t="n">
        <v>18047.85</v>
      </c>
      <c r="H43" s="143">
        <f>ROUND(F43*G43,2)</f>
        <v/>
      </c>
    </row>
    <row r="44">
      <c r="A44" s="144">
        <f>A43+1</f>
        <v/>
      </c>
      <c r="B44" s="154" t="n"/>
      <c r="C44" s="140" t="inlineStr">
        <is>
          <t>21.1.08.03-0693</t>
        </is>
      </c>
      <c r="D44" s="141" t="inlineStr">
        <is>
          <t>Кабель контрольный КВВГЭнг-LS 4х1,5</t>
        </is>
      </c>
      <c r="E44" s="297" t="inlineStr">
        <is>
          <t>1000 м</t>
        </is>
      </c>
      <c r="F44" s="143" t="n">
        <v>0.04</v>
      </c>
      <c r="G44" s="143" t="n">
        <v>8958.610000000001</v>
      </c>
      <c r="H44" s="143">
        <f>ROUND(F44*G44,2)</f>
        <v/>
      </c>
    </row>
    <row r="45" ht="38.25" customHeight="1" s="240">
      <c r="A45" s="144">
        <f>A44+1</f>
        <v/>
      </c>
      <c r="B45" s="154" t="n"/>
      <c r="C45" s="140" t="inlineStr">
        <is>
          <t>23.3.01.04-0074</t>
        </is>
      </c>
      <c r="D45" s="141" t="inlineStr">
        <is>
          <t>Трубы бесшовные обсадные из стали группы Д и Б с короткой треугольной резьбой, наружный диаметр 377 мм, толщина стенки 12 мм</t>
        </is>
      </c>
      <c r="E45" s="297" t="inlineStr">
        <is>
          <t>м</t>
        </is>
      </c>
      <c r="F45" s="143" t="n">
        <v>0.24</v>
      </c>
      <c r="G45" s="143" t="n">
        <v>1001.3</v>
      </c>
      <c r="H45" s="143">
        <f>ROUND(F45*G45,2)</f>
        <v/>
      </c>
    </row>
    <row r="46">
      <c r="A46" s="144">
        <f>A45+1</f>
        <v/>
      </c>
      <c r="B46" s="154" t="n"/>
      <c r="C46" s="140" t="inlineStr">
        <is>
          <t>14.4.02.09-0001</t>
        </is>
      </c>
      <c r="D46" s="141" t="inlineStr">
        <is>
          <t>Краска</t>
        </is>
      </c>
      <c r="E46" s="297" t="inlineStr">
        <is>
          <t>кг</t>
        </is>
      </c>
      <c r="F46" s="143" t="n">
        <v>4.8</v>
      </c>
      <c r="G46" s="143" t="n">
        <v>28.6</v>
      </c>
      <c r="H46" s="143">
        <f>ROUND(F46*G46,2)</f>
        <v/>
      </c>
    </row>
    <row r="47" ht="25.5" customHeight="1" s="240">
      <c r="A47" s="144">
        <f>A46+1</f>
        <v/>
      </c>
      <c r="B47" s="154" t="n"/>
      <c r="C47" s="140" t="inlineStr">
        <is>
          <t>08.3.07.01-0076</t>
        </is>
      </c>
      <c r="D47" s="141" t="inlineStr">
        <is>
          <t>Прокат полосовой, горячекатаный, марка стали Ст3сп, ширина 50-200 мм, толщина 4-5 мм</t>
        </is>
      </c>
      <c r="E47" s="297" t="inlineStr">
        <is>
          <t>т</t>
        </is>
      </c>
      <c r="F47" s="143" t="n">
        <v>0.018</v>
      </c>
      <c r="G47" s="143" t="n">
        <v>5000</v>
      </c>
      <c r="H47" s="143">
        <f>ROUND(F47*G47,2)</f>
        <v/>
      </c>
    </row>
    <row r="48">
      <c r="A48" s="144">
        <f>A47+1</f>
        <v/>
      </c>
      <c r="B48" s="154" t="n"/>
      <c r="C48" s="140" t="inlineStr">
        <is>
          <t>01.7.11.07-0032</t>
        </is>
      </c>
      <c r="D48" s="141" t="inlineStr">
        <is>
          <t>Электроды сварочные Э42, диаметр 4 мм</t>
        </is>
      </c>
      <c r="E48" s="297" t="inlineStr">
        <is>
          <t>т</t>
        </is>
      </c>
      <c r="F48" s="143" t="n">
        <v>0.0057988</v>
      </c>
      <c r="G48" s="143" t="n">
        <v>10315.01</v>
      </c>
      <c r="H48" s="143">
        <f>ROUND(F48*G48,2)</f>
        <v/>
      </c>
    </row>
    <row r="49">
      <c r="A49" s="144">
        <f>A48+1</f>
        <v/>
      </c>
      <c r="B49" s="154" t="n"/>
      <c r="C49" s="140" t="inlineStr">
        <is>
          <t>01.7.15.03-0042</t>
        </is>
      </c>
      <c r="D49" s="141" t="inlineStr">
        <is>
          <t>Болты с гайками и шайбами строительные</t>
        </is>
      </c>
      <c r="E49" s="297" t="inlineStr">
        <is>
          <t>кг</t>
        </is>
      </c>
      <c r="F49" s="143" t="n">
        <v>5.82</v>
      </c>
      <c r="G49" s="143" t="n">
        <v>9.039999999999999</v>
      </c>
      <c r="H49" s="143">
        <f>ROUND(F49*G49,2)</f>
        <v/>
      </c>
    </row>
    <row r="50" ht="25.5" customHeight="1" s="240">
      <c r="A50" s="144">
        <f>A49+1</f>
        <v/>
      </c>
      <c r="B50" s="154" t="n"/>
      <c r="C50" s="140" t="inlineStr">
        <is>
          <t>10.3.02.03-0011</t>
        </is>
      </c>
      <c r="D50" s="141" t="inlineStr">
        <is>
          <t>Припои оловянно-свинцовые бессурьмянистые, марка ПОС30</t>
        </is>
      </c>
      <c r="E50" s="297" t="inlineStr">
        <is>
          <t>т</t>
        </is>
      </c>
      <c r="F50" s="143" t="n">
        <v>0.000208</v>
      </c>
      <c r="G50" s="143" t="n">
        <v>68050</v>
      </c>
      <c r="H50" s="143">
        <f>ROUND(F50*G50,2)</f>
        <v/>
      </c>
    </row>
    <row r="51">
      <c r="A51" s="144">
        <f>A50+1</f>
        <v/>
      </c>
      <c r="B51" s="154" t="n"/>
      <c r="C51" s="140" t="inlineStr">
        <is>
          <t>02.2.05.04-1777</t>
        </is>
      </c>
      <c r="D51" s="141" t="inlineStr">
        <is>
          <t>Щебень М 800, фракция 20-40 мм, группа 2</t>
        </is>
      </c>
      <c r="E51" s="297" t="inlineStr">
        <is>
          <t>м3</t>
        </is>
      </c>
      <c r="F51" s="143" t="n">
        <v>0.06</v>
      </c>
      <c r="G51" s="143" t="n">
        <v>108.4</v>
      </c>
      <c r="H51" s="143">
        <f>ROUND(F51*G51,2)</f>
        <v/>
      </c>
    </row>
    <row r="52" ht="25.5" customHeight="1" s="240">
      <c r="A52" s="144">
        <f>A51+1</f>
        <v/>
      </c>
      <c r="B52" s="154" t="n"/>
      <c r="C52" s="140" t="inlineStr">
        <is>
          <t>01.3.01.06-0050</t>
        </is>
      </c>
      <c r="D52" s="141" t="inlineStr">
        <is>
          <t>Смазка универсальная тугоплавкая УТ (консталин жировой)</t>
        </is>
      </c>
      <c r="E52" s="297" t="inlineStr">
        <is>
          <t>т</t>
        </is>
      </c>
      <c r="F52" s="143" t="n">
        <v>0.00036</v>
      </c>
      <c r="G52" s="143" t="n">
        <v>17500</v>
      </c>
      <c r="H52" s="143">
        <f>ROUND(F52*G52,2)</f>
        <v/>
      </c>
    </row>
    <row r="53" ht="25.5" customHeight="1" s="240">
      <c r="A53" s="144">
        <f>A52+1</f>
        <v/>
      </c>
      <c r="B53" s="154" t="n"/>
      <c r="C53" s="140" t="inlineStr">
        <is>
          <t>999-9950</t>
        </is>
      </c>
      <c r="D53" s="141" t="inlineStr">
        <is>
          <t>Вспомогательные ненормируемые ресурсы (2% от Оплаты труда рабочих)</t>
        </is>
      </c>
      <c r="E53" s="297" t="inlineStr">
        <is>
          <t>руб</t>
        </is>
      </c>
      <c r="F53" s="143" t="n">
        <v>6.162</v>
      </c>
      <c r="G53" s="143" t="n">
        <v>1</v>
      </c>
      <c r="H53" s="143">
        <f>ROUND(F53*G53,2)</f>
        <v/>
      </c>
    </row>
    <row r="54">
      <c r="A54" s="144">
        <f>A53+1</f>
        <v/>
      </c>
      <c r="B54" s="154" t="n"/>
      <c r="C54" s="140" t="inlineStr">
        <is>
          <t>14.4.03.03-0002</t>
        </is>
      </c>
      <c r="D54" s="141" t="inlineStr">
        <is>
          <t>Лак битумный БТ-123</t>
        </is>
      </c>
      <c r="E54" s="297" t="inlineStr">
        <is>
          <t>т</t>
        </is>
      </c>
      <c r="F54" s="143" t="n">
        <v>0.000576</v>
      </c>
      <c r="G54" s="143" t="n">
        <v>7826.9</v>
      </c>
      <c r="H54" s="143">
        <f>ROUND(F54*G54,2)</f>
        <v/>
      </c>
    </row>
    <row r="55">
      <c r="A55" s="144">
        <f>A54+1</f>
        <v/>
      </c>
      <c r="B55" s="154" t="n"/>
      <c r="C55" s="140" t="inlineStr">
        <is>
          <t>01.7.11.07-0034</t>
        </is>
      </c>
      <c r="D55" s="141" t="inlineStr">
        <is>
          <t>Электроды сварочные Э42А, диаметр 4 мм</t>
        </is>
      </c>
      <c r="E55" s="297" t="inlineStr">
        <is>
          <t>кг</t>
        </is>
      </c>
      <c r="F55" s="143" t="n">
        <v>0.3</v>
      </c>
      <c r="G55" s="143" t="n">
        <v>10.57</v>
      </c>
      <c r="H55" s="143">
        <f>ROUND(F55*G55,2)</f>
        <v/>
      </c>
    </row>
    <row r="56">
      <c r="A56" s="144">
        <f>A55+1</f>
        <v/>
      </c>
      <c r="B56" s="154" t="n"/>
      <c r="C56" s="140" t="inlineStr">
        <is>
          <t>01.7.06.07-0002</t>
        </is>
      </c>
      <c r="D56" s="141" t="inlineStr">
        <is>
          <t>Лента монтажная, тип ЛМ-5</t>
        </is>
      </c>
      <c r="E56" s="297" t="inlineStr">
        <is>
          <t>10 м</t>
        </is>
      </c>
      <c r="F56" s="143" t="n">
        <v>0.196</v>
      </c>
      <c r="G56" s="143" t="n">
        <v>6.9</v>
      </c>
      <c r="H56" s="143">
        <f>ROUND(F56*G56,2)</f>
        <v/>
      </c>
    </row>
    <row r="57">
      <c r="A57" s="144">
        <f>A56+1</f>
        <v/>
      </c>
      <c r="B57" s="154" t="n"/>
      <c r="C57" s="140" t="inlineStr">
        <is>
          <t>01.7.15.14-0165</t>
        </is>
      </c>
      <c r="D57" s="141" t="inlineStr">
        <is>
          <t>Шурупы с полукруглой головкой 4х40 мм</t>
        </is>
      </c>
      <c r="E57" s="297" t="inlineStr">
        <is>
          <t>т</t>
        </is>
      </c>
      <c r="F57" s="143" t="n">
        <v>8.8e-05</v>
      </c>
      <c r="G57" s="143" t="n">
        <v>12430</v>
      </c>
      <c r="H57" s="143">
        <f>ROUND(F57*G57,2)</f>
        <v/>
      </c>
      <c r="I57" s="241" t="n"/>
    </row>
    <row r="58">
      <c r="I58" s="241" t="n"/>
    </row>
    <row r="61" ht="15.75" customHeight="1" s="240">
      <c r="B61" s="199" t="inlineStr">
        <is>
          <t>Составил ______________________        Е. М. Добровольская</t>
        </is>
      </c>
      <c r="C61" s="235" t="n"/>
    </row>
    <row r="62">
      <c r="B62" s="236" t="inlineStr">
        <is>
          <t xml:space="preserve">                         (подпись, инициалы, фамилия)</t>
        </is>
      </c>
      <c r="C62" s="235" t="n"/>
    </row>
    <row r="63">
      <c r="B63" s="225" t="n"/>
      <c r="C63" s="235" t="n"/>
    </row>
    <row r="64">
      <c r="B64" s="225" t="inlineStr">
        <is>
          <t>Проверил ______________________        А.В. Костянецкая</t>
        </is>
      </c>
      <c r="C64" s="235" t="n"/>
    </row>
    <row r="65">
      <c r="B65" s="236" t="inlineStr">
        <is>
          <t xml:space="preserve">                        (подпись, инициалы, фамилия)</t>
        </is>
      </c>
      <c r="C65" s="235" t="n"/>
    </row>
  </sheetData>
  <mergeCells count="15">
    <mergeCell ref="C9:C10"/>
    <mergeCell ref="A34:E34"/>
    <mergeCell ref="A12:E12"/>
    <mergeCell ref="C6:H6"/>
    <mergeCell ref="A3:H3"/>
    <mergeCell ref="E9:E10"/>
    <mergeCell ref="F9:F10"/>
    <mergeCell ref="B9:B10"/>
    <mergeCell ref="A9:A10"/>
    <mergeCell ref="D9:D10"/>
    <mergeCell ref="A2:H2"/>
    <mergeCell ref="A19:E19"/>
    <mergeCell ref="A36:E36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  <rowBreaks count="1" manualBreakCount="1">
    <brk id="31" min="0" max="7" man="1"/>
  </rowBreaks>
</worksheet>
</file>

<file path=xl/worksheets/sheet4.xml><?xml version="1.0" encoding="utf-8"?>
<worksheet xmlns="http://schemas.openxmlformats.org/spreadsheetml/2006/main">
  <sheetPr codeName="Лист9">
    <outlinePr summaryBelow="1" summaryRight="1"/>
    <pageSetUpPr/>
  </sheetPr>
  <dimension ref="B1:L50"/>
  <sheetViews>
    <sheetView tabSelected="1" view="pageBreakPreview" topLeftCell="A4" workbookViewId="0">
      <selection activeCell="B43" sqref="B43"/>
    </sheetView>
  </sheetViews>
  <sheetFormatPr baseColWidth="8" defaultRowHeight="15"/>
  <cols>
    <col width="4.140625" customWidth="1" style="240" min="1" max="1"/>
    <col width="36.28515625" customWidth="1" style="240" min="2" max="2"/>
    <col width="18.85546875" customWidth="1" style="240" min="3" max="3"/>
    <col width="18.28515625" customWidth="1" style="240" min="4" max="4"/>
    <col width="18.85546875" customWidth="1" style="240" min="5" max="5"/>
    <col width="9.140625" customWidth="1" style="240" min="6" max="6"/>
    <col hidden="1" width="12.85546875" customWidth="1" style="240" min="7" max="7"/>
    <col width="9.140625" customWidth="1" style="240" min="8" max="11"/>
    <col width="13.5703125" customWidth="1" style="240" min="12" max="12"/>
    <col width="9.140625" customWidth="1" style="240" min="13" max="13"/>
  </cols>
  <sheetData>
    <row r="1">
      <c r="B1" s="225" t="n"/>
      <c r="C1" s="225" t="n"/>
      <c r="D1" s="225" t="n"/>
      <c r="E1" s="225" t="n"/>
    </row>
    <row r="2">
      <c r="B2" s="225" t="n"/>
      <c r="C2" s="225" t="n"/>
      <c r="D2" s="225" t="n"/>
      <c r="E2" s="296" t="inlineStr">
        <is>
          <t>Приложение № 4</t>
        </is>
      </c>
    </row>
    <row r="3">
      <c r="B3" s="225" t="n"/>
      <c r="C3" s="225" t="n"/>
      <c r="D3" s="225" t="n"/>
      <c r="E3" s="225" t="n"/>
    </row>
    <row r="4">
      <c r="B4" s="225" t="n"/>
      <c r="C4" s="225" t="n"/>
      <c r="D4" s="225" t="n"/>
      <c r="E4" s="225" t="n"/>
    </row>
    <row r="5">
      <c r="B5" s="243" t="inlineStr">
        <is>
          <t>Ресурсная модель</t>
        </is>
      </c>
    </row>
    <row r="6">
      <c r="B6" s="243" t="n"/>
    </row>
    <row r="7" ht="48" customHeight="1" s="240">
      <c r="B7" s="277" t="inlineStr">
        <is>
          <t xml:space="preserve">Наименование разрабатываемого показателя УНЦ - </t>
        </is>
      </c>
      <c r="D7" s="277" t="inlineStr">
        <is>
          <t>Шинная опора на одну фазу с устройством фундамента напряжение 6-15 кВ</t>
        </is>
      </c>
    </row>
    <row r="8">
      <c r="B8" s="276">
        <f>'Прил.1 Сравнит табл'!B8</f>
        <v/>
      </c>
    </row>
    <row r="9">
      <c r="B9" s="118" t="n"/>
      <c r="C9" s="225" t="n"/>
      <c r="D9" s="225" t="n"/>
      <c r="E9" s="225" t="n"/>
    </row>
    <row r="10" ht="51" customHeight="1" s="240">
      <c r="B10" s="279" t="inlineStr">
        <is>
          <t>Наименование</t>
        </is>
      </c>
      <c r="C10" s="279" t="inlineStr">
        <is>
          <t>Сметная стоимость в ценах на 01.01.2023
 (руб.)</t>
        </is>
      </c>
      <c r="D10" s="279" t="inlineStr">
        <is>
          <t>Удельный вес, 
(в СМР)</t>
        </is>
      </c>
      <c r="E10" s="27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30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30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30">
        <f>'Прил.5 Расчет СМР и ОБ'!J34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30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30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30">
        <f>'Прил.5 Расчет СМР и ОБ'!J51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30">
        <f>'Прил.5 Расчет СМР и ОБ'!J67</f>
        <v/>
      </c>
      <c r="D17" s="27">
        <f>C17/$C$24</f>
        <v/>
      </c>
      <c r="E17" s="27">
        <f>C17/$C$40</f>
        <v/>
      </c>
      <c r="G17" s="119" t="n"/>
    </row>
    <row r="18">
      <c r="B18" s="25" t="inlineStr">
        <is>
          <t>МАТЕРИАЛЫ, ВСЕГО:</t>
        </is>
      </c>
      <c r="C18" s="230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30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30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ОБ'!E71</f>
        <v/>
      </c>
      <c r="D21" s="27" t="n"/>
      <c r="E21" s="25" t="n"/>
    </row>
    <row r="22">
      <c r="B22" s="25" t="inlineStr">
        <is>
          <t>Накладные расходы, руб.</t>
        </is>
      </c>
      <c r="C22" s="230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ОБ'!E70</f>
        <v/>
      </c>
      <c r="D23" s="27" t="n"/>
      <c r="E23" s="25" t="n"/>
    </row>
    <row r="24">
      <c r="B24" s="25" t="inlineStr">
        <is>
          <t>ВСЕГО СМР с НР и СП</t>
        </is>
      </c>
      <c r="C24" s="230">
        <f>C19+C20+C22</f>
        <v/>
      </c>
      <c r="D24" s="27">
        <f>C24/$C$24</f>
        <v/>
      </c>
      <c r="E24" s="27">
        <f>C24/$C$40</f>
        <v/>
      </c>
    </row>
    <row r="25" ht="25.5" customHeight="1" s="240">
      <c r="B25" s="25" t="inlineStr">
        <is>
          <t>ВСЕГО стоимость оборудования, в том числе</t>
        </is>
      </c>
      <c r="C25" s="230">
        <f>'Прил.5 Расчет СМР и ОБ'!J42</f>
        <v/>
      </c>
      <c r="D25" s="27" t="n"/>
      <c r="E25" s="27">
        <f>C25/$C$40</f>
        <v/>
      </c>
    </row>
    <row r="26" ht="25.5" customHeight="1" s="240">
      <c r="B26" s="25" t="inlineStr">
        <is>
          <t>стоимость оборудования технологического</t>
        </is>
      </c>
      <c r="C26" s="230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40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40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 s="240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>
      <c r="B31" s="25" t="inlineStr">
        <is>
          <t>Пусконаладочные работы</t>
        </is>
      </c>
      <c r="C31" s="26">
        <f>2935.36*6</f>
        <v/>
      </c>
      <c r="D31" s="25" t="n"/>
      <c r="E31" s="27">
        <f>C31/$C$40</f>
        <v/>
      </c>
      <c r="G31">
        <f>C31/C26</f>
        <v/>
      </c>
    </row>
    <row r="32" ht="25.5" customHeight="1" s="240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40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40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40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40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55" t="n"/>
      <c r="L36" s="12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55" t="n"/>
      <c r="L37" s="120" t="n"/>
    </row>
    <row r="38" ht="38.25" customHeight="1" s="240">
      <c r="B38" s="25" t="inlineStr">
        <is>
          <t>ИТОГО (СМР+ОБОРУДОВАНИЕ+ПРОЧ. ЗАТР., УЧТЕННЫЕ ПОКАЗАТЕЛЕМ)</t>
        </is>
      </c>
      <c r="C38" s="230">
        <f>C27+C32+C33+C34+C35+C29+C31+C30+C36+C37</f>
        <v/>
      </c>
      <c r="D38" s="25" t="n"/>
      <c r="E38" s="27">
        <f>C38/$C$40</f>
        <v/>
      </c>
    </row>
    <row r="39" ht="13.5" customHeight="1" s="240">
      <c r="B39" s="25" t="inlineStr">
        <is>
          <t>Непредвиденные расходы</t>
        </is>
      </c>
      <c r="C39" s="230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30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30">
        <f>C40/'Прил.5 Расчет СМР и ОБ'!E74</f>
        <v/>
      </c>
      <c r="D41" s="25" t="n"/>
      <c r="E41" s="25" t="n"/>
    </row>
    <row r="42">
      <c r="B42" s="232" t="n"/>
      <c r="C42" s="225" t="n"/>
      <c r="D42" s="225" t="n"/>
      <c r="E42" s="225" t="n"/>
    </row>
    <row r="43" ht="15.75" customHeight="1" s="240">
      <c r="B43" s="199" t="inlineStr">
        <is>
          <t>Составил ______________________        Е. М. Добровольская</t>
        </is>
      </c>
      <c r="C43" s="225" t="n"/>
      <c r="D43" s="225" t="n"/>
      <c r="E43" s="225" t="n"/>
    </row>
    <row r="44">
      <c r="B44" s="232" t="inlineStr">
        <is>
          <t xml:space="preserve">(должность, подпись, инициалы, фамилия) </t>
        </is>
      </c>
      <c r="C44" s="225" t="n"/>
      <c r="D44" s="225" t="n"/>
      <c r="E44" s="225" t="n"/>
    </row>
    <row r="45">
      <c r="B45" s="232" t="n"/>
      <c r="C45" s="225" t="n"/>
      <c r="D45" s="225" t="n"/>
      <c r="E45" s="225" t="n"/>
    </row>
    <row r="46">
      <c r="B46" s="232" t="inlineStr">
        <is>
          <t>Проверил ____________________________ А.В. Костянецкая</t>
        </is>
      </c>
      <c r="C46" s="225" t="n"/>
      <c r="D46" s="225" t="n"/>
      <c r="E46" s="225" t="n"/>
    </row>
    <row r="47">
      <c r="B47" s="276" t="inlineStr">
        <is>
          <t>(должность, подпись, инициалы, фамилия)</t>
        </is>
      </c>
      <c r="D47" s="225" t="n"/>
      <c r="E47" s="225" t="n"/>
    </row>
    <row r="49">
      <c r="B49" s="225" t="n"/>
      <c r="C49" s="225" t="n"/>
      <c r="D49" s="225" t="n"/>
      <c r="E49" s="225" t="n"/>
    </row>
    <row r="50">
      <c r="B50" s="225" t="n"/>
      <c r="C50" s="225" t="n"/>
      <c r="D50" s="225" t="n"/>
      <c r="E50" s="225" t="n"/>
    </row>
  </sheetData>
  <mergeCells count="6">
    <mergeCell ref="B47:C47"/>
    <mergeCell ref="B8:E8"/>
    <mergeCell ref="D7:E7"/>
    <mergeCell ref="B7:C7"/>
    <mergeCell ref="B6:E6"/>
    <mergeCell ref="B5:E5"/>
  </mergeCells>
  <pageMargins left="0.7" right="0.7" top="0.75" bottom="0.75" header="0.3" footer="0.3"/>
  <pageSetup orientation="portrait" paperSize="9" scale="75"/>
</worksheet>
</file>

<file path=xl/worksheets/sheet5.xml><?xml version="1.0" encoding="utf-8"?>
<worksheet xmlns="http://schemas.openxmlformats.org/spreadsheetml/2006/main">
  <sheetPr codeName="Лист10">
    <outlinePr summaryBelow="1" summaryRight="1"/>
    <pageSetUpPr fitToPage="1"/>
  </sheetPr>
  <dimension ref="A2:L83"/>
  <sheetViews>
    <sheetView view="pageBreakPreview" topLeftCell="A16" workbookViewId="0">
      <selection activeCell="A79" sqref="A79"/>
    </sheetView>
  </sheetViews>
  <sheetFormatPr baseColWidth="8" defaultColWidth="9.140625" defaultRowHeight="15" outlineLevelRow="1"/>
  <cols>
    <col width="5.7109375" customWidth="1" style="235" min="1" max="1"/>
    <col width="22.5703125" customWidth="1" style="235" min="2" max="2"/>
    <col width="39.140625" customWidth="1" style="235" min="3" max="3"/>
    <col width="10.7109375" customWidth="1" style="235" min="4" max="4"/>
    <col width="12.7109375" customWidth="1" style="235" min="5" max="5"/>
    <col width="14.5703125" customWidth="1" style="235" min="6" max="6"/>
    <col width="13.42578125" customWidth="1" style="235" min="7" max="7"/>
    <col width="12.7109375" customWidth="1" style="235" min="8" max="8"/>
    <col width="14.5703125" customWidth="1" style="235" min="9" max="9"/>
    <col width="15.140625" customWidth="1" style="235" min="10" max="10"/>
    <col width="22.42578125" customWidth="1" style="235" min="11" max="11"/>
    <col hidden="1" width="20.28515625" customWidth="1" style="235" min="12" max="12"/>
    <col width="10.85546875" customWidth="1" style="235" min="13" max="13"/>
    <col width="9.140625" customWidth="1" style="235" min="14" max="14"/>
  </cols>
  <sheetData>
    <row r="2" ht="15.75" customHeight="1" s="240">
      <c r="I2" s="199" t="n"/>
      <c r="J2" s="159" t="inlineStr">
        <is>
          <t>Приложение №5</t>
        </is>
      </c>
    </row>
    <row r="4" ht="12.75" customFormat="1" customHeight="1" s="225">
      <c r="A4" s="243" t="inlineStr">
        <is>
          <t>Расчет стоимости СМР и оборудования</t>
        </is>
      </c>
      <c r="I4" s="243" t="n"/>
      <c r="J4" s="243" t="n"/>
    </row>
    <row r="5" ht="12.75" customFormat="1" customHeight="1" s="225">
      <c r="A5" s="243" t="n"/>
      <c r="B5" s="243" t="n"/>
      <c r="C5" s="243" t="n"/>
      <c r="D5" s="243" t="n"/>
      <c r="E5" s="243" t="n"/>
      <c r="F5" s="243" t="n"/>
      <c r="G5" s="243" t="n"/>
      <c r="H5" s="243" t="n"/>
      <c r="I5" s="243" t="n"/>
      <c r="J5" s="243" t="n"/>
    </row>
    <row r="6" ht="26.25" customFormat="1" customHeight="1" s="225">
      <c r="A6" s="246" t="inlineStr">
        <is>
          <t xml:space="preserve">Наименование разрабатываемого показателя УНЦ </t>
        </is>
      </c>
      <c r="D6" s="246" t="inlineStr">
        <is>
          <t>Шинная опора на одну фазу с устройством фундамента напряжение 6-15 кВ</t>
        </is>
      </c>
    </row>
    <row r="7" ht="25.5" customFormat="1" customHeight="1" s="225">
      <c r="A7" s="246">
        <f>'Прил.1 Сравнит табл'!B8</f>
        <v/>
      </c>
      <c r="I7" s="277" t="n"/>
      <c r="J7" s="277" t="n"/>
    </row>
    <row r="8" ht="12.75" customFormat="1" customHeight="1" s="225"/>
    <row r="9" ht="27" customHeight="1" s="240">
      <c r="A9" s="279" t="inlineStr">
        <is>
          <t>№ пп.</t>
        </is>
      </c>
      <c r="B9" s="279" t="inlineStr">
        <is>
          <t>Код ресурса</t>
        </is>
      </c>
      <c r="C9" s="279" t="inlineStr">
        <is>
          <t>Наименование</t>
        </is>
      </c>
      <c r="D9" s="279" t="inlineStr">
        <is>
          <t>Ед. изм.</t>
        </is>
      </c>
      <c r="E9" s="279" t="inlineStr">
        <is>
          <t>Кол-во единиц по проектным данным</t>
        </is>
      </c>
      <c r="F9" s="279" t="inlineStr">
        <is>
          <t>Сметная стоимость в ценах на 01.01.2000 (руб.)</t>
        </is>
      </c>
      <c r="G9" s="348" t="n"/>
      <c r="H9" s="279" t="inlineStr">
        <is>
          <t>Удельный вес, %</t>
        </is>
      </c>
      <c r="I9" s="279" t="inlineStr">
        <is>
          <t>Сметная стоимость в ценах на 01.01.2023 (руб.)</t>
        </is>
      </c>
      <c r="J9" s="348" t="n"/>
    </row>
    <row r="10" ht="28.5" customHeight="1" s="240">
      <c r="A10" s="350" t="n"/>
      <c r="B10" s="350" t="n"/>
      <c r="C10" s="350" t="n"/>
      <c r="D10" s="350" t="n"/>
      <c r="E10" s="350" t="n"/>
      <c r="F10" s="279" t="inlineStr">
        <is>
          <t>на ед. изм.</t>
        </is>
      </c>
      <c r="G10" s="279" t="inlineStr">
        <is>
          <t>общая</t>
        </is>
      </c>
      <c r="H10" s="350" t="n"/>
      <c r="I10" s="279" t="inlineStr">
        <is>
          <t>на ед. изм.</t>
        </is>
      </c>
      <c r="J10" s="279" t="inlineStr">
        <is>
          <t>общая</t>
        </is>
      </c>
    </row>
    <row r="11">
      <c r="A11" s="279" t="n">
        <v>1</v>
      </c>
      <c r="B11" s="279" t="n">
        <v>2</v>
      </c>
      <c r="C11" s="279" t="n">
        <v>3</v>
      </c>
      <c r="D11" s="279" t="n">
        <v>4</v>
      </c>
      <c r="E11" s="279" t="n">
        <v>5</v>
      </c>
      <c r="F11" s="279" t="n">
        <v>6</v>
      </c>
      <c r="G11" s="279" t="n">
        <v>7</v>
      </c>
      <c r="H11" s="279" t="n">
        <v>8</v>
      </c>
      <c r="I11" s="279" t="n">
        <v>9</v>
      </c>
      <c r="J11" s="279" t="n">
        <v>10</v>
      </c>
    </row>
    <row r="12">
      <c r="A12" s="279" t="n"/>
      <c r="B12" s="272" t="inlineStr">
        <is>
          <t>Затраты труда рабочих-строителей</t>
        </is>
      </c>
      <c r="C12" s="347" t="n"/>
      <c r="D12" s="347" t="n"/>
      <c r="E12" s="347" t="n"/>
      <c r="F12" s="347" t="n"/>
      <c r="G12" s="347" t="n"/>
      <c r="H12" s="348" t="n"/>
      <c r="I12" s="190" t="n"/>
      <c r="J12" s="190" t="n"/>
    </row>
    <row r="13" ht="25.5" customHeight="1" s="240">
      <c r="A13" s="279" t="n">
        <v>1</v>
      </c>
      <c r="B13" s="191" t="inlineStr">
        <is>
          <t>1-4-0</t>
        </is>
      </c>
      <c r="C13" s="278" t="inlineStr">
        <is>
          <t>Затраты труда рабочих-строителей среднего разряда (4)</t>
        </is>
      </c>
      <c r="D13" s="279" t="inlineStr">
        <is>
          <t>чел.-ч.</t>
        </is>
      </c>
      <c r="E13" s="151">
        <f>G13/F13</f>
        <v/>
      </c>
      <c r="F13" s="32" t="n">
        <v>9.619999999999999</v>
      </c>
      <c r="G13" s="32" t="n">
        <v>489.23</v>
      </c>
      <c r="H13" s="282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235">
      <c r="A14" s="279" t="n"/>
      <c r="B14" s="279" t="n"/>
      <c r="C14" s="272" t="inlineStr">
        <is>
          <t>Итого по разделу "Затраты труда рабочих-строителей"</t>
        </is>
      </c>
      <c r="D14" s="279" t="inlineStr">
        <is>
          <t>чел.-ч.</t>
        </is>
      </c>
      <c r="E14" s="151">
        <f>SUM(E13:E13)</f>
        <v/>
      </c>
      <c r="F14" s="32" t="n"/>
      <c r="G14" s="32">
        <f>SUM(G13:G13)</f>
        <v/>
      </c>
      <c r="H14" s="282" t="n">
        <v>1</v>
      </c>
      <c r="I14" s="32" t="n"/>
      <c r="J14" s="32">
        <f>SUM(J13:J13)</f>
        <v/>
      </c>
      <c r="K14" s="150" t="n"/>
    </row>
    <row r="15" ht="14.25" customFormat="1" customHeight="1" s="235">
      <c r="A15" s="279" t="n"/>
      <c r="B15" s="278" t="inlineStr">
        <is>
          <t>Затраты труда машинистов</t>
        </is>
      </c>
      <c r="C15" s="347" t="n"/>
      <c r="D15" s="347" t="n"/>
      <c r="E15" s="347" t="n"/>
      <c r="F15" s="347" t="n"/>
      <c r="G15" s="347" t="n"/>
      <c r="H15" s="348" t="n"/>
      <c r="I15" s="190" t="n"/>
      <c r="J15" s="190" t="n"/>
    </row>
    <row r="16" ht="14.25" customFormat="1" customHeight="1" s="235">
      <c r="A16" s="279" t="n">
        <v>2</v>
      </c>
      <c r="B16" s="279" t="n">
        <v>2</v>
      </c>
      <c r="C16" s="278" t="inlineStr">
        <is>
          <t>Затраты труда машинистов</t>
        </is>
      </c>
      <c r="D16" s="279" t="inlineStr">
        <is>
          <t>чел.-ч.</t>
        </is>
      </c>
      <c r="E16" s="145" t="n">
        <v>17.2199972</v>
      </c>
      <c r="F16" s="32">
        <f>G16/E16</f>
        <v/>
      </c>
      <c r="G16" s="145" t="n">
        <v>203.35</v>
      </c>
      <c r="H16" s="282" t="n">
        <v>1</v>
      </c>
      <c r="I16" s="32">
        <f>ROUND(F16*'Прил. 10'!D10,2)</f>
        <v/>
      </c>
      <c r="J16" s="32">
        <f>ROUND(I16*E16,2)</f>
        <v/>
      </c>
      <c r="L16" s="152" t="n"/>
    </row>
    <row r="17" ht="14.25" customFormat="1" customHeight="1" s="235">
      <c r="A17" s="279" t="n"/>
      <c r="B17" s="272" t="inlineStr">
        <is>
          <t>Машины и механизмы</t>
        </is>
      </c>
      <c r="C17" s="347" t="n"/>
      <c r="D17" s="347" t="n"/>
      <c r="E17" s="347" t="n"/>
      <c r="F17" s="347" t="n"/>
      <c r="G17" s="347" t="n"/>
      <c r="H17" s="348" t="n"/>
      <c r="I17" s="282" t="n"/>
      <c r="J17" s="282" t="n"/>
    </row>
    <row r="18" ht="14.25" customFormat="1" customHeight="1" s="235">
      <c r="A18" s="279" t="n"/>
      <c r="B18" s="278" t="inlineStr">
        <is>
          <t>Основные машины и механизмы</t>
        </is>
      </c>
      <c r="C18" s="347" t="n"/>
      <c r="D18" s="347" t="n"/>
      <c r="E18" s="347" t="n"/>
      <c r="F18" s="347" t="n"/>
      <c r="G18" s="347" t="n"/>
      <c r="H18" s="348" t="n"/>
      <c r="I18" s="190" t="n"/>
      <c r="J18" s="190" t="n"/>
    </row>
    <row r="19" ht="25.5" customFormat="1" customHeight="1" s="235">
      <c r="A19" s="279" t="n">
        <v>3</v>
      </c>
      <c r="B19" s="191" t="inlineStr">
        <is>
          <t>91.05.05-015</t>
        </is>
      </c>
      <c r="C19" s="198" t="inlineStr">
        <is>
          <t>Краны на автомобильном ходу, грузоподъемность 16 т</t>
        </is>
      </c>
      <c r="D19" s="191" t="inlineStr">
        <is>
          <t>маш.час</t>
        </is>
      </c>
      <c r="E19" s="279" t="n">
        <v>6.8511676</v>
      </c>
      <c r="F19" s="295" t="n">
        <v>115.4</v>
      </c>
      <c r="G19" s="32">
        <f>ROUND(E19*F19,2)</f>
        <v/>
      </c>
      <c r="H19" s="282">
        <f>G19/$G$35</f>
        <v/>
      </c>
      <c r="I19" s="32">
        <f>ROUND(F19*'Прил. 10'!$D$11,2)</f>
        <v/>
      </c>
      <c r="J19" s="32">
        <f>ROUND(I19*E19,2)</f>
        <v/>
      </c>
    </row>
    <row r="20" ht="25.5" customFormat="1" customHeight="1" s="235">
      <c r="A20" s="279" t="n">
        <v>4</v>
      </c>
      <c r="B20" s="191" t="inlineStr">
        <is>
          <t>91.04.01-031</t>
        </is>
      </c>
      <c r="C20" s="198" t="inlineStr">
        <is>
          <t>Машины бурильно-крановые на автомобиле, глубина бурения 3,5 м</t>
        </is>
      </c>
      <c r="D20" s="191" t="inlineStr">
        <is>
          <t>маш.час</t>
        </is>
      </c>
      <c r="E20" s="279" t="n">
        <v>2.14</v>
      </c>
      <c r="F20" s="295" t="n">
        <v>138.54</v>
      </c>
      <c r="G20" s="32">
        <f>ROUND(E20*F20,2)</f>
        <v/>
      </c>
      <c r="H20" s="282">
        <f>G20/$G$35</f>
        <v/>
      </c>
      <c r="I20" s="32">
        <f>ROUND(F20*'Прил. 10'!$D$11,2)</f>
        <v/>
      </c>
      <c r="J20" s="32">
        <f>ROUND(I20*E20,2)</f>
        <v/>
      </c>
    </row>
    <row r="21" ht="25.5" customFormat="1" customHeight="1" s="235">
      <c r="A21" s="279" t="n">
        <v>5</v>
      </c>
      <c r="B21" s="191" t="inlineStr">
        <is>
          <t>91.06.06-042</t>
        </is>
      </c>
      <c r="C21" s="198" t="inlineStr">
        <is>
          <t>Подъемники гидравлические, высота подъема 10 м</t>
        </is>
      </c>
      <c r="D21" s="191" t="inlineStr">
        <is>
          <t>маш.час</t>
        </is>
      </c>
      <c r="E21" s="279" t="n">
        <v>5.31</v>
      </c>
      <c r="F21" s="295" t="n">
        <v>29.6</v>
      </c>
      <c r="G21" s="32">
        <f>ROUND(E21*F21,2)</f>
        <v/>
      </c>
      <c r="H21" s="282">
        <f>G21/$G$35</f>
        <v/>
      </c>
      <c r="I21" s="32">
        <f>ROUND(F21*'Прил. 10'!$D$11,2)</f>
        <v/>
      </c>
      <c r="J21" s="32">
        <f>ROUND(I21*E21,2)</f>
        <v/>
      </c>
    </row>
    <row r="22" ht="51" customFormat="1" customHeight="1" s="235">
      <c r="A22" s="279" t="n">
        <v>6</v>
      </c>
      <c r="B22" s="191" t="inlineStr">
        <is>
          <t>91.18.01-007</t>
        </is>
      </c>
      <c r="C22" s="19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191" t="inlineStr">
        <is>
          <t>маш.час</t>
        </is>
      </c>
      <c r="E22" s="279" t="n">
        <v>1.504</v>
      </c>
      <c r="F22" s="295" t="n">
        <v>90</v>
      </c>
      <c r="G22" s="32">
        <f>ROUND(E22*F22,2)</f>
        <v/>
      </c>
      <c r="H22" s="282">
        <f>G22/$G$35</f>
        <v/>
      </c>
      <c r="I22" s="32">
        <f>ROUND(F22*'Прил. 10'!$D$11,2)</f>
        <v/>
      </c>
      <c r="J22" s="32">
        <f>ROUND(I22*E22,2)</f>
        <v/>
      </c>
    </row>
    <row r="23" ht="14.25" customFormat="1" customHeight="1" s="235">
      <c r="A23" s="279" t="n"/>
      <c r="B23" s="279" t="n"/>
      <c r="C23" s="278" t="inlineStr">
        <is>
          <t>Итого основные машины и механизмы</t>
        </is>
      </c>
      <c r="D23" s="279" t="n"/>
      <c r="E23" s="279" t="n"/>
      <c r="F23" s="32" t="n"/>
      <c r="G23" s="32">
        <f>SUM(G19:G22)</f>
        <v/>
      </c>
      <c r="H23" s="282">
        <f>G23/G35</f>
        <v/>
      </c>
      <c r="I23" s="32" t="n"/>
      <c r="J23" s="32">
        <f>SUM(J19:J22)</f>
        <v/>
      </c>
      <c r="L23" s="150" t="n"/>
    </row>
    <row r="24" hidden="1" outlineLevel="1" ht="25.5" customFormat="1" customHeight="1" s="235">
      <c r="A24" s="279" t="n">
        <v>7</v>
      </c>
      <c r="B24" s="191" t="inlineStr">
        <is>
          <t>91.05.06-012</t>
        </is>
      </c>
      <c r="C24" s="198" t="inlineStr">
        <is>
          <t>Краны на гусеничном ходу, грузоподъемность до 16 т</t>
        </is>
      </c>
      <c r="D24" s="191" t="inlineStr">
        <is>
          <t>маш.час</t>
        </is>
      </c>
      <c r="E24" s="279" t="n">
        <v>0.5600000000000001</v>
      </c>
      <c r="F24" s="295" t="n">
        <v>96.89</v>
      </c>
      <c r="G24" s="32">
        <f>ROUND(E24*F24,2)</f>
        <v/>
      </c>
      <c r="H24" s="282">
        <f>G24/$G$35</f>
        <v/>
      </c>
      <c r="I24" s="32">
        <f>ROUND(F24*'Прил. 10'!$D$11,2)</f>
        <v/>
      </c>
      <c r="J24" s="32">
        <f>ROUND(I24*E24,2)</f>
        <v/>
      </c>
      <c r="L24" s="150" t="n"/>
    </row>
    <row r="25" hidden="1" outlineLevel="1" ht="25.5" customFormat="1" customHeight="1" s="235">
      <c r="A25" s="279" t="n">
        <v>8</v>
      </c>
      <c r="B25" s="191" t="inlineStr">
        <is>
          <t>91.14.02-001</t>
        </is>
      </c>
      <c r="C25" s="198" t="inlineStr">
        <is>
          <t>Автомобили бортовые, грузоподъемность до 5 т</t>
        </is>
      </c>
      <c r="D25" s="191" t="inlineStr">
        <is>
          <t>маш.час</t>
        </is>
      </c>
      <c r="E25" s="279" t="n">
        <v>0.8120000000000001</v>
      </c>
      <c r="F25" s="295" t="n">
        <v>65.70999999999999</v>
      </c>
      <c r="G25" s="32">
        <f>ROUND(E25*F25,2)</f>
        <v/>
      </c>
      <c r="H25" s="282">
        <f>G25/$G$35</f>
        <v/>
      </c>
      <c r="I25" s="32">
        <f>ROUND(F25*'Прил. 10'!$D$11,2)</f>
        <v/>
      </c>
      <c r="J25" s="32">
        <f>ROUND(I25*E25,2)</f>
        <v/>
      </c>
      <c r="L25" s="150" t="n"/>
    </row>
    <row r="26" hidden="1" outlineLevel="1" ht="38.25" customFormat="1" customHeight="1" s="235">
      <c r="A26" s="279" t="n">
        <v>9</v>
      </c>
      <c r="B26" s="191" t="inlineStr">
        <is>
          <t>91.17.04-036</t>
        </is>
      </c>
      <c r="C26" s="198" t="inlineStr">
        <is>
          <t>Агрегаты сварочные передвижные с дизельным двигателем, номинальный сварочный ток 250-400 А</t>
        </is>
      </c>
      <c r="D26" s="191" t="inlineStr">
        <is>
          <t>маш.час</t>
        </is>
      </c>
      <c r="E26" s="279" t="n">
        <v>1.9599944</v>
      </c>
      <c r="F26" s="295" t="n">
        <v>14</v>
      </c>
      <c r="G26" s="32">
        <f>ROUND(E26*F26,2)</f>
        <v/>
      </c>
      <c r="H26" s="282">
        <f>G26/$G$35</f>
        <v/>
      </c>
      <c r="I26" s="32">
        <f>ROUND(F26*'Прил. 10'!$D$11,2)</f>
        <v/>
      </c>
      <c r="J26" s="32">
        <f>ROUND(I26*E26,2)</f>
        <v/>
      </c>
      <c r="L26" s="150" t="n"/>
    </row>
    <row r="27" hidden="1" outlineLevel="1" ht="38.25" customFormat="1" customHeight="1" s="235">
      <c r="A27" s="279" t="n">
        <v>10</v>
      </c>
      <c r="B27" s="191" t="inlineStr">
        <is>
          <t>91.19.06-011</t>
        </is>
      </c>
      <c r="C27" s="198" t="inlineStr">
        <is>
          <t>Насосы грязевые, подача 23,4-65,3 м3/ч, давление нагнетания 15,7-5,88 МПа (160-60 кгс/см2)</t>
        </is>
      </c>
      <c r="D27" s="191" t="inlineStr">
        <is>
          <t>маш.час</t>
        </is>
      </c>
      <c r="E27" s="279" t="n">
        <v>0.336</v>
      </c>
      <c r="F27" s="295" t="n">
        <v>32.71</v>
      </c>
      <c r="G27" s="32">
        <f>ROUND(E27*F27,2)</f>
        <v/>
      </c>
      <c r="H27" s="282">
        <f>G27/$G$35</f>
        <v/>
      </c>
      <c r="I27" s="32">
        <f>ROUND(F27*'Прил. 10'!$D$11,2)</f>
        <v/>
      </c>
      <c r="J27" s="32">
        <f>ROUND(I27*E27,2)</f>
        <v/>
      </c>
      <c r="L27" s="150" t="n"/>
    </row>
    <row r="28" hidden="1" outlineLevel="1" ht="25.5" customFormat="1" customHeight="1" s="235">
      <c r="A28" s="279" t="n">
        <v>11</v>
      </c>
      <c r="B28" s="191" t="inlineStr">
        <is>
          <t>91.17.04-233</t>
        </is>
      </c>
      <c r="C28" s="198" t="inlineStr">
        <is>
          <t>Установки для сварки ручной дуговой (постоянного тока)</t>
        </is>
      </c>
      <c r="D28" s="191" t="inlineStr">
        <is>
          <t>маш.час</t>
        </is>
      </c>
      <c r="E28" s="279" t="n">
        <v>0.72</v>
      </c>
      <c r="F28" s="295" t="n">
        <v>8.1</v>
      </c>
      <c r="G28" s="32">
        <f>ROUND(E28*F28,2)</f>
        <v/>
      </c>
      <c r="H28" s="282">
        <f>G28/$G$35</f>
        <v/>
      </c>
      <c r="I28" s="32">
        <f>ROUND(F28*'Прил. 10'!$D$11,2)</f>
        <v/>
      </c>
      <c r="J28" s="32">
        <f>ROUND(I28*E28,2)</f>
        <v/>
      </c>
      <c r="L28" s="150" t="n"/>
    </row>
    <row r="29" hidden="1" outlineLevel="1" ht="25.5" customFormat="1" customHeight="1" s="235">
      <c r="A29" s="279" t="n">
        <v>12</v>
      </c>
      <c r="B29" s="191" t="inlineStr">
        <is>
          <t>91.06.03-061</t>
        </is>
      </c>
      <c r="C29" s="198" t="inlineStr">
        <is>
          <t>Лебедки электрические тяговым усилием до 12,26 кН (1,25 т)</t>
        </is>
      </c>
      <c r="D29" s="191" t="inlineStr">
        <is>
          <t>маш.час</t>
        </is>
      </c>
      <c r="E29" s="279" t="n">
        <v>1.76</v>
      </c>
      <c r="F29" s="295" t="n">
        <v>3.28</v>
      </c>
      <c r="G29" s="32">
        <f>ROUND(E29*F29,2)</f>
        <v/>
      </c>
      <c r="H29" s="282">
        <f>G29/$G$35</f>
        <v/>
      </c>
      <c r="I29" s="32">
        <f>ROUND(F29*'Прил. 10'!$D$11,2)</f>
        <v/>
      </c>
      <c r="J29" s="32">
        <f>ROUND(I29*E29,2)</f>
        <v/>
      </c>
      <c r="L29" s="150" t="n"/>
    </row>
    <row r="30" hidden="1" outlineLevel="1" ht="25.5" customFormat="1" customHeight="1" s="235">
      <c r="A30" s="279" t="n">
        <v>13</v>
      </c>
      <c r="B30" s="191" t="inlineStr">
        <is>
          <t>91.06.01-003</t>
        </is>
      </c>
      <c r="C30" s="198" t="inlineStr">
        <is>
          <t>Домкраты гидравлические, грузоподъемность 63-100 т</t>
        </is>
      </c>
      <c r="D30" s="191" t="inlineStr">
        <is>
          <t>маш.час</t>
        </is>
      </c>
      <c r="E30" s="279" t="n">
        <v>5.54</v>
      </c>
      <c r="F30" s="295" t="n">
        <v>0.9</v>
      </c>
      <c r="G30" s="32">
        <f>ROUND(E30*F30,2)</f>
        <v/>
      </c>
      <c r="H30" s="282">
        <f>G30/$G$35</f>
        <v/>
      </c>
      <c r="I30" s="32">
        <f>ROUND(F30*'Прил. 10'!$D$11,2)</f>
        <v/>
      </c>
      <c r="J30" s="32">
        <f>ROUND(I30*E30,2)</f>
        <v/>
      </c>
      <c r="L30" s="150" t="n"/>
    </row>
    <row r="31" hidden="1" outlineLevel="1" ht="25.5" customFormat="1" customHeight="1" s="235">
      <c r="A31" s="279" t="n">
        <v>14</v>
      </c>
      <c r="B31" s="191" t="inlineStr">
        <is>
          <t>91.14.02-002</t>
        </is>
      </c>
      <c r="C31" s="198" t="inlineStr">
        <is>
          <t>Автомобили бортовые, грузоподъемность до 8 т</t>
        </is>
      </c>
      <c r="D31" s="191" t="inlineStr">
        <is>
          <t>маш.час</t>
        </is>
      </c>
      <c r="E31" s="279" t="n">
        <v>0.0428296</v>
      </c>
      <c r="F31" s="295" t="n">
        <v>85.84</v>
      </c>
      <c r="G31" s="32">
        <f>ROUND(E31*F31,2)</f>
        <v/>
      </c>
      <c r="H31" s="282">
        <f>G31/$G$35</f>
        <v/>
      </c>
      <c r="I31" s="32">
        <f>ROUND(F31*'Прил. 10'!$D$11,2)</f>
        <v/>
      </c>
      <c r="J31" s="32">
        <f>ROUND(I31*E31,2)</f>
        <v/>
      </c>
      <c r="L31" s="150" t="n"/>
    </row>
    <row r="32" hidden="1" outlineLevel="1" ht="25.5" customFormat="1" customHeight="1" s="235">
      <c r="A32" s="279" t="n">
        <v>15</v>
      </c>
      <c r="B32" s="191" t="inlineStr">
        <is>
          <t>91.08.09-023</t>
        </is>
      </c>
      <c r="C32" s="198" t="inlineStr">
        <is>
          <t>Трамбовки пневматические при работе от передвижных компрессорных станций</t>
        </is>
      </c>
      <c r="D32" s="191" t="inlineStr">
        <is>
          <t>маш.час</t>
        </is>
      </c>
      <c r="E32" s="279" t="n">
        <v>3.008</v>
      </c>
      <c r="F32" s="295" t="n">
        <v>0.55</v>
      </c>
      <c r="G32" s="32">
        <f>ROUND(E32*F32,2)</f>
        <v/>
      </c>
      <c r="H32" s="282">
        <f>G32/$G$35</f>
        <v/>
      </c>
      <c r="I32" s="32">
        <f>ROUND(F32*'Прил. 10'!$D$11,2)</f>
        <v/>
      </c>
      <c r="J32" s="32">
        <f>ROUND(I32*E32,2)</f>
        <v/>
      </c>
      <c r="L32" s="150" t="n"/>
    </row>
    <row r="33" hidden="1" outlineLevel="1" ht="25.5" customFormat="1" customHeight="1" s="235">
      <c r="A33" s="279" t="n">
        <v>16</v>
      </c>
      <c r="B33" s="191" t="inlineStr">
        <is>
          <t>91.07.04-001</t>
        </is>
      </c>
      <c r="C33" s="198" t="inlineStr">
        <is>
          <t>Вибраторы глубинные</t>
        </is>
      </c>
      <c r="D33" s="191" t="inlineStr">
        <is>
          <t>маш.час</t>
        </is>
      </c>
      <c r="E33" s="279" t="n">
        <v>0.384</v>
      </c>
      <c r="F33" s="295" t="n">
        <v>1.9</v>
      </c>
      <c r="G33" s="32">
        <f>ROUND(E33*F33,2)</f>
        <v/>
      </c>
      <c r="H33" s="282">
        <f>G33/$G$35</f>
        <v/>
      </c>
      <c r="I33" s="32">
        <f>ROUND(F33*'Прил. 10'!$D$11,2)</f>
        <v/>
      </c>
      <c r="J33" s="32">
        <f>ROUND(I33*E33,2)</f>
        <v/>
      </c>
      <c r="L33" s="150" t="n"/>
    </row>
    <row r="34" collapsed="1" ht="14.25" customFormat="1" customHeight="1" s="235">
      <c r="A34" s="279" t="n"/>
      <c r="B34" s="279" t="n"/>
      <c r="C34" s="278" t="inlineStr">
        <is>
          <t>Итого прочие машины и механизмы</t>
        </is>
      </c>
      <c r="D34" s="279" t="n"/>
      <c r="E34" s="279" t="n"/>
      <c r="F34" s="32" t="n"/>
      <c r="G34" s="32">
        <f>SUM(G24:G33)</f>
        <v/>
      </c>
      <c r="H34" s="282">
        <f>G34/G35</f>
        <v/>
      </c>
      <c r="I34" s="32" t="n"/>
      <c r="J34" s="32">
        <f>SUM(J24:J33)</f>
        <v/>
      </c>
      <c r="K34" s="150" t="n"/>
      <c r="L34" s="150" t="n"/>
    </row>
    <row r="35" ht="25.5" customFormat="1" customHeight="1" s="235">
      <c r="A35" s="279" t="n"/>
      <c r="B35" s="283" t="n"/>
      <c r="C35" s="192" t="inlineStr">
        <is>
          <t>Итого по разделу «Машины и механизмы»</t>
        </is>
      </c>
      <c r="D35" s="283" t="n"/>
      <c r="E35" s="193" t="n"/>
      <c r="F35" s="194" t="n"/>
      <c r="G35" s="194">
        <f>G23+G34</f>
        <v/>
      </c>
      <c r="H35" s="195" t="n">
        <v>1</v>
      </c>
      <c r="I35" s="194" t="n"/>
      <c r="J35" s="194">
        <f>J23+J34</f>
        <v/>
      </c>
    </row>
    <row r="36" ht="29.25" customHeight="1" s="240">
      <c r="A36" s="285" t="n"/>
      <c r="B36" s="272" t="inlineStr">
        <is>
          <t xml:space="preserve">Оборудование </t>
        </is>
      </c>
      <c r="C36" s="347" t="n"/>
      <c r="D36" s="347" t="n"/>
      <c r="E36" s="347" t="n"/>
      <c r="F36" s="347" t="n"/>
      <c r="G36" s="347" t="n"/>
      <c r="H36" s="347" t="n"/>
      <c r="I36" s="347" t="n"/>
      <c r="J36" s="348" t="n"/>
    </row>
    <row r="37" ht="15" customHeight="1" s="240">
      <c r="A37" s="279" t="n"/>
      <c r="B37" s="288" t="inlineStr">
        <is>
          <t>Основное оборудование</t>
        </is>
      </c>
    </row>
    <row r="38">
      <c r="A38" s="279" t="n">
        <v>17</v>
      </c>
      <c r="B38" s="191" t="inlineStr">
        <is>
          <t>БЦ.28.12</t>
        </is>
      </c>
      <c r="C38" s="278" t="inlineStr">
        <is>
          <t>ШО 10 кВ</t>
        </is>
      </c>
      <c r="D38" s="279" t="inlineStr">
        <is>
          <t>шт.</t>
        </is>
      </c>
      <c r="E38" s="151" t="n">
        <v>6</v>
      </c>
      <c r="F38" s="32">
        <f>ROUND(I38/'Прил. 10'!D13,2)</f>
        <v/>
      </c>
      <c r="G38" s="32">
        <f>ROUND(E38*F38,2)</f>
        <v/>
      </c>
      <c r="H38" s="282">
        <f>G38/$G$41</f>
        <v/>
      </c>
      <c r="I38" s="32" t="n">
        <v>7386.12</v>
      </c>
      <c r="J38" s="32">
        <f>ROUND(I38*E38,2)</f>
        <v/>
      </c>
    </row>
    <row r="39">
      <c r="A39" s="279" t="n"/>
      <c r="B39" s="279" t="n"/>
      <c r="C39" s="278" t="inlineStr">
        <is>
          <t>Итого основное оборудование</t>
        </is>
      </c>
      <c r="D39" s="279" t="n"/>
      <c r="E39" s="151" t="n"/>
      <c r="F39" s="281" t="n"/>
      <c r="G39" s="32">
        <f>SUM(G38:G38)</f>
        <v/>
      </c>
      <c r="H39" s="282">
        <f>G39/$G$41</f>
        <v/>
      </c>
      <c r="I39" s="32" t="n"/>
      <c r="J39" s="32">
        <f>J38</f>
        <v/>
      </c>
      <c r="K39" s="150" t="n"/>
    </row>
    <row r="40">
      <c r="A40" s="279" t="n"/>
      <c r="B40" s="279" t="n"/>
      <c r="C40" s="278" t="inlineStr">
        <is>
          <t>Итого прочее оборудование</t>
        </is>
      </c>
      <c r="D40" s="279" t="n"/>
      <c r="E40" s="280" t="n"/>
      <c r="F40" s="281" t="n"/>
      <c r="G40" s="32" t="n">
        <v>0</v>
      </c>
      <c r="H40" s="282">
        <f>G40/$G$41</f>
        <v/>
      </c>
      <c r="I40" s="281" t="n"/>
      <c r="J40" s="32" t="n">
        <v>0</v>
      </c>
      <c r="K40" s="150" t="n"/>
    </row>
    <row r="41">
      <c r="A41" s="279" t="n"/>
      <c r="B41" s="279" t="n"/>
      <c r="C41" s="272" t="inlineStr">
        <is>
          <t>Итого по разделу «Оборудование»</t>
        </is>
      </c>
      <c r="D41" s="279" t="n"/>
      <c r="E41" s="280" t="n"/>
      <c r="F41" s="281" t="n"/>
      <c r="G41" s="32">
        <f>G39+G40</f>
        <v/>
      </c>
      <c r="H41" s="282">
        <f>(G39+G40)/G41</f>
        <v/>
      </c>
      <c r="I41" s="32" t="n"/>
      <c r="J41" s="32">
        <f>J40+J39</f>
        <v/>
      </c>
      <c r="K41" s="150" t="n"/>
    </row>
    <row r="42" ht="25.5" customHeight="1" s="240">
      <c r="A42" s="279" t="n"/>
      <c r="B42" s="279" t="n"/>
      <c r="C42" s="278" t="inlineStr">
        <is>
          <t>в том числе технологическое оборудование</t>
        </is>
      </c>
      <c r="D42" s="279" t="n"/>
      <c r="E42" s="280" t="n"/>
      <c r="F42" s="281" t="n"/>
      <c r="G42" s="32">
        <f>G41</f>
        <v/>
      </c>
      <c r="H42" s="282">
        <f>G42/$G$41</f>
        <v/>
      </c>
      <c r="I42" s="32" t="n"/>
      <c r="J42" s="32">
        <f>ROUND(G42*'Прил. 10'!$D$13,2)</f>
        <v/>
      </c>
      <c r="K42" s="150" t="n"/>
    </row>
    <row r="43" ht="30" customFormat="1" customHeight="1" s="235">
      <c r="A43" s="279" t="n"/>
      <c r="B43" s="351" t="inlineStr">
        <is>
          <t xml:space="preserve">Материалы </t>
        </is>
      </c>
      <c r="J43" s="352" t="n"/>
      <c r="K43" s="150" t="n"/>
    </row>
    <row r="44" ht="14.25" customFormat="1" customHeight="1" s="235">
      <c r="A44" s="279" t="n"/>
      <c r="B44" s="278" t="inlineStr">
        <is>
          <t>Основные материалы</t>
        </is>
      </c>
      <c r="C44" s="347" t="n"/>
      <c r="D44" s="347" t="n"/>
      <c r="E44" s="347" t="n"/>
      <c r="F44" s="347" t="n"/>
      <c r="G44" s="347" t="n"/>
      <c r="H44" s="348" t="n"/>
      <c r="I44" s="282" t="n"/>
      <c r="J44" s="282" t="n"/>
    </row>
    <row r="45" ht="25.5" customFormat="1" customHeight="1" s="235">
      <c r="A45" s="279" t="n">
        <v>18</v>
      </c>
      <c r="B45" s="191" t="inlineStr">
        <is>
          <t>22.2.02.07-0003</t>
        </is>
      </c>
      <c r="C45" s="198" t="inlineStr">
        <is>
          <t>Конструкции стальные порталов ОРУ</t>
        </is>
      </c>
      <c r="D45" s="191" t="inlineStr">
        <is>
          <t>т</t>
        </is>
      </c>
      <c r="E45" s="279" t="n">
        <v>0.40448</v>
      </c>
      <c r="F45" s="295" t="n">
        <v>12500</v>
      </c>
      <c r="G45" s="32">
        <f>ROUND(E45*F45,2)</f>
        <v/>
      </c>
      <c r="H45" s="282">
        <f>G45/$G$68</f>
        <v/>
      </c>
      <c r="I45" s="32">
        <f>ROUND(F45*'Прил. 10'!$D$12,2)</f>
        <v/>
      </c>
      <c r="J45" s="32">
        <f>ROUND(I45*E45,2)</f>
        <v/>
      </c>
    </row>
    <row r="46" ht="25.5" customFormat="1" customHeight="1" s="235">
      <c r="A46" s="279" t="n">
        <v>19</v>
      </c>
      <c r="B46" s="191" t="inlineStr">
        <is>
          <t>07.2.07.13-0211</t>
        </is>
      </c>
      <c r="C46" s="198" t="inlineStr">
        <is>
          <t>Тяги, распорки, связи, стойки стальные оцинкованные</t>
        </is>
      </c>
      <c r="D46" s="191" t="inlineStr">
        <is>
          <t>т</t>
        </is>
      </c>
      <c r="E46" s="279" t="n">
        <v>0.1754</v>
      </c>
      <c r="F46" s="295" t="n">
        <v>22977.81</v>
      </c>
      <c r="G46" s="32">
        <f>ROUND(E46*F46,2)</f>
        <v/>
      </c>
      <c r="H46" s="282">
        <f>G46/$G$68</f>
        <v/>
      </c>
      <c r="I46" s="32">
        <f>ROUND(F46*'Прил. 10'!$D$12,2)</f>
        <v/>
      </c>
      <c r="J46" s="32">
        <f>ROUND(I46*E46,2)</f>
        <v/>
      </c>
    </row>
    <row r="47" ht="25.5" customFormat="1" customHeight="1" s="235">
      <c r="A47" s="279" t="n">
        <v>20</v>
      </c>
      <c r="B47" s="191" t="inlineStr">
        <is>
          <t>05.1.02.07-0028</t>
        </is>
      </c>
      <c r="C47" s="198" t="inlineStr">
        <is>
          <t>Стойки железобетонные под оборудование подстанций УСО-1А, бетон B15, объем 0,32 м3, расход арматуры 66,53 кг</t>
        </is>
      </c>
      <c r="D47" s="191" t="inlineStr">
        <is>
          <t>шт</t>
        </is>
      </c>
      <c r="E47" s="279" t="n">
        <v>2</v>
      </c>
      <c r="F47" s="295" t="n">
        <v>1340.68</v>
      </c>
      <c r="G47" s="32">
        <f>ROUND(E47*F47,2)</f>
        <v/>
      </c>
      <c r="H47" s="282">
        <f>G47/$G$68</f>
        <v/>
      </c>
      <c r="I47" s="32">
        <f>ROUND(F47*'Прил. 10'!$D$12,2)</f>
        <v/>
      </c>
      <c r="J47" s="32">
        <f>ROUND(I47*E47,2)</f>
        <v/>
      </c>
    </row>
    <row r="48" ht="25.5" customFormat="1" customHeight="1" s="235">
      <c r="A48" s="279" t="n">
        <v>21</v>
      </c>
      <c r="B48" s="191" t="inlineStr">
        <is>
          <t>20.1.01.02-0066</t>
        </is>
      </c>
      <c r="C48" s="198" t="inlineStr">
        <is>
          <t>Зажим аппаратный прессуемый: А4А-300-2</t>
        </is>
      </c>
      <c r="D48" s="191" t="inlineStr">
        <is>
          <t>100 шт</t>
        </is>
      </c>
      <c r="E48" s="279" t="n">
        <v>0.18</v>
      </c>
      <c r="F48" s="295" t="n">
        <v>6080</v>
      </c>
      <c r="G48" s="32">
        <f>ROUND(E48*F48,2)</f>
        <v/>
      </c>
      <c r="H48" s="282">
        <f>G48/$G$68</f>
        <v/>
      </c>
      <c r="I48" s="32">
        <f>ROUND(F48*'Прил. 10'!$D$12,2)</f>
        <v/>
      </c>
      <c r="J48" s="32">
        <f>ROUND(I48*E48,2)</f>
        <v/>
      </c>
    </row>
    <row r="49" ht="25.5" customFormat="1" customHeight="1" s="235">
      <c r="A49" s="279" t="n">
        <v>22</v>
      </c>
      <c r="B49" s="191" t="inlineStr">
        <is>
          <t>21.2.01.02-0094</t>
        </is>
      </c>
      <c r="C49" s="198" t="inlineStr">
        <is>
          <t>Провод неизолированный для воздушных линий электропередачи АС 300/39</t>
        </is>
      </c>
      <c r="D49" s="191" t="inlineStr">
        <is>
          <t>т</t>
        </is>
      </c>
      <c r="E49" s="279" t="n">
        <v>0.0311753</v>
      </c>
      <c r="F49" s="295" t="n">
        <v>32758.86</v>
      </c>
      <c r="G49" s="32">
        <f>ROUND(E49*F49,2)</f>
        <v/>
      </c>
      <c r="H49" s="282">
        <f>G49/$G$68</f>
        <v/>
      </c>
      <c r="I49" s="32">
        <f>ROUND(F49*'Прил. 10'!$D$12,2)</f>
        <v/>
      </c>
      <c r="J49" s="32">
        <f>ROUND(I49*E49,2)</f>
        <v/>
      </c>
    </row>
    <row r="50" ht="25.5" customFormat="1" customHeight="1" s="235">
      <c r="A50" s="279" t="n">
        <v>23</v>
      </c>
      <c r="B50" s="191" t="inlineStr">
        <is>
          <t>04.1.02.05-0003</t>
        </is>
      </c>
      <c r="C50" s="198" t="inlineStr">
        <is>
          <t>Смеси бетонные тяжелого бетона (БСТ), класс В7,5 (М100)</t>
        </is>
      </c>
      <c r="D50" s="191" t="inlineStr">
        <is>
          <t>м3</t>
        </is>
      </c>
      <c r="E50" s="279" t="n">
        <v>1.632</v>
      </c>
      <c r="F50" s="295" t="n">
        <v>560</v>
      </c>
      <c r="G50" s="32">
        <f>ROUND(E50*F50,2)</f>
        <v/>
      </c>
      <c r="H50" s="282">
        <f>G50/$G$68</f>
        <v/>
      </c>
      <c r="I50" s="32">
        <f>ROUND(F50*'Прил. 10'!$D$12,2)</f>
        <v/>
      </c>
      <c r="J50" s="32">
        <f>ROUND(I50*E50,2)</f>
        <v/>
      </c>
    </row>
    <row r="51" ht="14.25" customFormat="1" customHeight="1" s="235">
      <c r="A51" s="279" t="n"/>
      <c r="B51" s="279" t="n"/>
      <c r="C51" s="278" t="inlineStr">
        <is>
          <t>Итого основные материалы</t>
        </is>
      </c>
      <c r="D51" s="279" t="n"/>
      <c r="E51" s="279" t="n"/>
      <c r="F51" s="281" t="n"/>
      <c r="G51" s="32">
        <f>SUM(G45:G50)</f>
        <v/>
      </c>
      <c r="H51" s="282">
        <f>G51/$G$68</f>
        <v/>
      </c>
      <c r="I51" s="32" t="n"/>
      <c r="J51" s="32">
        <f>SUM(J45:J50)</f>
        <v/>
      </c>
      <c r="K51" s="150" t="n"/>
    </row>
    <row r="52" hidden="1" outlineLevel="1" ht="25.5" customFormat="1" customHeight="1" s="235">
      <c r="A52" s="279" t="n">
        <v>24</v>
      </c>
      <c r="B52" s="191" t="inlineStr">
        <is>
          <t>21.1.06.09-0177</t>
        </is>
      </c>
      <c r="C52" s="198" t="inlineStr">
        <is>
          <t>Кабель силовой с медными жилами ВВГнг(A)-LS 5х4-660</t>
        </is>
      </c>
      <c r="D52" s="191" t="inlineStr">
        <is>
          <t>1000 м</t>
        </is>
      </c>
      <c r="E52" s="279" t="n">
        <v>0.04</v>
      </c>
      <c r="F52" s="295" t="n">
        <v>18047.85</v>
      </c>
      <c r="G52" s="32">
        <f>ROUND(E52*F52,2)</f>
        <v/>
      </c>
      <c r="H52" s="282">
        <f>G52/$G$68</f>
        <v/>
      </c>
      <c r="I52" s="32">
        <f>ROUND(F52*'Прил. 10'!$D$12,2)</f>
        <v/>
      </c>
      <c r="J52" s="32">
        <f>ROUND(I52*E52,2)</f>
        <v/>
      </c>
    </row>
    <row r="53" hidden="1" outlineLevel="1" ht="14.25" customFormat="1" customHeight="1" s="235">
      <c r="A53" s="279" t="n">
        <v>25</v>
      </c>
      <c r="B53" s="191" t="inlineStr">
        <is>
          <t>21.1.08.03-0693</t>
        </is>
      </c>
      <c r="C53" s="198" t="inlineStr">
        <is>
          <t>Кабель контрольный КВВГЭнг-LS 4х1,5</t>
        </is>
      </c>
      <c r="D53" s="191" t="inlineStr">
        <is>
          <t>1000 м</t>
        </is>
      </c>
      <c r="E53" s="279" t="n">
        <v>0.04</v>
      </c>
      <c r="F53" s="295" t="n">
        <v>8958.610000000001</v>
      </c>
      <c r="G53" s="32">
        <f>ROUND(E53*F53,2)</f>
        <v/>
      </c>
      <c r="H53" s="282">
        <f>G53/$G$68</f>
        <v/>
      </c>
      <c r="I53" s="32">
        <f>ROUND(F53*'Прил. 10'!$D$12,2)</f>
        <v/>
      </c>
      <c r="J53" s="32">
        <f>ROUND(I53*E53,2)</f>
        <v/>
      </c>
    </row>
    <row r="54" hidden="1" outlineLevel="1" ht="51" customFormat="1" customHeight="1" s="235">
      <c r="A54" s="279" t="n">
        <v>26</v>
      </c>
      <c r="B54" s="191" t="inlineStr">
        <is>
          <t>23.3.01.04-0074</t>
        </is>
      </c>
      <c r="C54" s="198" t="inlineStr">
        <is>
          <t>Трубы бесшовные обсадные из стали группы Д и Б с короткой треугольной резьбой, наружный диаметр 377 мм, толщина стенки 12 мм</t>
        </is>
      </c>
      <c r="D54" s="191" t="inlineStr">
        <is>
          <t>м</t>
        </is>
      </c>
      <c r="E54" s="279" t="n">
        <v>0.24</v>
      </c>
      <c r="F54" s="295" t="n">
        <v>1001.3</v>
      </c>
      <c r="G54" s="32">
        <f>ROUND(E54*F54,2)</f>
        <v/>
      </c>
      <c r="H54" s="282">
        <f>G54/$G$68</f>
        <v/>
      </c>
      <c r="I54" s="32">
        <f>ROUND(F54*'Прил. 10'!$D$12,2)</f>
        <v/>
      </c>
      <c r="J54" s="32">
        <f>ROUND(I54*E54,2)</f>
        <v/>
      </c>
    </row>
    <row r="55" hidden="1" outlineLevel="1" ht="14.25" customFormat="1" customHeight="1" s="235">
      <c r="A55" s="279" t="n">
        <v>27</v>
      </c>
      <c r="B55" s="191" t="inlineStr">
        <is>
          <t>14.4.02.09-0001</t>
        </is>
      </c>
      <c r="C55" s="198" t="inlineStr">
        <is>
          <t>Краска</t>
        </is>
      </c>
      <c r="D55" s="191" t="inlineStr">
        <is>
          <t>кг</t>
        </is>
      </c>
      <c r="E55" s="279" t="n">
        <v>4.8</v>
      </c>
      <c r="F55" s="295" t="n">
        <v>28.6</v>
      </c>
      <c r="G55" s="32">
        <f>ROUND(E55*F55,2)</f>
        <v/>
      </c>
      <c r="H55" s="282">
        <f>G55/$G$68</f>
        <v/>
      </c>
      <c r="I55" s="32">
        <f>ROUND(F55*'Прил. 10'!$D$12,2)</f>
        <v/>
      </c>
      <c r="J55" s="32">
        <f>ROUND(I55*E55,2)</f>
        <v/>
      </c>
    </row>
    <row r="56" hidden="1" outlineLevel="1" ht="38.25" customFormat="1" customHeight="1" s="235">
      <c r="A56" s="279" t="n">
        <v>28</v>
      </c>
      <c r="B56" s="191" t="inlineStr">
        <is>
          <t>08.3.07.01-0076</t>
        </is>
      </c>
      <c r="C56" s="198" t="inlineStr">
        <is>
          <t>Прокат полосовой, горячекатаный, марка стали Ст3сп, ширина 50-200 мм, толщина 4-5 мм</t>
        </is>
      </c>
      <c r="D56" s="191" t="inlineStr">
        <is>
          <t>т</t>
        </is>
      </c>
      <c r="E56" s="279" t="n">
        <v>0.018</v>
      </c>
      <c r="F56" s="295" t="n">
        <v>5000</v>
      </c>
      <c r="G56" s="32">
        <f>ROUND(E56*F56,2)</f>
        <v/>
      </c>
      <c r="H56" s="282">
        <f>G56/$G$68</f>
        <v/>
      </c>
      <c r="I56" s="32">
        <f>ROUND(F56*'Прил. 10'!$D$12,2)</f>
        <v/>
      </c>
      <c r="J56" s="32">
        <f>ROUND(I56*E56,2)</f>
        <v/>
      </c>
    </row>
    <row r="57" hidden="1" outlineLevel="1" ht="14.25" customFormat="1" customHeight="1" s="235">
      <c r="A57" s="279" t="n">
        <v>29</v>
      </c>
      <c r="B57" s="191" t="inlineStr">
        <is>
          <t>01.7.11.07-0032</t>
        </is>
      </c>
      <c r="C57" s="198" t="inlineStr">
        <is>
          <t>Электроды сварочные Э42, диаметр 4 мм</t>
        </is>
      </c>
      <c r="D57" s="191" t="inlineStr">
        <is>
          <t>т</t>
        </is>
      </c>
      <c r="E57" s="279" t="n">
        <v>0.0057988</v>
      </c>
      <c r="F57" s="295" t="n">
        <v>10315.01</v>
      </c>
      <c r="G57" s="32">
        <f>ROUND(E57*F57,2)</f>
        <v/>
      </c>
      <c r="H57" s="282">
        <f>G57/$G$68</f>
        <v/>
      </c>
      <c r="I57" s="32">
        <f>ROUND(F57*'Прил. 10'!$D$12,2)</f>
        <v/>
      </c>
      <c r="J57" s="32">
        <f>ROUND(I57*E57,2)</f>
        <v/>
      </c>
    </row>
    <row r="58" hidden="1" outlineLevel="1" ht="14.25" customFormat="1" customHeight="1" s="235">
      <c r="A58" s="279" t="n">
        <v>30</v>
      </c>
      <c r="B58" s="191" t="inlineStr">
        <is>
          <t>01.7.15.03-0042</t>
        </is>
      </c>
      <c r="C58" s="198" t="inlineStr">
        <is>
          <t>Болты с гайками и шайбами строительные</t>
        </is>
      </c>
      <c r="D58" s="191" t="inlineStr">
        <is>
          <t>кг</t>
        </is>
      </c>
      <c r="E58" s="279" t="n">
        <v>5.82</v>
      </c>
      <c r="F58" s="295" t="n">
        <v>9.039999999999999</v>
      </c>
      <c r="G58" s="32">
        <f>ROUND(E58*F58,2)</f>
        <v/>
      </c>
      <c r="H58" s="282">
        <f>G58/$G$68</f>
        <v/>
      </c>
      <c r="I58" s="32">
        <f>ROUND(F58*'Прил. 10'!$D$12,2)</f>
        <v/>
      </c>
      <c r="J58" s="32">
        <f>ROUND(I58*E58,2)</f>
        <v/>
      </c>
    </row>
    <row r="59" hidden="1" outlineLevel="1" ht="25.5" customFormat="1" customHeight="1" s="235">
      <c r="A59" s="279" t="n">
        <v>31</v>
      </c>
      <c r="B59" s="191" t="inlineStr">
        <is>
          <t>10.3.02.03-0011</t>
        </is>
      </c>
      <c r="C59" s="198" t="inlineStr">
        <is>
          <t>Припои оловянно-свинцовые бессурьмянистые, марка ПОС30</t>
        </is>
      </c>
      <c r="D59" s="191" t="inlineStr">
        <is>
          <t>т</t>
        </is>
      </c>
      <c r="E59" s="279" t="n">
        <v>0.000208</v>
      </c>
      <c r="F59" s="295" t="n">
        <v>68050</v>
      </c>
      <c r="G59" s="32">
        <f>ROUND(E59*F59,2)</f>
        <v/>
      </c>
      <c r="H59" s="282">
        <f>G59/$G$68</f>
        <v/>
      </c>
      <c r="I59" s="32">
        <f>ROUND(F59*'Прил. 10'!$D$12,2)</f>
        <v/>
      </c>
      <c r="J59" s="32">
        <f>ROUND(I59*E59,2)</f>
        <v/>
      </c>
    </row>
    <row r="60" hidden="1" outlineLevel="1" ht="25.5" customFormat="1" customHeight="1" s="235">
      <c r="A60" s="279" t="n">
        <v>32</v>
      </c>
      <c r="B60" s="191" t="inlineStr">
        <is>
          <t>02.2.05.04-1777</t>
        </is>
      </c>
      <c r="C60" s="198" t="inlineStr">
        <is>
          <t>Щебень М 800, фракция 20-40 мм, группа 2</t>
        </is>
      </c>
      <c r="D60" s="191" t="inlineStr">
        <is>
          <t>м3</t>
        </is>
      </c>
      <c r="E60" s="279" t="n">
        <v>0.06</v>
      </c>
      <c r="F60" s="295" t="n">
        <v>108.4</v>
      </c>
      <c r="G60" s="32">
        <f>ROUND(E60*F60,2)</f>
        <v/>
      </c>
      <c r="H60" s="282">
        <f>G60/$G$68</f>
        <v/>
      </c>
      <c r="I60" s="32">
        <f>ROUND(F60*'Прил. 10'!$D$12,2)</f>
        <v/>
      </c>
      <c r="J60" s="32">
        <f>ROUND(I60*E60,2)</f>
        <v/>
      </c>
    </row>
    <row r="61" hidden="1" outlineLevel="1" ht="25.5" customFormat="1" customHeight="1" s="235">
      <c r="A61" s="279" t="n">
        <v>33</v>
      </c>
      <c r="B61" s="191" t="inlineStr">
        <is>
          <t>01.3.01.06-0050</t>
        </is>
      </c>
      <c r="C61" s="198" t="inlineStr">
        <is>
          <t>Смазка универсальная тугоплавкая УТ (консталин жировой)</t>
        </is>
      </c>
      <c r="D61" s="191" t="inlineStr">
        <is>
          <t>т</t>
        </is>
      </c>
      <c r="E61" s="279" t="n">
        <v>0.00036</v>
      </c>
      <c r="F61" s="295" t="n">
        <v>17500</v>
      </c>
      <c r="G61" s="32">
        <f>ROUND(E61*F61,2)</f>
        <v/>
      </c>
      <c r="H61" s="282">
        <f>G61/$G$68</f>
        <v/>
      </c>
      <c r="I61" s="32">
        <f>ROUND(F61*'Прил. 10'!$D$12,2)</f>
        <v/>
      </c>
      <c r="J61" s="32">
        <f>ROUND(I61*E61,2)</f>
        <v/>
      </c>
    </row>
    <row r="62" hidden="1" outlineLevel="1" ht="25.5" customFormat="1" customHeight="1" s="235">
      <c r="A62" s="279" t="n">
        <v>34</v>
      </c>
      <c r="B62" s="191" t="inlineStr">
        <is>
          <t>999-9950</t>
        </is>
      </c>
      <c r="C62" s="198" t="inlineStr">
        <is>
          <t>Вспомогательные ненормируемые ресурсы (2% от Оплаты труда рабочих)</t>
        </is>
      </c>
      <c r="D62" s="191" t="inlineStr">
        <is>
          <t>руб</t>
        </is>
      </c>
      <c r="E62" s="279" t="n">
        <v>6.162</v>
      </c>
      <c r="F62" s="295" t="n">
        <v>1</v>
      </c>
      <c r="G62" s="32">
        <f>ROUND(E62*F62,2)</f>
        <v/>
      </c>
      <c r="H62" s="282">
        <f>G62/$G$68</f>
        <v/>
      </c>
      <c r="I62" s="32">
        <f>ROUND(F62*'Прил. 10'!$D$12,2)</f>
        <v/>
      </c>
      <c r="J62" s="32">
        <f>ROUND(I62*E62,2)</f>
        <v/>
      </c>
    </row>
    <row r="63" hidden="1" outlineLevel="1" ht="14.25" customFormat="1" customHeight="1" s="235">
      <c r="A63" s="279" t="n">
        <v>35</v>
      </c>
      <c r="B63" s="191" t="inlineStr">
        <is>
          <t>14.4.03.03-0002</t>
        </is>
      </c>
      <c r="C63" s="198" t="inlineStr">
        <is>
          <t>Лак битумный БТ-123</t>
        </is>
      </c>
      <c r="D63" s="191" t="inlineStr">
        <is>
          <t>т</t>
        </is>
      </c>
      <c r="E63" s="279" t="n">
        <v>0.000576</v>
      </c>
      <c r="F63" s="295" t="n">
        <v>7826.9</v>
      </c>
      <c r="G63" s="32">
        <f>ROUND(E63*F63,2)</f>
        <v/>
      </c>
      <c r="H63" s="282">
        <f>G63/$G$68</f>
        <v/>
      </c>
      <c r="I63" s="32">
        <f>ROUND(F63*'Прил. 10'!$D$12,2)</f>
        <v/>
      </c>
      <c r="J63" s="32">
        <f>ROUND(I63*E63,2)</f>
        <v/>
      </c>
    </row>
    <row r="64" hidden="1" outlineLevel="1" ht="25.5" customFormat="1" customHeight="1" s="235">
      <c r="A64" s="279" t="n">
        <v>36</v>
      </c>
      <c r="B64" s="191" t="inlineStr">
        <is>
          <t>01.7.11.07-0034</t>
        </is>
      </c>
      <c r="C64" s="198" t="inlineStr">
        <is>
          <t>Электроды сварочные Э42А, диаметр 4 мм</t>
        </is>
      </c>
      <c r="D64" s="191" t="inlineStr">
        <is>
          <t>кг</t>
        </is>
      </c>
      <c r="E64" s="279" t="n">
        <v>0.3</v>
      </c>
      <c r="F64" s="295" t="n">
        <v>10.57</v>
      </c>
      <c r="G64" s="32">
        <f>ROUND(E64*F64,2)</f>
        <v/>
      </c>
      <c r="H64" s="282">
        <f>G64/$G$68</f>
        <v/>
      </c>
      <c r="I64" s="32">
        <f>ROUND(F64*'Прил. 10'!$D$12,2)</f>
        <v/>
      </c>
      <c r="J64" s="32">
        <f>ROUND(I64*E64,2)</f>
        <v/>
      </c>
    </row>
    <row r="65" hidden="1" outlineLevel="1" ht="14.25" customFormat="1" customHeight="1" s="235">
      <c r="A65" s="279" t="n">
        <v>37</v>
      </c>
      <c r="B65" s="191" t="inlineStr">
        <is>
          <t>01.7.06.07-0002</t>
        </is>
      </c>
      <c r="C65" s="198" t="inlineStr">
        <is>
          <t>Лента монтажная, тип ЛМ-5</t>
        </is>
      </c>
      <c r="D65" s="191" t="inlineStr">
        <is>
          <t>10 м</t>
        </is>
      </c>
      <c r="E65" s="279" t="n">
        <v>0.196</v>
      </c>
      <c r="F65" s="295" t="n">
        <v>6.9</v>
      </c>
      <c r="G65" s="32">
        <f>ROUND(E65*F65,2)</f>
        <v/>
      </c>
      <c r="H65" s="282">
        <f>G65/$G$68</f>
        <v/>
      </c>
      <c r="I65" s="32">
        <f>ROUND(F65*'Прил. 10'!$D$12,2)</f>
        <v/>
      </c>
      <c r="J65" s="32">
        <f>ROUND(I65*E65,2)</f>
        <v/>
      </c>
    </row>
    <row r="66" hidden="1" outlineLevel="1" ht="25.5" customFormat="1" customHeight="1" s="235">
      <c r="A66" s="279" t="n">
        <v>38</v>
      </c>
      <c r="B66" s="191" t="inlineStr">
        <is>
          <t>01.7.15.14-0165</t>
        </is>
      </c>
      <c r="C66" s="198" t="inlineStr">
        <is>
          <t>Шурупы с полукруглой головкой 4х40 мм</t>
        </is>
      </c>
      <c r="D66" s="191" t="inlineStr">
        <is>
          <t>т</t>
        </is>
      </c>
      <c r="E66" s="279" t="n">
        <v>8.8e-05</v>
      </c>
      <c r="F66" s="295" t="n">
        <v>12430</v>
      </c>
      <c r="G66" s="32">
        <f>ROUND(E66*F66,2)</f>
        <v/>
      </c>
      <c r="H66" s="282">
        <f>G66/$G$68</f>
        <v/>
      </c>
      <c r="I66" s="32">
        <f>ROUND(F66*'Прил. 10'!$D$12,2)</f>
        <v/>
      </c>
      <c r="J66" s="32">
        <f>ROUND(I66*E66,2)</f>
        <v/>
      </c>
    </row>
    <row r="67" collapsed="1" ht="14.25" customFormat="1" customHeight="1" s="235">
      <c r="A67" s="279" t="n"/>
      <c r="B67" s="279" t="n"/>
      <c r="C67" s="278" t="inlineStr">
        <is>
          <t>Итого прочие материалы</t>
        </is>
      </c>
      <c r="D67" s="279" t="n"/>
      <c r="E67" s="280" t="n"/>
      <c r="F67" s="281" t="n"/>
      <c r="G67" s="32">
        <f>SUM(G52:G66)</f>
        <v/>
      </c>
      <c r="H67" s="282">
        <f>G67/G68</f>
        <v/>
      </c>
      <c r="I67" s="32" t="n"/>
      <c r="J67" s="32">
        <f>SUM(J52:J66)</f>
        <v/>
      </c>
    </row>
    <row r="68" ht="14.25" customFormat="1" customHeight="1" s="235">
      <c r="A68" s="279" t="n"/>
      <c r="B68" s="279" t="n"/>
      <c r="C68" s="272" t="inlineStr">
        <is>
          <t>Итого по разделу «Материалы»</t>
        </is>
      </c>
      <c r="D68" s="279" t="n"/>
      <c r="E68" s="280" t="n"/>
      <c r="F68" s="281" t="n"/>
      <c r="G68" s="32">
        <f>G51+G67</f>
        <v/>
      </c>
      <c r="H68" s="282" t="n">
        <v>1</v>
      </c>
      <c r="I68" s="281" t="n"/>
      <c r="J68" s="32">
        <f>J51+J67</f>
        <v/>
      </c>
      <c r="K68" s="150" t="n"/>
    </row>
    <row r="69" ht="14.25" customFormat="1" customHeight="1" s="235">
      <c r="A69" s="279" t="n"/>
      <c r="B69" s="279" t="n"/>
      <c r="C69" s="278" t="inlineStr">
        <is>
          <t>ИТОГО ПО РМ</t>
        </is>
      </c>
      <c r="D69" s="279" t="n"/>
      <c r="E69" s="280" t="n"/>
      <c r="F69" s="281" t="n"/>
      <c r="G69" s="32">
        <f>G14+G35+G68</f>
        <v/>
      </c>
      <c r="H69" s="282" t="n"/>
      <c r="I69" s="281" t="n"/>
      <c r="J69" s="32">
        <f>J14+J35+J68</f>
        <v/>
      </c>
    </row>
    <row r="70" ht="14.25" customFormat="1" customHeight="1" s="235">
      <c r="A70" s="279" t="n"/>
      <c r="B70" s="279" t="n"/>
      <c r="C70" s="278" t="inlineStr">
        <is>
          <t>Накладные расходы</t>
        </is>
      </c>
      <c r="D70" s="279" t="inlineStr">
        <is>
          <t>%</t>
        </is>
      </c>
      <c r="E70" s="16" t="n">
        <v>0.8100000000000001</v>
      </c>
      <c r="F70" s="281" t="n"/>
      <c r="G70" s="32" t="n">
        <v>691.5</v>
      </c>
      <c r="H70" s="282" t="n"/>
      <c r="I70" s="281" t="n"/>
      <c r="J70" s="32">
        <f>ROUND(E70*(J14+J16),2)</f>
        <v/>
      </c>
      <c r="K70" s="28" t="n"/>
    </row>
    <row r="71" ht="14.25" customFormat="1" customHeight="1" s="235">
      <c r="A71" s="279" t="n"/>
      <c r="B71" s="279" t="n"/>
      <c r="C71" s="278" t="inlineStr">
        <is>
          <t>Сметная прибыль</t>
        </is>
      </c>
      <c r="D71" s="279" t="inlineStr">
        <is>
          <t>%</t>
        </is>
      </c>
      <c r="E71" s="16" t="n">
        <v>0.6</v>
      </c>
      <c r="F71" s="281" t="n"/>
      <c r="G71" s="32" t="n">
        <v>380.75</v>
      </c>
      <c r="H71" s="282" t="n"/>
      <c r="I71" s="281" t="n"/>
      <c r="J71" s="32">
        <f>ROUND(E71*(J14+J16),2)</f>
        <v/>
      </c>
      <c r="K71" s="28" t="n"/>
    </row>
    <row r="72" ht="14.25" customFormat="1" customHeight="1" s="235">
      <c r="A72" s="279" t="n"/>
      <c r="B72" s="279" t="n"/>
      <c r="C72" s="278" t="inlineStr">
        <is>
          <t>Итого СМР (с НР и СП)</t>
        </is>
      </c>
      <c r="D72" s="279" t="n"/>
      <c r="E72" s="280" t="n"/>
      <c r="F72" s="281" t="n"/>
      <c r="G72" s="32">
        <f>G14+G35+G68+G70+G71</f>
        <v/>
      </c>
      <c r="H72" s="282" t="n"/>
      <c r="I72" s="281" t="n"/>
      <c r="J72" s="32">
        <f>J14+J35+J68+J70+J71</f>
        <v/>
      </c>
      <c r="L72" s="152" t="n"/>
    </row>
    <row r="73" ht="14.25" customFormat="1" customHeight="1" s="235">
      <c r="A73" s="279" t="n"/>
      <c r="B73" s="279" t="n"/>
      <c r="C73" s="278" t="inlineStr">
        <is>
          <t>ВСЕГО СМР + ОБОРУДОВАНИЕ</t>
        </is>
      </c>
      <c r="D73" s="279" t="n"/>
      <c r="E73" s="280" t="n"/>
      <c r="F73" s="281" t="n"/>
      <c r="G73" s="32">
        <f>G72+G41</f>
        <v/>
      </c>
      <c r="H73" s="282" t="n"/>
      <c r="I73" s="281" t="n"/>
      <c r="J73" s="32">
        <f>J72+J41</f>
        <v/>
      </c>
      <c r="L73" s="32" t="n"/>
    </row>
    <row r="74" ht="14.25" customFormat="1" customHeight="1" s="235">
      <c r="A74" s="279" t="n"/>
      <c r="B74" s="279" t="n"/>
      <c r="C74" s="278" t="inlineStr">
        <is>
          <t>ИТОГО ПОКАЗАТЕЛЬ НА ЕД. ИЗМ.</t>
        </is>
      </c>
      <c r="D74" s="279" t="inlineStr">
        <is>
          <t>ед.</t>
        </is>
      </c>
      <c r="E74" s="197" t="n">
        <v>6</v>
      </c>
      <c r="F74" s="281" t="n"/>
      <c r="G74" s="32">
        <f>G73/E74</f>
        <v/>
      </c>
      <c r="H74" s="282" t="n"/>
      <c r="I74" s="281" t="n"/>
      <c r="J74" s="32">
        <f>J73/E74</f>
        <v/>
      </c>
      <c r="L74" s="28" t="n"/>
    </row>
    <row r="78" ht="14.25" customFormat="1" customHeight="1" s="235">
      <c r="A78" s="233" t="n"/>
    </row>
    <row r="79" ht="14.25" customFormat="1" customHeight="1" s="235">
      <c r="A79" s="199" t="inlineStr">
        <is>
          <t>Составил ______________________        Е. М. Добровольская</t>
        </is>
      </c>
    </row>
    <row r="80" ht="14.25" customFormat="1" customHeight="1" s="235">
      <c r="A80" s="236" t="inlineStr">
        <is>
          <t xml:space="preserve">                         (подпись, инициалы, фамилия)</t>
        </is>
      </c>
    </row>
    <row r="81" ht="14.25" customFormat="1" customHeight="1" s="235">
      <c r="A81" s="225" t="n"/>
    </row>
    <row r="82" ht="14.25" customFormat="1" customHeight="1" s="235">
      <c r="A82" s="225" t="inlineStr">
        <is>
          <t>Проверил ______________________        А.В. Костянецкая</t>
        </is>
      </c>
    </row>
    <row r="83" ht="14.25" customFormat="1" customHeight="1" s="235">
      <c r="A83" s="236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B37:J37"/>
    <mergeCell ref="A7:H7"/>
    <mergeCell ref="B9:B10"/>
    <mergeCell ref="D9:D10"/>
    <mergeCell ref="B18:H18"/>
    <mergeCell ref="B36:J36"/>
    <mergeCell ref="B12:H12"/>
    <mergeCell ref="D6:J6"/>
    <mergeCell ref="F9:G9"/>
    <mergeCell ref="A4:H4"/>
    <mergeCell ref="B17:H17"/>
    <mergeCell ref="A9:A10"/>
    <mergeCell ref="B44:H44"/>
    <mergeCell ref="A6:C6"/>
    <mergeCell ref="B43:J4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11">
    <outlinePr summaryBelow="1" summaryRight="1"/>
    <pageSetUpPr/>
  </sheetPr>
  <dimension ref="A1:G21"/>
  <sheetViews>
    <sheetView view="pageBreakPreview" workbookViewId="0">
      <selection activeCell="A17" sqref="A17"/>
    </sheetView>
  </sheetViews>
  <sheetFormatPr baseColWidth="8" defaultRowHeight="15"/>
  <cols>
    <col width="5.7109375" customWidth="1" style="240" min="1" max="1"/>
    <col width="14.85546875" customWidth="1" style="240" min="2" max="2"/>
    <col width="39.140625" customWidth="1" style="240" min="3" max="3"/>
    <col width="9.7109375" customWidth="1" style="240" min="4" max="4"/>
    <col width="13.5703125" customWidth="1" style="240" min="5" max="5"/>
    <col width="12.42578125" customWidth="1" style="240" min="6" max="6"/>
    <col width="14.140625" customWidth="1" style="240" min="7" max="7"/>
  </cols>
  <sheetData>
    <row r="1">
      <c r="A1" s="296" t="inlineStr">
        <is>
          <t>Приложение №6</t>
        </is>
      </c>
    </row>
    <row r="2">
      <c r="A2" s="296" t="n"/>
      <c r="B2" s="296" t="n"/>
      <c r="C2" s="296" t="n"/>
      <c r="D2" s="296" t="n"/>
      <c r="E2" s="296" t="n"/>
      <c r="F2" s="296" t="n"/>
      <c r="G2" s="296" t="n"/>
    </row>
    <row r="3" ht="21.75" customHeight="1" s="240">
      <c r="A3" s="296" t="n"/>
      <c r="B3" s="296" t="n"/>
      <c r="C3" s="296" t="n"/>
      <c r="D3" s="296" t="n"/>
      <c r="E3" s="296" t="n"/>
      <c r="F3" s="296" t="n"/>
      <c r="G3" s="296" t="n"/>
    </row>
    <row r="4" ht="24.75" customHeight="1" s="240">
      <c r="A4" s="243" t="inlineStr">
        <is>
          <t>Расчет стоимости оборудования</t>
        </is>
      </c>
    </row>
    <row r="5" ht="44.25" customHeight="1" s="240">
      <c r="A5" s="246" t="inlineStr">
        <is>
          <t xml:space="preserve">Наименование разрабатываемого показателя УНЦ - </t>
        </is>
      </c>
      <c r="D5" s="246" t="inlineStr">
        <is>
          <t>Шинная опора на одну фазу с устройством фундамента напряжение 6-15 кВ</t>
        </is>
      </c>
    </row>
    <row r="6">
      <c r="A6" s="225" t="n"/>
      <c r="B6" s="225" t="n"/>
      <c r="C6" s="225" t="n"/>
      <c r="D6" s="225" t="n"/>
      <c r="E6" s="225" t="n"/>
      <c r="F6" s="225" t="n"/>
      <c r="G6" s="225" t="n"/>
    </row>
    <row r="7" ht="30" customHeight="1" s="240">
      <c r="A7" s="297" t="inlineStr">
        <is>
          <t>№ пп.</t>
        </is>
      </c>
      <c r="B7" s="297" t="inlineStr">
        <is>
          <t>Код ресурса</t>
        </is>
      </c>
      <c r="C7" s="297" t="inlineStr">
        <is>
          <t>Наименование</t>
        </is>
      </c>
      <c r="D7" s="297" t="inlineStr">
        <is>
          <t>Ед. изм.</t>
        </is>
      </c>
      <c r="E7" s="279" t="inlineStr">
        <is>
          <t>Кол-во единиц по проектным данным</t>
        </is>
      </c>
      <c r="F7" s="297" t="inlineStr">
        <is>
          <t>Сметная стоимость в ценах на 01.01.2000 (руб.)</t>
        </is>
      </c>
      <c r="G7" s="348" t="n"/>
    </row>
    <row r="8">
      <c r="A8" s="350" t="n"/>
      <c r="B8" s="350" t="n"/>
      <c r="C8" s="350" t="n"/>
      <c r="D8" s="350" t="n"/>
      <c r="E8" s="350" t="n"/>
      <c r="F8" s="279" t="inlineStr">
        <is>
          <t>на ед. изм.</t>
        </is>
      </c>
      <c r="G8" s="279" t="inlineStr">
        <is>
          <t>общая</t>
        </is>
      </c>
    </row>
    <row r="9">
      <c r="A9" s="279" t="n">
        <v>1</v>
      </c>
      <c r="B9" s="279" t="n">
        <v>2</v>
      </c>
      <c r="C9" s="279" t="n">
        <v>3</v>
      </c>
      <c r="D9" s="279" t="n">
        <v>4</v>
      </c>
      <c r="E9" s="279" t="n">
        <v>5</v>
      </c>
      <c r="F9" s="279" t="n">
        <v>6</v>
      </c>
      <c r="G9" s="279" t="n">
        <v>7</v>
      </c>
    </row>
    <row r="10" ht="15" customHeight="1" s="240">
      <c r="A10" s="25" t="n"/>
      <c r="B10" s="278" t="inlineStr">
        <is>
          <t>ИНЖЕНЕРНОЕ ОБОРУДОВАНИЕ</t>
        </is>
      </c>
      <c r="C10" s="347" t="n"/>
      <c r="D10" s="347" t="n"/>
      <c r="E10" s="347" t="n"/>
      <c r="F10" s="347" t="n"/>
      <c r="G10" s="348" t="n"/>
    </row>
    <row r="11" ht="20.25" customHeight="1" s="240">
      <c r="A11" s="279" t="n"/>
      <c r="B11" s="272" t="n"/>
      <c r="C11" s="278" t="inlineStr">
        <is>
          <t>ИТОГО ИНЖЕНЕРНОЕ ОБОРУДОВАНИЕ</t>
        </is>
      </c>
      <c r="D11" s="272" t="n"/>
      <c r="E11" s="105" t="n"/>
      <c r="F11" s="281" t="n"/>
      <c r="G11" s="281" t="n">
        <v>0</v>
      </c>
    </row>
    <row r="12">
      <c r="A12" s="279" t="n"/>
      <c r="B12" s="278" t="inlineStr">
        <is>
          <t>ТЕХНОЛОГИЧЕСКОЕ ОБОРУДОВАНИЕ</t>
        </is>
      </c>
      <c r="C12" s="347" t="n"/>
      <c r="D12" s="347" t="n"/>
      <c r="E12" s="347" t="n"/>
      <c r="F12" s="347" t="n"/>
      <c r="G12" s="348" t="n"/>
    </row>
    <row r="13">
      <c r="A13" s="279" t="n">
        <v>1</v>
      </c>
      <c r="B13" s="278">
        <f>'Прил.5 Расчет СМР и ОБ'!B38</f>
        <v/>
      </c>
      <c r="C13" s="278">
        <f>'Прил.5 Расчет СМР и ОБ'!C38</f>
        <v/>
      </c>
      <c r="D13" s="278">
        <f>'Прил.5 Расчет СМР и ОБ'!D38</f>
        <v/>
      </c>
      <c r="E13" s="278">
        <f>'Прил.5 Расчет СМР и ОБ'!E38</f>
        <v/>
      </c>
      <c r="F13" s="278">
        <f>'Прил.5 Расчет СМР и ОБ'!F38</f>
        <v/>
      </c>
      <c r="G13" s="32">
        <f>ROUND(E13*F13,2)</f>
        <v/>
      </c>
    </row>
    <row r="14" ht="25.5" customHeight="1" s="240">
      <c r="A14" s="279" t="n">
        <v>3</v>
      </c>
      <c r="B14" s="114" t="n"/>
      <c r="C14" s="114" t="inlineStr">
        <is>
          <t>ИТОГО ТЕХНОЛОГИЧЕСКОЕ ОБОРУДОВАНИЕ</t>
        </is>
      </c>
      <c r="D14" s="114" t="n"/>
      <c r="E14" s="115" t="n"/>
      <c r="F14" s="281" t="n"/>
      <c r="G14" s="32">
        <f>SUM(G13)</f>
        <v/>
      </c>
    </row>
    <row r="15" ht="19.5" customHeight="1" s="240">
      <c r="A15" s="279" t="n">
        <v>4</v>
      </c>
      <c r="B15" s="278" t="n"/>
      <c r="C15" s="278" t="inlineStr">
        <is>
          <t>Всего по разделу «Оборудование»</t>
        </is>
      </c>
      <c r="D15" s="278" t="n"/>
      <c r="E15" s="295" t="n"/>
      <c r="F15" s="281" t="n"/>
      <c r="G15" s="32">
        <f>G11+G14</f>
        <v/>
      </c>
    </row>
    <row r="16">
      <c r="A16" s="233" t="n"/>
      <c r="B16" s="234" t="n"/>
      <c r="C16" s="233" t="n"/>
      <c r="D16" s="233" t="n"/>
      <c r="E16" s="233" t="n"/>
      <c r="F16" s="233" t="n"/>
      <c r="G16" s="233" t="n"/>
    </row>
    <row r="17">
      <c r="A17" s="225" t="inlineStr">
        <is>
          <t>Составил ______________________        Е. М. Добровольская</t>
        </is>
      </c>
      <c r="B17" s="235" t="n"/>
      <c r="C17" s="235" t="n"/>
      <c r="D17" s="233" t="n"/>
      <c r="E17" s="233" t="n"/>
      <c r="F17" s="233" t="n"/>
      <c r="G17" s="233" t="n"/>
    </row>
    <row r="18">
      <c r="A18" s="236" t="inlineStr">
        <is>
          <t xml:space="preserve">                         (подпись, инициалы, фамилия)</t>
        </is>
      </c>
      <c r="B18" s="235" t="n"/>
      <c r="C18" s="235" t="n"/>
      <c r="D18" s="233" t="n"/>
      <c r="E18" s="233" t="n"/>
      <c r="F18" s="233" t="n"/>
      <c r="G18" s="233" t="n"/>
    </row>
    <row r="19">
      <c r="A19" s="225" t="n"/>
      <c r="B19" s="235" t="n"/>
      <c r="C19" s="235" t="n"/>
      <c r="D19" s="233" t="n"/>
      <c r="E19" s="233" t="n"/>
      <c r="F19" s="233" t="n"/>
      <c r="G19" s="233" t="n"/>
    </row>
    <row r="20">
      <c r="A20" s="225" t="inlineStr">
        <is>
          <t>Проверил ______________________        А.В. Костянецкая</t>
        </is>
      </c>
      <c r="B20" s="235" t="n"/>
      <c r="C20" s="235" t="n"/>
      <c r="D20" s="233" t="n"/>
      <c r="E20" s="233" t="n"/>
      <c r="F20" s="233" t="n"/>
      <c r="G20" s="233" t="n"/>
    </row>
    <row r="21">
      <c r="A21" s="236" t="inlineStr">
        <is>
          <t xml:space="preserve">                        (подпись, инициалы, фамилия)</t>
        </is>
      </c>
      <c r="B21" s="235" t="n"/>
      <c r="C21" s="235" t="n"/>
      <c r="D21" s="233" t="n"/>
      <c r="E21" s="233" t="n"/>
      <c r="F21" s="233" t="n"/>
      <c r="G21" s="233" t="n"/>
    </row>
  </sheetData>
  <mergeCells count="12">
    <mergeCell ref="B10:G10"/>
    <mergeCell ref="A1:G1"/>
    <mergeCell ref="A5:C5"/>
    <mergeCell ref="A4:G4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12">
    <outlinePr summaryBelow="1" summaryRight="1"/>
    <pageSetUpPr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40" min="1" max="1"/>
    <col width="29.7109375" customWidth="1" style="240" min="2" max="2"/>
    <col width="39.140625" customWidth="1" style="240" min="3" max="3"/>
    <col width="24.5703125" customWidth="1" style="240" min="4" max="4"/>
    <col width="24.85546875" customWidth="1" style="240" min="5" max="5"/>
    <col width="8.85546875" customWidth="1" style="240" min="6" max="6"/>
  </cols>
  <sheetData>
    <row r="1">
      <c r="B1" s="225" t="n"/>
      <c r="C1" s="225" t="n"/>
      <c r="D1" s="296" t="inlineStr">
        <is>
          <t>Приложение №7</t>
        </is>
      </c>
    </row>
    <row r="2">
      <c r="A2" s="296" t="n"/>
      <c r="B2" s="296" t="n"/>
      <c r="C2" s="296" t="n"/>
      <c r="D2" s="296" t="n"/>
    </row>
    <row r="3" ht="24.75" customHeight="1" s="240">
      <c r="A3" s="243" t="inlineStr">
        <is>
          <t>Расчет показателя УНЦ</t>
        </is>
      </c>
    </row>
    <row r="4" ht="24.75" customHeight="1" s="240">
      <c r="A4" s="243" t="n"/>
      <c r="B4" s="243" t="n"/>
      <c r="C4" s="243" t="n"/>
      <c r="D4" s="243" t="n"/>
    </row>
    <row r="5" ht="48.75" customHeight="1" s="240">
      <c r="A5" s="246" t="inlineStr">
        <is>
          <t xml:space="preserve">Наименование разрабатываемого показателя УНЦ - </t>
        </is>
      </c>
      <c r="D5" s="246">
        <f>'Прил.5 Расчет СМР и ОБ'!D6:J6</f>
        <v/>
      </c>
    </row>
    <row r="6" ht="19.9" customHeight="1" s="240">
      <c r="A6" s="246" t="inlineStr">
        <is>
          <t>Единица измерения  — 1 ед</t>
        </is>
      </c>
      <c r="D6" s="246" t="n"/>
    </row>
    <row r="7">
      <c r="A7" s="225" t="n"/>
      <c r="B7" s="225" t="n"/>
      <c r="C7" s="225" t="n"/>
      <c r="D7" s="225" t="n"/>
    </row>
    <row r="8" ht="14.45" customHeight="1" s="240">
      <c r="A8" s="267" t="inlineStr">
        <is>
          <t>Код показателя</t>
        </is>
      </c>
      <c r="B8" s="267" t="inlineStr">
        <is>
          <t>Наименование показателя</t>
        </is>
      </c>
      <c r="C8" s="267" t="inlineStr">
        <is>
          <t>Наименование РМ, входящих в состав показателя</t>
        </is>
      </c>
      <c r="D8" s="267" t="inlineStr">
        <is>
          <t>Норматив цены на 01.01.2023, тыс.руб.</t>
        </is>
      </c>
    </row>
    <row r="9" ht="15" customHeight="1" s="240">
      <c r="A9" s="350" t="n"/>
      <c r="B9" s="350" t="n"/>
      <c r="C9" s="350" t="n"/>
      <c r="D9" s="350" t="n"/>
    </row>
    <row r="10">
      <c r="A10" s="279" t="n">
        <v>1</v>
      </c>
      <c r="B10" s="279" t="n">
        <v>2</v>
      </c>
      <c r="C10" s="279" t="n">
        <v>3</v>
      </c>
      <c r="D10" s="279" t="n">
        <v>4</v>
      </c>
    </row>
    <row r="11" ht="41.45" customHeight="1" s="240">
      <c r="A11" s="279" t="inlineStr">
        <is>
          <t>И5-09-1</t>
        </is>
      </c>
      <c r="B11" s="279" t="inlineStr">
        <is>
          <t xml:space="preserve">УНЦ элементов ПС с устройством фундаментов </t>
        </is>
      </c>
      <c r="C11" s="230">
        <f>D5</f>
        <v/>
      </c>
      <c r="D11" s="231">
        <f>'Прил.4 РМ'!C41/1000</f>
        <v/>
      </c>
      <c r="E11" s="232" t="n"/>
    </row>
    <row r="12">
      <c r="A12" s="233" t="n"/>
      <c r="B12" s="234" t="n"/>
      <c r="C12" s="233" t="n"/>
      <c r="D12" s="233" t="n"/>
    </row>
    <row r="13">
      <c r="A13" s="225" t="inlineStr">
        <is>
          <t>Составил ______________________      Е. М. Добровольская</t>
        </is>
      </c>
      <c r="B13" s="235" t="n"/>
      <c r="C13" s="235" t="n"/>
      <c r="D13" s="233" t="n"/>
    </row>
    <row r="14">
      <c r="A14" s="236" t="inlineStr">
        <is>
          <t xml:space="preserve">                         (подпись, инициалы, фамилия)</t>
        </is>
      </c>
      <c r="B14" s="235" t="n"/>
      <c r="C14" s="235" t="n"/>
      <c r="D14" s="233" t="n"/>
    </row>
    <row r="15">
      <c r="A15" s="225" t="n"/>
      <c r="B15" s="235" t="n"/>
      <c r="C15" s="235" t="n"/>
      <c r="D15" s="233" t="n"/>
    </row>
    <row r="16">
      <c r="A16" s="225" t="inlineStr">
        <is>
          <t>Проверил ______________________        А.В. Костянецкая</t>
        </is>
      </c>
      <c r="B16" s="235" t="n"/>
      <c r="C16" s="235" t="n"/>
      <c r="D16" s="233" t="n"/>
    </row>
    <row r="17">
      <c r="A17" s="236" t="inlineStr">
        <is>
          <t xml:space="preserve">                        (подпись, инициалы, фамилия)</t>
        </is>
      </c>
      <c r="B17" s="235" t="n"/>
      <c r="C17" s="235" t="n"/>
      <c r="D17" s="23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3">
    <outlinePr summaryBelow="1" summaryRight="1"/>
    <pageSetUpPr/>
  </sheetPr>
  <dimension ref="B4:D30"/>
  <sheetViews>
    <sheetView view="pageBreakPreview" topLeftCell="A7" zoomScale="60" zoomScaleNormal="100" workbookViewId="0">
      <selection activeCell="C23" sqref="C23"/>
    </sheetView>
  </sheetViews>
  <sheetFormatPr baseColWidth="8" defaultRowHeight="15"/>
  <cols>
    <col width="40.7109375" customWidth="1" style="240" min="2" max="2"/>
    <col width="37" customWidth="1" style="240" min="3" max="3"/>
    <col width="32" customWidth="1" style="240" min="4" max="4"/>
  </cols>
  <sheetData>
    <row r="4" ht="15.75" customHeight="1" s="240">
      <c r="B4" s="251" t="inlineStr">
        <is>
          <t>Приложение № 10</t>
        </is>
      </c>
    </row>
    <row r="5" ht="18.75" customHeight="1" s="240">
      <c r="B5" s="133" t="n"/>
    </row>
    <row r="6" ht="15.75" customHeight="1" s="240">
      <c r="B6" s="255" t="inlineStr">
        <is>
          <t>Используемые индексы изменений сметной стоимости и нормы сопутствующих затрат</t>
        </is>
      </c>
    </row>
    <row r="7" ht="18.75" customHeight="1" s="240">
      <c r="B7" s="134" t="n"/>
    </row>
    <row r="8" ht="47.25" customHeight="1" s="240">
      <c r="B8" s="267" t="inlineStr">
        <is>
          <t>Наименование индекса / норм сопутствующих затрат</t>
        </is>
      </c>
      <c r="C8" s="267" t="inlineStr">
        <is>
          <t>Дата применения и обоснование индекса / норм сопутствующих затрат</t>
        </is>
      </c>
      <c r="D8" s="267" t="inlineStr">
        <is>
          <t>Размер индекса / норма сопутствующих затрат</t>
        </is>
      </c>
    </row>
    <row r="9" ht="15.75" customHeight="1" s="240">
      <c r="B9" s="267" t="n">
        <v>1</v>
      </c>
      <c r="C9" s="267" t="n">
        <v>2</v>
      </c>
      <c r="D9" s="267" t="n">
        <v>3</v>
      </c>
    </row>
    <row r="10" ht="45" customHeight="1" s="240">
      <c r="B10" s="267" t="inlineStr">
        <is>
          <t xml:space="preserve">Индекс изменения сметной стоимости на 1 квартал 2023 года. ОЗП </t>
        </is>
      </c>
      <c r="C10" s="267" t="inlineStr">
        <is>
          <t>Письмо Минстроя России от 30.03.2023г. №17106-ИФ/09  прил.1</t>
        </is>
      </c>
      <c r="D10" s="267" t="n">
        <v>44.29</v>
      </c>
    </row>
    <row r="11" ht="29.25" customHeight="1" s="240">
      <c r="B11" s="267" t="inlineStr">
        <is>
          <t>Индекс изменения сметной стоимости на 1 квартал 2023 года. ЭМ</t>
        </is>
      </c>
      <c r="C11" s="267" t="inlineStr">
        <is>
          <t>Письмо Минстроя России от 30.03.2023г. №17106-ИФ/09  прил.1</t>
        </is>
      </c>
      <c r="D11" s="267" t="n">
        <v>13.47</v>
      </c>
    </row>
    <row r="12" ht="29.25" customHeight="1" s="240">
      <c r="B12" s="267" t="inlineStr">
        <is>
          <t>Индекс изменения сметной стоимости на 1 квартал 2023 года. МАТ</t>
        </is>
      </c>
      <c r="C12" s="267" t="inlineStr">
        <is>
          <t>Письмо Минстроя России от 30.03.2023г. №17106-ИФ/09  прил.1</t>
        </is>
      </c>
      <c r="D12" s="267" t="n">
        <v>8.039999999999999</v>
      </c>
    </row>
    <row r="13" ht="30.75" customHeight="1" s="240">
      <c r="B13" s="267" t="inlineStr">
        <is>
          <t>Индекс изменения сметной стоимости на 1 квартал 2023 года. ОБ</t>
        </is>
      </c>
      <c r="C13" s="205" t="inlineStr">
        <is>
          <t>Письмо Минстроя России от 23.02.2023г. №9791-ИФ/09 прил.6</t>
        </is>
      </c>
      <c r="D13" s="267" t="n">
        <v>6.26</v>
      </c>
    </row>
    <row r="14" ht="89.25" customHeight="1" s="240">
      <c r="B14" s="267" t="inlineStr">
        <is>
          <t>Временные здания и сооружения</t>
        </is>
      </c>
      <c r="C14" s="26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39" t="n">
        <v>0.039</v>
      </c>
    </row>
    <row r="15" ht="78.75" customHeight="1" s="240">
      <c r="B15" s="267" t="inlineStr">
        <is>
          <t>Дополнительные затраты при производстве строительно-монтажных работ в зимнее время</t>
        </is>
      </c>
      <c r="C15" s="26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39" t="n">
        <v>0.021</v>
      </c>
    </row>
    <row r="16" ht="34.5" customHeight="1" s="240">
      <c r="B16" s="267" t="inlineStr">
        <is>
          <t>Пусконаладочные работы</t>
        </is>
      </c>
      <c r="C16" s="267" t="n"/>
      <c r="D16" s="267" t="inlineStr">
        <is>
          <t>Расчет</t>
        </is>
      </c>
    </row>
    <row r="17" ht="31.5" customHeight="1" s="240">
      <c r="B17" s="267" t="inlineStr">
        <is>
          <t>Строительный контроль</t>
        </is>
      </c>
      <c r="C17" s="267" t="inlineStr">
        <is>
          <t>Постановление Правительства РФ от 21.06.10 г. № 468</t>
        </is>
      </c>
      <c r="D17" s="139" t="n">
        <v>0.0214</v>
      </c>
    </row>
    <row r="18" ht="31.5" customHeight="1" s="240">
      <c r="B18" s="267" t="inlineStr">
        <is>
          <t>Авторский надзор - 0,2%</t>
        </is>
      </c>
      <c r="C18" s="267" t="inlineStr">
        <is>
          <t>Приказ от 4.08.2020 № 421/пр п.173</t>
        </is>
      </c>
      <c r="D18" s="139" t="n">
        <v>0.002</v>
      </c>
    </row>
    <row r="19" ht="24" customHeight="1" s="240">
      <c r="B19" s="267" t="inlineStr">
        <is>
          <t>Непредвиденные расходы</t>
        </is>
      </c>
      <c r="C19" s="267" t="inlineStr">
        <is>
          <t>Приказ от 4.08.2020 № 421/пр п.179</t>
        </is>
      </c>
      <c r="D19" s="139" t="n">
        <v>0.03</v>
      </c>
    </row>
    <row r="20" ht="18.75" customHeight="1" s="240">
      <c r="B20" s="134" t="n"/>
    </row>
    <row r="21" ht="18.75" customHeight="1" s="240">
      <c r="B21" s="134" t="n"/>
    </row>
    <row r="22" ht="18.75" customHeight="1" s="240">
      <c r="B22" s="134" t="n"/>
    </row>
    <row r="23" ht="18.75" customHeight="1" s="240">
      <c r="B23" s="134" t="n"/>
    </row>
    <row r="26">
      <c r="B26" s="225" t="inlineStr">
        <is>
          <t>Составил ______________________        Е. М. Добровольская</t>
        </is>
      </c>
      <c r="C26" s="235" t="n"/>
    </row>
    <row r="27">
      <c r="B27" s="236" t="inlineStr">
        <is>
          <t xml:space="preserve">                         (подпись, инициалы, фамилия)</t>
        </is>
      </c>
      <c r="C27" s="235" t="n"/>
    </row>
    <row r="28">
      <c r="B28" s="225" t="n"/>
      <c r="C28" s="235" t="n"/>
    </row>
    <row r="29">
      <c r="B29" s="225" t="inlineStr">
        <is>
          <t>Проверил ______________________        А.В. Костянецкая</t>
        </is>
      </c>
      <c r="C29" s="235" t="n"/>
    </row>
    <row r="30">
      <c r="B30" s="236" t="inlineStr">
        <is>
          <t xml:space="preserve">                        (подпись, инициалы, фамилия)</t>
        </is>
      </c>
      <c r="C30" s="235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topLeftCell="A7" workbookViewId="0">
      <selection activeCell="B12" sqref="B12:J14"/>
    </sheetView>
  </sheetViews>
  <sheetFormatPr baseColWidth="8" defaultRowHeight="15"/>
  <cols>
    <col width="9.140625" customWidth="1" style="240" min="1" max="1"/>
    <col width="44.85546875" customWidth="1" style="240" min="2" max="2"/>
    <col width="13" customWidth="1" style="240" min="3" max="3"/>
    <col width="22.85546875" customWidth="1" style="240" min="4" max="4"/>
    <col width="21.5703125" customWidth="1" style="240" min="5" max="5"/>
    <col width="43.85546875" customWidth="1" style="240" min="6" max="6"/>
    <col width="9.140625" customWidth="1" style="240" min="7" max="7"/>
  </cols>
  <sheetData>
    <row r="2" ht="18" customHeight="1" s="240">
      <c r="A2" s="30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40">
      <c r="A4" s="122" t="inlineStr">
        <is>
          <t>Составлен в уровне цен на 01.01.2023 г.</t>
        </is>
      </c>
    </row>
    <row r="5">
      <c r="A5" s="324" t="inlineStr">
        <is>
          <t>№ пп.</t>
        </is>
      </c>
      <c r="B5" s="324" t="inlineStr">
        <is>
          <t>Наименование элемента</t>
        </is>
      </c>
      <c r="C5" s="324" t="inlineStr">
        <is>
          <t>Обозначение</t>
        </is>
      </c>
      <c r="D5" s="324" t="inlineStr">
        <is>
          <t>Формула</t>
        </is>
      </c>
      <c r="E5" s="324" t="inlineStr">
        <is>
          <t>Величина элемента</t>
        </is>
      </c>
      <c r="F5" s="324" t="inlineStr">
        <is>
          <t>Наименования обосновывающих документов</t>
        </is>
      </c>
    </row>
    <row r="6">
      <c r="A6" s="324" t="n">
        <v>1</v>
      </c>
      <c r="B6" s="324" t="n">
        <v>2</v>
      </c>
      <c r="C6" s="324" t="n">
        <v>3</v>
      </c>
      <c r="D6" s="324" t="n">
        <v>4</v>
      </c>
      <c r="E6" s="324" t="n">
        <v>5</v>
      </c>
      <c r="F6" s="324" t="n">
        <v>6</v>
      </c>
    </row>
    <row r="7" ht="105" customHeight="1" s="240">
      <c r="A7" s="123" t="inlineStr">
        <is>
          <t>1.1</t>
        </is>
      </c>
      <c r="B7" s="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23" t="inlineStr">
        <is>
          <t>С1ср</t>
        </is>
      </c>
      <c r="D7" s="323" t="inlineStr">
        <is>
          <t>-</t>
        </is>
      </c>
      <c r="E7" s="61" t="n">
        <v>47872.94</v>
      </c>
      <c r="F7" s="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40">
      <c r="A8" s="123" t="inlineStr">
        <is>
          <t>1.2</t>
        </is>
      </c>
      <c r="B8" s="63" t="inlineStr">
        <is>
          <t>Среднегодовое нормативное число часов работы одного рабочего в месяц, часы (ч.)</t>
        </is>
      </c>
      <c r="C8" s="323" t="inlineStr">
        <is>
          <t>tср</t>
        </is>
      </c>
      <c r="D8" s="323" t="inlineStr">
        <is>
          <t>1973ч/12мес.</t>
        </is>
      </c>
      <c r="E8" s="61">
        <f>1973/12</f>
        <v/>
      </c>
      <c r="F8" s="63" t="inlineStr">
        <is>
          <t>Производственный календарь 2023 год
(40-часов.неделя)</t>
        </is>
      </c>
      <c r="G8" s="124" t="n"/>
    </row>
    <row r="9">
      <c r="A9" s="123" t="inlineStr">
        <is>
          <t>1.3</t>
        </is>
      </c>
      <c r="B9" s="63" t="inlineStr">
        <is>
          <t>Коэффициент увеличения</t>
        </is>
      </c>
      <c r="C9" s="323" t="inlineStr">
        <is>
          <t>Кув</t>
        </is>
      </c>
      <c r="D9" s="323" t="inlineStr">
        <is>
          <t>-</t>
        </is>
      </c>
      <c r="E9" s="61" t="n">
        <v>1</v>
      </c>
      <c r="F9" s="63" t="n"/>
      <c r="G9" s="125" t="n"/>
    </row>
    <row r="10">
      <c r="A10" s="123" t="inlineStr">
        <is>
          <t>1.4</t>
        </is>
      </c>
      <c r="B10" s="63" t="inlineStr">
        <is>
          <t>Средний разряд работ</t>
        </is>
      </c>
      <c r="C10" s="323" t="n"/>
      <c r="D10" s="323" t="n"/>
      <c r="E10" s="126" t="n">
        <v>4</v>
      </c>
      <c r="F10" s="63" t="inlineStr">
        <is>
          <t>РТМ</t>
        </is>
      </c>
      <c r="G10" s="125" t="n"/>
    </row>
    <row r="11" ht="75" customHeight="1" s="240">
      <c r="A11" s="123" t="inlineStr">
        <is>
          <t>1.5</t>
        </is>
      </c>
      <c r="B11" s="63" t="inlineStr">
        <is>
          <t>Тарифный коэффициент среднего разряда работ</t>
        </is>
      </c>
      <c r="C11" s="323" t="inlineStr">
        <is>
          <t>КТ</t>
        </is>
      </c>
      <c r="D11" s="323" t="inlineStr">
        <is>
          <t>-</t>
        </is>
      </c>
      <c r="E11" s="127" t="n">
        <v>1.34</v>
      </c>
      <c r="F11" s="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40">
      <c r="A12" s="123" t="inlineStr">
        <is>
          <t>1.6</t>
        </is>
      </c>
      <c r="B12" s="128" t="inlineStr">
        <is>
          <t>Коэффициент инфляции, определяемый поквартально</t>
        </is>
      </c>
      <c r="C12" s="323" t="inlineStr">
        <is>
          <t>Кинф</t>
        </is>
      </c>
      <c r="D12" s="323" t="inlineStr">
        <is>
          <t>-</t>
        </is>
      </c>
      <c r="E12" s="129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40">
      <c r="A13" s="123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323" t="inlineStr">
        <is>
          <t>ФОТр.тек.</t>
        </is>
      </c>
      <c r="D13" s="323" t="inlineStr">
        <is>
          <t>(С1ср/tср*КТ*Т*Кув)*Кинф</t>
        </is>
      </c>
      <c r="E13" s="132">
        <f>((E7*E9/E8)*E11)*E12</f>
        <v/>
      </c>
      <c r="F13" s="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2025-01-24T12:02:25Z</dcterms:modified>
  <cp:lastModifiedBy>Danil</cp:lastModifiedBy>
  <cp:lastPrinted>2023-11-28T08:39:08Z</cp:lastPrinted>
</cp:coreProperties>
</file>