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85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_xlnm.Print_Area" localSheetId="2">'Прил. 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Arial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1"/>
    </font>
    <font>
      <name val="Arial"/>
      <b val="1"/>
      <color rgb="FF000000"/>
      <sz val="10"/>
    </font>
    <font>
      <name val="Times New Roman"/>
      <color rgb="FF000000"/>
      <sz val="10"/>
    </font>
    <font>
      <name val="Arial"/>
      <color rgb="FF000000"/>
      <sz val="8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8">
    <xf numFmtId="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justify" vertical="center" wrapText="1"/>
    </xf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3" fontId="0" fillId="0" borderId="0" pivotButton="0" quotePrefix="0" xfId="0"/>
    <xf numFmtId="4" fontId="4" fillId="0" borderId="1" applyAlignment="1" pivotButton="0" quotePrefix="0" xfId="0">
      <alignment vertical="top"/>
    </xf>
    <xf numFmtId="0" fontId="4" fillId="0" borderId="0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0" fontId="1" fillId="0" borderId="1" pivotButton="0" quotePrefix="0" xfId="0"/>
    <xf numFmtId="0" fontId="4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wrapText="1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vertical="top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5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5" fillId="0" borderId="0" pivotButton="0" quotePrefix="0" xfId="0"/>
    <xf numFmtId="0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4" fontId="2" fillId="0" borderId="4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5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5" fillId="0" borderId="2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0" fontId="0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center" vertical="center" wrapText="1"/>
    </xf>
    <xf numFmtId="10" fontId="2" fillId="0" borderId="6" applyAlignment="1" pivotButton="0" quotePrefix="0" xfId="0">
      <alignment horizontal="right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7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66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2" fillId="0" borderId="8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0" fontId="6" fillId="0" borderId="5" applyAlignment="1" pivotButton="0" quotePrefix="0" xfId="0">
      <alignment horizontal="left" vertical="center" wrapText="1"/>
    </xf>
    <xf numFmtId="4" fontId="5" fillId="0" borderId="0" pivotButton="0" quotePrefix="0" xfId="0"/>
    <xf numFmtId="4" fontId="2" fillId="0" borderId="2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49" fontId="2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164" fontId="2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right" vertical="center" wrapText="1"/>
    </xf>
    <xf numFmtId="4" fontId="2" fillId="0" borderId="9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6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5" fillId="0" borderId="0" pivotButton="0" quotePrefix="0" xfId="0"/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0" borderId="0" pivotButton="0" quotePrefix="0" xfId="0"/>
    <xf numFmtId="0" fontId="9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4" fontId="0" fillId="0" borderId="11" applyAlignment="1" pivotButton="0" quotePrefix="0" xfId="0">
      <alignment horizontal="center" vertical="center"/>
    </xf>
    <xf numFmtId="4" fontId="1" fillId="0" borderId="11" applyAlignment="1" pivotButton="0" quotePrefix="0" xfId="0">
      <alignment horizontal="center" vertical="center"/>
    </xf>
    <xf numFmtId="167" fontId="1" fillId="0" borderId="11" applyAlignment="1" pivotButton="0" quotePrefix="0" xfId="0">
      <alignment horizontal="center" vertical="center"/>
    </xf>
    <xf numFmtId="168" fontId="1" fillId="0" borderId="11" applyAlignment="1" pivotButton="0" quotePrefix="0" xfId="0">
      <alignment horizontal="center" vertical="center"/>
    </xf>
    <xf numFmtId="0" fontId="1" fillId="0" borderId="11" applyAlignment="1" pivotButton="0" quotePrefix="0" xfId="0">
      <alignment vertical="center" wrapText="1"/>
    </xf>
    <xf numFmtId="165" fontId="1" fillId="0" borderId="11" applyAlignment="1" pivotButton="0" quotePrefix="0" xfId="0">
      <alignment horizontal="center" vertical="center"/>
    </xf>
    <xf numFmtId="0" fontId="1" fillId="0" borderId="11" applyAlignment="1" pivotButton="0" quotePrefix="0" xfId="0">
      <alignment wrapText="1"/>
    </xf>
    <xf numFmtId="0" fontId="4" fillId="0" borderId="11" applyAlignment="1" pivotButton="0" quotePrefix="0" xfId="0">
      <alignment vertical="center" wrapText="1"/>
    </xf>
    <xf numFmtId="4" fontId="4" fillId="0" borderId="11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2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10" fontId="2" fillId="0" borderId="10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6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5" pivotButton="0" quotePrefix="0" xfId="0"/>
    <xf numFmtId="43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2" fillId="0" borderId="1" applyAlignment="1" pivotButton="0" quotePrefix="0" xfId="0">
      <alignment horizontal="center" vertical="center" wrapText="1"/>
    </xf>
    <xf numFmtId="164" fontId="2" fillId="0" borderId="5" applyAlignment="1" pivotButton="0" quotePrefix="0" xfId="0">
      <alignment horizontal="center" vertical="center" wrapText="1"/>
    </xf>
    <xf numFmtId="167" fontId="1" fillId="0" borderId="11" applyAlignment="1" pivotButton="0" quotePrefix="0" xfId="0">
      <alignment horizontal="center" vertical="center"/>
    </xf>
    <xf numFmtId="168" fontId="1" fillId="0" borderId="11" applyAlignment="1" pivotButton="0" quotePrefix="0" xfId="0">
      <alignment horizontal="center" vertical="center"/>
    </xf>
    <xf numFmtId="165" fontId="1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tabSelected="1" view="pageBreakPreview" topLeftCell="A13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177" min="1" max="2"/>
    <col width="36.85546875" customWidth="1" style="177" min="3" max="3"/>
    <col width="36.5703125" customWidth="1" style="177" min="4" max="4"/>
    <col width="37.42578125" customWidth="1" style="177" min="5" max="5"/>
    <col width="9.140625" customWidth="1" style="177" min="6" max="6"/>
  </cols>
  <sheetData>
    <row r="3">
      <c r="B3" s="194" t="inlineStr">
        <is>
          <t>Приложение № 1</t>
        </is>
      </c>
    </row>
    <row r="4">
      <c r="B4" s="195" t="inlineStr">
        <is>
          <t>Сравнительная таблица отбора объекта-представителя</t>
        </is>
      </c>
    </row>
    <row r="5">
      <c r="B5" s="7" t="n"/>
      <c r="C5" s="7" t="n"/>
      <c r="D5" s="7" t="n"/>
    </row>
    <row r="6">
      <c r="B6" s="7" t="n"/>
      <c r="C6" s="7" t="n"/>
      <c r="D6" s="7" t="n"/>
    </row>
    <row r="7">
      <c r="B7" s="196" t="inlineStr">
        <is>
          <t>Наименование разрабатываемого показателя УНЦ —   Устройство порталов и ошиновки ОРУ 110 кВ</t>
        </is>
      </c>
      <c r="E7" s="20" t="n"/>
    </row>
    <row r="8" ht="31.5" customHeight="1" s="175">
      <c r="B8" s="196" t="inlineStr">
        <is>
          <t>Сопоставимый уровень цен: 2 кв. 2019</t>
        </is>
      </c>
    </row>
    <row r="9">
      <c r="B9" s="196" t="inlineStr">
        <is>
          <t>Единица измерения  — 1 ед</t>
        </is>
      </c>
      <c r="E9" s="20" t="n"/>
    </row>
    <row r="10">
      <c r="B10" s="196" t="n"/>
    </row>
    <row r="11">
      <c r="B11" s="198" t="inlineStr">
        <is>
          <t>№ п/п</t>
        </is>
      </c>
      <c r="C11" s="198" t="inlineStr">
        <is>
          <t>Параметр</t>
        </is>
      </c>
      <c r="D11" s="23" t="inlineStr">
        <is>
          <t>Объект-представитель 1</t>
        </is>
      </c>
      <c r="E11" s="20" t="n"/>
    </row>
    <row r="12" ht="98.25" customHeight="1" s="175">
      <c r="B12" s="198" t="n">
        <v>1</v>
      </c>
      <c r="C12" s="23" t="inlineStr">
        <is>
          <t>Наименование объекта-представителя</t>
        </is>
      </c>
      <c r="D12" s="23" t="inlineStr">
        <is>
          <t>Техперевооружение ПС 110/6кВ "Водозабор" с заменой АБ,ОРУ 110кВ, замена Т-1, Т-2 6.3 МВА на 6.3 МВА, замена выключателей 110 кВ - 5шт»</t>
        </is>
      </c>
    </row>
    <row r="13" ht="31.5" customHeight="1" s="175">
      <c r="B13" s="198" t="n">
        <v>2</v>
      </c>
      <c r="C13" s="23" t="inlineStr">
        <is>
          <t>Наименование субъекта Российской Федерации</t>
        </is>
      </c>
      <c r="D13" s="23" t="inlineStr">
        <is>
          <t>Республика Кабардино-Балкария</t>
        </is>
      </c>
    </row>
    <row r="14">
      <c r="B14" s="198" t="n">
        <v>3</v>
      </c>
      <c r="C14" s="23" t="inlineStr">
        <is>
          <t>Климатический район и подрайон</t>
        </is>
      </c>
      <c r="D14" s="23" t="inlineStr">
        <is>
          <t>IIIБ</t>
        </is>
      </c>
    </row>
    <row r="15">
      <c r="B15" s="198" t="n">
        <v>4</v>
      </c>
      <c r="C15" s="23" t="inlineStr">
        <is>
          <t>Мощность объекта</t>
        </is>
      </c>
      <c r="D15" s="23" t="inlineStr">
        <is>
          <t>10 шт</t>
        </is>
      </c>
    </row>
    <row r="16" ht="270.75" customHeight="1" s="175">
      <c r="B16" s="198" t="n">
        <v>5</v>
      </c>
      <c r="C16" s="1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" t="inlineStr">
        <is>
          <t>ПСЛ-110 Я3и 
ПСЛ-110 Я1
ПС-110 Ш 
монолитный фундамент</t>
        </is>
      </c>
      <c r="F16" s="126" t="n"/>
    </row>
    <row r="17" ht="78.75" customHeight="1" s="175">
      <c r="B17" s="198" t="n">
        <v>6</v>
      </c>
      <c r="C17" s="1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3">
        <f>D18+D19+D20+D21</f>
        <v/>
      </c>
      <c r="E17" s="37" t="n"/>
    </row>
    <row r="18">
      <c r="B18" s="5" t="inlineStr">
        <is>
          <t>6.1</t>
        </is>
      </c>
      <c r="C18" s="23" t="inlineStr">
        <is>
          <t>строительно-монтажные работы</t>
        </is>
      </c>
      <c r="D18" s="198" t="n">
        <v>5579.861</v>
      </c>
    </row>
    <row r="19" ht="15.75" customHeight="1" s="175">
      <c r="B19" s="5" t="inlineStr">
        <is>
          <t>6.2</t>
        </is>
      </c>
      <c r="C19" s="23" t="inlineStr">
        <is>
          <t>оборудование и инвентарь</t>
        </is>
      </c>
      <c r="D19" s="198" t="n">
        <v>0</v>
      </c>
    </row>
    <row r="20" ht="16.5" customHeight="1" s="175">
      <c r="B20" s="5" t="inlineStr">
        <is>
          <t>6.3</t>
        </is>
      </c>
      <c r="C20" s="23" t="inlineStr">
        <is>
          <t>пусконаладочные работы</t>
        </is>
      </c>
      <c r="D20" s="198" t="n">
        <v>0</v>
      </c>
    </row>
    <row r="21" ht="35.25" customHeight="1" s="175">
      <c r="B21" s="5" t="inlineStr">
        <is>
          <t>6.4</t>
        </is>
      </c>
      <c r="C21" s="17" t="inlineStr">
        <is>
          <t>прочие и лимитированные затраты</t>
        </is>
      </c>
      <c r="D21" s="233">
        <f>D18*3.9%*0.8+ (D18+D18*3.9%*0.8)*0.6%</f>
        <v/>
      </c>
    </row>
    <row r="22">
      <c r="B22" s="198" t="n">
        <v>7</v>
      </c>
      <c r="C22" s="17" t="inlineStr">
        <is>
          <t>Сопоставимый уровень цен</t>
        </is>
      </c>
      <c r="D22" s="198" t="inlineStr">
        <is>
          <t>2 кв 2019</t>
        </is>
      </c>
      <c r="E22" s="37" t="n"/>
    </row>
    <row r="23" ht="123" customHeight="1" s="175">
      <c r="B23" s="198" t="n">
        <v>8</v>
      </c>
      <c r="C23" s="1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">
        <f>D17/7.32*8.16</f>
        <v/>
      </c>
    </row>
    <row r="24" ht="60.75" customHeight="1" s="175">
      <c r="B24" s="198" t="n">
        <v>9</v>
      </c>
      <c r="C24" s="123" t="inlineStr">
        <is>
          <t>Приведенная сметная стоимость на единицу мощности, тыс. руб. (строка 8/строку 4)</t>
        </is>
      </c>
      <c r="D24" s="35">
        <f>D23/10</f>
        <v/>
      </c>
      <c r="E24" s="37" t="n"/>
    </row>
    <row r="25" ht="164.25" customHeight="1" s="175">
      <c r="B25" s="198" t="n">
        <v>10</v>
      </c>
      <c r="C25" s="23" t="inlineStr">
        <is>
          <t>Примечание</t>
        </is>
      </c>
      <c r="D25" s="23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Исключены затраты на корректровку по транспортировке  свыше 30 км.
 Рекомендуемая расчетная единица  УНЦ - 1 ед.</t>
        </is>
      </c>
    </row>
    <row r="26">
      <c r="B26" s="16" t="n"/>
      <c r="C26" s="15" t="n"/>
      <c r="D26" s="15" t="n"/>
    </row>
    <row r="27" ht="37.5" customHeight="1" s="175">
      <c r="B27" s="22" t="n"/>
    </row>
    <row r="28">
      <c r="B28" s="177" t="inlineStr">
        <is>
          <t>Составил ______________________        Р.Р. Шагеева</t>
        </is>
      </c>
      <c r="C28" s="177" t="n"/>
    </row>
    <row r="29">
      <c r="B29" s="22" t="inlineStr">
        <is>
          <t xml:space="preserve">                         (подпись, инициалы, фамилия)</t>
        </is>
      </c>
      <c r="C29" s="177" t="n"/>
    </row>
    <row r="30">
      <c r="B30" s="177" t="n"/>
      <c r="C30" s="177" t="n"/>
    </row>
    <row r="31">
      <c r="B31" s="177" t="inlineStr">
        <is>
          <t>Проверил ______________________        А.В. Костянецкая</t>
        </is>
      </c>
      <c r="C31" s="177" t="n"/>
    </row>
    <row r="32">
      <c r="B32" s="22" t="inlineStr">
        <is>
          <t xml:space="preserve">                        (подпись, инициалы, фамилия)</t>
        </is>
      </c>
      <c r="C32" s="177" t="n"/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55" zoomScaleNormal="70" workbookViewId="0">
      <selection activeCell="C21" sqref="C21"/>
    </sheetView>
  </sheetViews>
  <sheetFormatPr baseColWidth="8" defaultColWidth="9.140625" defaultRowHeight="15.75"/>
  <cols>
    <col width="5.5703125" customWidth="1" style="177" min="1" max="1"/>
    <col width="9.140625" customWidth="1" style="177" min="2" max="2"/>
    <col width="35.28515625" customWidth="1" style="177" min="3" max="3"/>
    <col width="13.85546875" customWidth="1" style="177" min="4" max="4"/>
    <col width="24.85546875" customWidth="1" style="177" min="5" max="5"/>
    <col width="12.710937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  <col width="9.140625" customWidth="1" style="177" min="12" max="12"/>
  </cols>
  <sheetData>
    <row r="3">
      <c r="B3" s="194" t="inlineStr">
        <is>
          <t>Приложение № 2</t>
        </is>
      </c>
      <c r="K3" s="22" t="n"/>
    </row>
    <row r="4">
      <c r="B4" s="195" t="inlineStr">
        <is>
          <t>Расчет стоимости основных видов работ для выбора объекта-представителя</t>
        </is>
      </c>
    </row>
    <row r="5"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</row>
    <row r="6" ht="15.75" customHeight="1" s="175">
      <c r="B6" s="197" t="inlineStr">
        <is>
          <t>Наименование разрабатываемого показателя УНЦ —   Устройство порталов и ошиновки ОРУ 110 кВ</t>
        </is>
      </c>
      <c r="K6" s="22" t="n"/>
      <c r="L6" s="20" t="n"/>
    </row>
    <row r="7">
      <c r="B7" s="196" t="inlineStr">
        <is>
          <t>Единица измерения  — 1 ед.</t>
        </is>
      </c>
      <c r="L7" s="20" t="n"/>
    </row>
    <row r="8">
      <c r="B8" s="196" t="n"/>
    </row>
    <row r="9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1*</t>
        </is>
      </c>
      <c r="E9" s="234" t="n"/>
      <c r="F9" s="234" t="n"/>
      <c r="G9" s="234" t="n"/>
      <c r="H9" s="234" t="n"/>
      <c r="I9" s="234" t="n"/>
      <c r="J9" s="235" t="n"/>
    </row>
    <row r="10">
      <c r="B10" s="236" t="n"/>
      <c r="C10" s="236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2 кв. 2019 г., тыс. руб.</t>
        </is>
      </c>
      <c r="G10" s="234" t="n"/>
      <c r="H10" s="234" t="n"/>
      <c r="I10" s="234" t="n"/>
      <c r="J10" s="235" t="n"/>
    </row>
    <row r="11" ht="31.5" customHeight="1" s="175">
      <c r="B11" s="237" t="n"/>
      <c r="C11" s="237" t="n"/>
      <c r="D11" s="237" t="n"/>
      <c r="E11" s="237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63" customHeight="1" s="175">
      <c r="B12" s="198" t="n"/>
      <c r="C12" s="23" t="inlineStr">
        <is>
          <t xml:space="preserve">ПСЛ-110 Я3и 
ПСЛ-110 Я1 
ПС-110 Ш </t>
        </is>
      </c>
      <c r="D12" s="42" t="inlineStr">
        <is>
          <t>02-03-01</t>
        </is>
      </c>
      <c r="E12" s="23" t="inlineStr">
        <is>
          <t>Конструктивные решения ОРУ</t>
        </is>
      </c>
      <c r="F12" s="41">
        <f>784.06+1989.217+400.602</f>
        <v/>
      </c>
      <c r="G12" s="198" t="n"/>
      <c r="H12" s="198" t="n"/>
      <c r="I12" s="198" t="n"/>
      <c r="J12" s="41">
        <f>SUM(F12:I12)</f>
        <v/>
      </c>
    </row>
    <row r="13" ht="66" customHeight="1" s="175">
      <c r="B13" s="32" t="n"/>
      <c r="C13" s="23" t="inlineStr">
        <is>
          <t>монолитный фундамент</t>
        </is>
      </c>
      <c r="D13" s="40" t="inlineStr">
        <is>
          <t>02-03-01</t>
        </is>
      </c>
      <c r="E13" s="23" t="inlineStr">
        <is>
          <t>Конструктивные решения ОРУ</t>
        </is>
      </c>
      <c r="F13" s="38">
        <f>1960.706+445.276</f>
        <v/>
      </c>
      <c r="G13" s="38" t="n"/>
      <c r="H13" s="38" t="n"/>
      <c r="I13" s="38" t="n"/>
      <c r="J13" s="41">
        <f>SUM(F13:I13)</f>
        <v/>
      </c>
    </row>
    <row r="14">
      <c r="B14" s="199" t="inlineStr">
        <is>
          <t>Всего по объекту:</t>
        </is>
      </c>
      <c r="C14" s="234" t="n"/>
      <c r="D14" s="234" t="n"/>
      <c r="E14" s="235" t="n"/>
      <c r="F14" s="24">
        <f>F13+F12</f>
        <v/>
      </c>
      <c r="G14" s="24" t="n"/>
      <c r="H14" s="24" t="n"/>
      <c r="I14" s="24" t="n"/>
      <c r="J14" s="23">
        <f>SUM(F14:I14)</f>
        <v/>
      </c>
    </row>
    <row r="15" ht="28.5" customHeight="1" s="175">
      <c r="B15" s="199" t="inlineStr">
        <is>
          <t>Всего по объекту в сопоставимом уровне цен 2 кв. 2019г:</t>
        </is>
      </c>
      <c r="C15" s="234" t="n"/>
      <c r="D15" s="234" t="n"/>
      <c r="E15" s="235" t="n"/>
      <c r="F15" s="24">
        <f>F14</f>
        <v/>
      </c>
      <c r="G15" s="24" t="n"/>
      <c r="H15" s="24" t="n"/>
      <c r="I15" s="24" t="n"/>
      <c r="J15" s="23">
        <f>SUM(F15:I15)</f>
        <v/>
      </c>
    </row>
    <row r="16">
      <c r="B16" s="196" t="n"/>
    </row>
    <row r="18">
      <c r="B18" s="212" t="inlineStr">
        <is>
          <t>*</t>
        </is>
      </c>
      <c r="C18" s="177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77" t="inlineStr">
        <is>
          <t>Составил ______________________        Р.Р. Шагеева</t>
        </is>
      </c>
      <c r="C22" s="177" t="n"/>
    </row>
    <row r="23">
      <c r="B23" s="22" t="inlineStr">
        <is>
          <t xml:space="preserve">                         (подпись, инициалы, фамилия)</t>
        </is>
      </c>
      <c r="C23" s="177" t="n"/>
    </row>
    <row r="24">
      <c r="B24" s="177" t="n"/>
      <c r="C24" s="177" t="n"/>
    </row>
    <row r="25">
      <c r="B25" s="177" t="inlineStr">
        <is>
          <t>Проверил ______________________        А.В. Костянецкая</t>
        </is>
      </c>
      <c r="C25" s="177" t="n"/>
    </row>
    <row r="26">
      <c r="B26" s="22" t="inlineStr">
        <is>
          <t xml:space="preserve">                        (подпись, инициалы, фамилия)</t>
        </is>
      </c>
      <c r="C26" s="177" t="n"/>
    </row>
  </sheetData>
  <mergeCells count="12">
    <mergeCell ref="B3:J3"/>
    <mergeCell ref="D10:D11"/>
    <mergeCell ref="B4:K4"/>
    <mergeCell ref="D9:J9"/>
    <mergeCell ref="F10:J10"/>
    <mergeCell ref="B15:E15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73"/>
  <sheetViews>
    <sheetView view="pageBreakPreview" topLeftCell="A49" zoomScale="55" workbookViewId="0">
      <selection activeCell="C69" sqref="C69"/>
    </sheetView>
  </sheetViews>
  <sheetFormatPr baseColWidth="8" defaultColWidth="9.140625" defaultRowHeight="15.75"/>
  <cols>
    <col width="9.140625" customWidth="1" style="177" min="1" max="1"/>
    <col width="12.5703125" customWidth="1" style="177" min="2" max="2"/>
    <col width="22.42578125" customWidth="1" style="177" min="3" max="3"/>
    <col width="49.7109375" customWidth="1" style="177" min="4" max="4"/>
    <col width="10.140625" customWidth="1" style="177" min="5" max="5"/>
    <col width="20.7109375" customWidth="1" style="177" min="6" max="6"/>
    <col width="16.140625" customWidth="1" style="177" min="7" max="7"/>
    <col width="16.7109375" customWidth="1" style="177" min="8" max="8"/>
    <col width="9.140625" customWidth="1" style="177" min="9" max="9"/>
  </cols>
  <sheetData>
    <row r="2">
      <c r="A2" s="194" t="inlineStr">
        <is>
          <t xml:space="preserve">Приложение № 3 </t>
        </is>
      </c>
    </row>
    <row r="3">
      <c r="A3" s="195" t="inlineStr">
        <is>
          <t>Объектная ресурсная ведомость</t>
        </is>
      </c>
    </row>
    <row r="4">
      <c r="A4" s="196" t="n"/>
    </row>
    <row r="5">
      <c r="A5" s="197" t="inlineStr">
        <is>
          <t>Наименование разрабатываемого показателя УНЦ -  Устройство порталов и ошиновки ОРУ 110 кВ</t>
        </is>
      </c>
    </row>
    <row r="6" s="175">
      <c r="A6" s="197" t="n"/>
      <c r="B6" s="197" t="n"/>
      <c r="C6" s="197" t="n"/>
      <c r="D6" s="197" t="n"/>
      <c r="E6" s="197" t="n"/>
      <c r="F6" s="197" t="n"/>
      <c r="G6" s="197" t="n"/>
      <c r="H6" s="197" t="n"/>
      <c r="I6" s="177" t="n"/>
    </row>
    <row r="7" s="175">
      <c r="A7" s="197" t="n"/>
      <c r="B7" s="197" t="n"/>
      <c r="C7" s="197" t="n"/>
      <c r="D7" s="197" t="n"/>
      <c r="E7" s="197" t="n"/>
      <c r="F7" s="197" t="n"/>
      <c r="G7" s="197" t="n"/>
      <c r="H7" s="197" t="n"/>
      <c r="I7" s="177" t="n"/>
    </row>
    <row r="8">
      <c r="A8" s="197" t="n"/>
      <c r="B8" s="197" t="n"/>
      <c r="C8" s="197" t="n"/>
      <c r="D8" s="197" t="n"/>
      <c r="E8" s="197" t="n"/>
      <c r="F8" s="197" t="n"/>
      <c r="G8" s="197" t="n"/>
      <c r="H8" s="197" t="n"/>
    </row>
    <row r="9" ht="38.25" customHeight="1" s="175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35" t="n"/>
    </row>
    <row r="10" ht="40.5" customHeight="1" s="175">
      <c r="A10" s="237" t="n"/>
      <c r="B10" s="237" t="n"/>
      <c r="C10" s="237" t="n"/>
      <c r="D10" s="237" t="n"/>
      <c r="E10" s="237" t="n"/>
      <c r="F10" s="237" t="n"/>
      <c r="G10" s="198" t="inlineStr">
        <is>
          <t>на ед.изм.</t>
        </is>
      </c>
      <c r="H10" s="198" t="inlineStr">
        <is>
          <t>общая</t>
        </is>
      </c>
    </row>
    <row r="11">
      <c r="A11" s="8" t="n">
        <v>1</v>
      </c>
      <c r="B11" s="8" t="n"/>
      <c r="C11" s="8" t="n">
        <v>2</v>
      </c>
      <c r="D11" s="8" t="inlineStr">
        <is>
          <t>З</t>
        </is>
      </c>
      <c r="E11" s="8" t="n">
        <v>4</v>
      </c>
      <c r="F11" s="8" t="n">
        <v>5</v>
      </c>
      <c r="G11" s="8" t="n">
        <v>6</v>
      </c>
      <c r="H11" s="8" t="n">
        <v>7</v>
      </c>
    </row>
    <row r="12" customFormat="1" s="27">
      <c r="A12" s="200" t="inlineStr">
        <is>
          <t>Затраты труда рабочих</t>
        </is>
      </c>
      <c r="B12" s="234" t="n"/>
      <c r="C12" s="234" t="n"/>
      <c r="D12" s="234" t="n"/>
      <c r="E12" s="235" t="n"/>
      <c r="F12" s="26" t="n">
        <v>1308.62</v>
      </c>
      <c r="G12" s="26" t="n"/>
      <c r="H12" s="26">
        <f>SUM(H13:H20)</f>
        <v/>
      </c>
    </row>
    <row r="13">
      <c r="A13" s="201" t="n">
        <v>1</v>
      </c>
      <c r="B13" s="43" t="inlineStr">
        <is>
          <t>02-03-01</t>
        </is>
      </c>
      <c r="C13" s="36" t="inlineStr">
        <is>
          <t>1-4-3</t>
        </is>
      </c>
      <c r="D13" s="202" t="inlineStr">
        <is>
          <t>Затраты труда рабочих (ср 4,3)</t>
        </is>
      </c>
      <c r="E13" s="201" t="inlineStr">
        <is>
          <t>чел.-ч</t>
        </is>
      </c>
      <c r="F13" s="201" t="n">
        <v>410.21</v>
      </c>
      <c r="G13" s="30" t="n">
        <v>10.06</v>
      </c>
      <c r="H13" s="30">
        <f>ROUND(F13*G13,2)</f>
        <v/>
      </c>
      <c r="J13" s="177" t="n"/>
    </row>
    <row r="14">
      <c r="A14" s="201" t="n">
        <v>2</v>
      </c>
      <c r="B14" s="43" t="inlineStr">
        <is>
          <t>02-03-01</t>
        </is>
      </c>
      <c r="C14" s="36" t="inlineStr">
        <is>
          <t>1-2-9</t>
        </is>
      </c>
      <c r="D14" s="202" t="inlineStr">
        <is>
          <t>Затраты труда рабочих (ср 2,9)</t>
        </is>
      </c>
      <c r="E14" s="201" t="inlineStr">
        <is>
          <t>чел.-ч</t>
        </is>
      </c>
      <c r="F14" s="201" t="n">
        <v>357.53</v>
      </c>
      <c r="G14" s="30" t="n">
        <v>8.460000000000001</v>
      </c>
      <c r="H14" s="30">
        <f>ROUND(F14*G14,2)</f>
        <v/>
      </c>
      <c r="J14" s="177" t="n"/>
    </row>
    <row r="15">
      <c r="A15" s="201" t="n">
        <v>3</v>
      </c>
      <c r="B15" s="43" t="inlineStr">
        <is>
          <t>02-03-01</t>
        </is>
      </c>
      <c r="C15" s="36" t="inlineStr">
        <is>
          <t>1-3-0</t>
        </is>
      </c>
      <c r="D15" s="202" t="inlineStr">
        <is>
          <t>Затраты труда рабочих (ср 3)</t>
        </is>
      </c>
      <c r="E15" s="201" t="inlineStr">
        <is>
          <t>чел.-ч</t>
        </is>
      </c>
      <c r="F15" s="201" t="n">
        <v>274.76</v>
      </c>
      <c r="G15" s="30" t="n">
        <v>8.529999999999999</v>
      </c>
      <c r="H15" s="30">
        <f>ROUND(F15*G15,2)</f>
        <v/>
      </c>
      <c r="J15" s="177" t="n"/>
    </row>
    <row r="16">
      <c r="A16" s="201" t="n">
        <v>4</v>
      </c>
      <c r="B16" s="43" t="inlineStr">
        <is>
          <t>02-03-01</t>
        </is>
      </c>
      <c r="C16" s="36" t="inlineStr">
        <is>
          <t>1-3-9</t>
        </is>
      </c>
      <c r="D16" s="202" t="inlineStr">
        <is>
          <t>Затраты труда рабочих (ср 3,9)</t>
        </is>
      </c>
      <c r="E16" s="201" t="inlineStr">
        <is>
          <t>чел.-ч</t>
        </is>
      </c>
      <c r="F16" s="201" t="n">
        <v>96.468</v>
      </c>
      <c r="G16" s="30" t="n">
        <v>9.51</v>
      </c>
      <c r="H16" s="30">
        <f>ROUND(F16*G16,2)</f>
        <v/>
      </c>
      <c r="J16" s="177" t="n"/>
    </row>
    <row r="17">
      <c r="A17" s="201" t="n">
        <v>5</v>
      </c>
      <c r="B17" s="43" t="inlineStr">
        <is>
          <t>02-03-01</t>
        </is>
      </c>
      <c r="C17" s="36" t="inlineStr">
        <is>
          <t>1-3-5</t>
        </is>
      </c>
      <c r="D17" s="202" t="inlineStr">
        <is>
          <t>Затраты труда рабочих (ср 3,5)</t>
        </is>
      </c>
      <c r="E17" s="201" t="inlineStr">
        <is>
          <t>чел.-ч</t>
        </is>
      </c>
      <c r="F17" s="201" t="n">
        <v>72.5</v>
      </c>
      <c r="G17" s="30" t="n">
        <v>9.07</v>
      </c>
      <c r="H17" s="30">
        <f>ROUND(F17*G17,2)</f>
        <v/>
      </c>
      <c r="J17" s="177" t="n"/>
    </row>
    <row r="18">
      <c r="A18" s="201" t="n">
        <v>6</v>
      </c>
      <c r="B18" s="43" t="inlineStr">
        <is>
          <t>02-03-01</t>
        </is>
      </c>
      <c r="C18" s="36" t="inlineStr">
        <is>
          <t>1-4-2</t>
        </is>
      </c>
      <c r="D18" s="202" t="inlineStr">
        <is>
          <t>Затраты труда рабочих (ср 4,2)</t>
        </is>
      </c>
      <c r="E18" s="201" t="inlineStr">
        <is>
          <t>чел.-ч</t>
        </is>
      </c>
      <c r="F18" s="201" t="n">
        <v>54.108</v>
      </c>
      <c r="G18" s="30" t="n">
        <v>9.92</v>
      </c>
      <c r="H18" s="30">
        <f>ROUND(F18*G18,2)</f>
        <v/>
      </c>
      <c r="J18" s="177" t="n"/>
    </row>
    <row r="19">
      <c r="A19" s="201" t="n">
        <v>7</v>
      </c>
      <c r="B19" s="43" t="inlineStr">
        <is>
          <t>02-03-01</t>
        </is>
      </c>
      <c r="C19" s="36" t="inlineStr">
        <is>
          <t>1-1-0</t>
        </is>
      </c>
      <c r="D19" s="202" t="inlineStr">
        <is>
          <t>Затраты труда рабочих (ср 1)</t>
        </is>
      </c>
      <c r="E19" s="201" t="inlineStr">
        <is>
          <t>чел.-ч</t>
        </is>
      </c>
      <c r="F19" s="201" t="n">
        <v>25.548</v>
      </c>
      <c r="G19" s="30" t="n">
        <v>7.19</v>
      </c>
      <c r="H19" s="30">
        <f>ROUND(F19*G19,2)</f>
        <v/>
      </c>
      <c r="J19" s="177" t="n"/>
    </row>
    <row r="20">
      <c r="A20" s="201" t="n">
        <v>8</v>
      </c>
      <c r="B20" s="43" t="inlineStr">
        <is>
          <t>02-03-01</t>
        </is>
      </c>
      <c r="C20" s="36" t="inlineStr">
        <is>
          <t>1-2-0</t>
        </is>
      </c>
      <c r="D20" s="202" t="inlineStr">
        <is>
          <t>Затраты труда рабочих (ср 2)</t>
        </is>
      </c>
      <c r="E20" s="201" t="inlineStr">
        <is>
          <t>чел.-ч</t>
        </is>
      </c>
      <c r="F20" s="201" t="n">
        <v>17.496</v>
      </c>
      <c r="G20" s="30" t="n">
        <v>7.8</v>
      </c>
      <c r="H20" s="30">
        <f>ROUND(F20*G20,2)</f>
        <v/>
      </c>
      <c r="J20" s="177" t="n"/>
    </row>
    <row r="21">
      <c r="A21" s="200" t="inlineStr">
        <is>
          <t>Затраты труда машинистов</t>
        </is>
      </c>
      <c r="B21" s="234" t="n"/>
      <c r="C21" s="234" t="n"/>
      <c r="D21" s="234" t="n"/>
      <c r="E21" s="235" t="n"/>
      <c r="F21" s="200" t="n">
        <v>262.046616</v>
      </c>
      <c r="G21" s="26" t="n"/>
      <c r="H21" s="26">
        <f>H22</f>
        <v/>
      </c>
    </row>
    <row r="22">
      <c r="A22" s="201" t="n">
        <v>9</v>
      </c>
      <c r="B22" s="43" t="inlineStr">
        <is>
          <t>02-03-01</t>
        </is>
      </c>
      <c r="C22" s="202" t="n">
        <v>2</v>
      </c>
      <c r="D22" s="202" t="inlineStr">
        <is>
          <t>Затраты труда машинистов</t>
        </is>
      </c>
      <c r="E22" s="201" t="inlineStr">
        <is>
          <t>чел.-ч</t>
        </is>
      </c>
      <c r="F22" s="201" t="n">
        <v>262.046616</v>
      </c>
      <c r="G22" s="30" t="n">
        <v>0</v>
      </c>
      <c r="H22" s="30" t="n">
        <v>3737.28</v>
      </c>
      <c r="J22" s="177" t="n"/>
    </row>
    <row r="23" customFormat="1" s="27">
      <c r="A23" s="200" t="inlineStr">
        <is>
          <t>Машины и механизмы</t>
        </is>
      </c>
      <c r="B23" s="234" t="n"/>
      <c r="C23" s="234" t="n"/>
      <c r="D23" s="234" t="n"/>
      <c r="E23" s="235" t="n"/>
      <c r="F23" s="200" t="n"/>
      <c r="G23" s="26" t="n"/>
      <c r="H23" s="26">
        <f>SUM(H24:H41)</f>
        <v/>
      </c>
    </row>
    <row r="24" ht="31.5" customHeight="1" s="175">
      <c r="A24" s="201" t="n">
        <v>10</v>
      </c>
      <c r="B24" s="43" t="inlineStr">
        <is>
          <t>02-03-01</t>
        </is>
      </c>
      <c r="C24" s="202" t="inlineStr">
        <is>
          <t>91.05.05-015</t>
        </is>
      </c>
      <c r="D24" s="202" t="inlineStr">
        <is>
          <t>Краны на автомобильном ходу, грузоподъемность 16 т</t>
        </is>
      </c>
      <c r="E24" s="201" t="inlineStr">
        <is>
          <t>маш.час</t>
        </is>
      </c>
      <c r="F24" s="201" t="n">
        <v>82.135716</v>
      </c>
      <c r="G24" s="30" t="n">
        <v>115.4</v>
      </c>
      <c r="H24" s="30">
        <f>ROUND(F24*G24,2)</f>
        <v/>
      </c>
      <c r="J24" s="177" t="n"/>
    </row>
    <row r="25" ht="31.5" customFormat="1" customHeight="1" s="27">
      <c r="A25" s="201" t="n">
        <v>11</v>
      </c>
      <c r="B25" s="43" t="inlineStr">
        <is>
          <t>02-03-01</t>
        </is>
      </c>
      <c r="C25" s="202" t="inlineStr">
        <is>
          <t>91.01.05-086</t>
        </is>
      </c>
      <c r="D25" s="202" t="inlineStr">
        <is>
          <t>Экскаваторы одноковшовые дизельные на гусеничном ходу, емкость ковша 0,65 м3</t>
        </is>
      </c>
      <c r="E25" s="201" t="inlineStr">
        <is>
          <t>маш.час</t>
        </is>
      </c>
      <c r="F25" s="201" t="n">
        <v>55.64124</v>
      </c>
      <c r="G25" s="30" t="n">
        <v>115.27</v>
      </c>
      <c r="H25" s="30">
        <f>ROUND(F25*G25,2)</f>
        <v/>
      </c>
    </row>
    <row r="26" ht="47.25" customHeight="1" s="175">
      <c r="A26" s="201" t="n">
        <v>12</v>
      </c>
      <c r="B26" s="43" t="inlineStr">
        <is>
          <t>02-03-01</t>
        </is>
      </c>
      <c r="C26" s="202" t="inlineStr">
        <is>
          <t>91.18.01-007</t>
        </is>
      </c>
      <c r="D26" s="20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201" t="inlineStr">
        <is>
          <t>маш.час</t>
        </is>
      </c>
      <c r="F26" s="201" t="n">
        <v>57.486832</v>
      </c>
      <c r="G26" s="30" t="n">
        <v>90</v>
      </c>
      <c r="H26" s="30">
        <f>ROUND(F26*G26,2)</f>
        <v/>
      </c>
    </row>
    <row r="27" ht="31.5" customHeight="1" s="175">
      <c r="A27" s="201" t="n">
        <v>13</v>
      </c>
      <c r="B27" s="43" t="inlineStr">
        <is>
          <t>02-03-01</t>
        </is>
      </c>
      <c r="C27" s="202" t="inlineStr">
        <is>
          <t>91.14.03-002</t>
        </is>
      </c>
      <c r="D27" s="202" t="inlineStr">
        <is>
          <t>Автомобили-самосвалы, грузоподъемность до 10 т</t>
        </is>
      </c>
      <c r="E27" s="201" t="inlineStr">
        <is>
          <t>маш.-ч</t>
        </is>
      </c>
      <c r="F27" s="201" t="n">
        <v>33.06</v>
      </c>
      <c r="G27" s="30" t="n">
        <v>87.48999999999999</v>
      </c>
      <c r="H27" s="30">
        <f>ROUND(F27*G27,2)</f>
        <v/>
      </c>
    </row>
    <row r="28">
      <c r="A28" s="201" t="n">
        <v>14</v>
      </c>
      <c r="B28" s="43" t="inlineStr">
        <is>
          <t>02-03-01</t>
        </is>
      </c>
      <c r="C28" s="202" t="inlineStr">
        <is>
          <t>91.06.06-014</t>
        </is>
      </c>
      <c r="D28" s="202" t="inlineStr">
        <is>
          <t>Автогидроподъемники, высота подъема 28 м</t>
        </is>
      </c>
      <c r="E28" s="201" t="inlineStr">
        <is>
          <t>маш.час</t>
        </is>
      </c>
      <c r="F28" s="201" t="n">
        <v>11.64156</v>
      </c>
      <c r="G28" s="30" t="n">
        <v>243.49</v>
      </c>
      <c r="H28" s="30">
        <f>ROUND(F28*G28,2)</f>
        <v/>
      </c>
    </row>
    <row r="29">
      <c r="A29" s="201" t="n">
        <v>15</v>
      </c>
      <c r="B29" s="43" t="inlineStr">
        <is>
          <t>02-03-01</t>
        </is>
      </c>
      <c r="C29" s="202" t="inlineStr">
        <is>
          <t>91.13.01-038</t>
        </is>
      </c>
      <c r="D29" s="202" t="inlineStr">
        <is>
          <t>Машины поливомоечные 6000 л</t>
        </is>
      </c>
      <c r="E29" s="201" t="inlineStr">
        <is>
          <t>маш.час</t>
        </is>
      </c>
      <c r="F29" s="201" t="n">
        <v>22.407008</v>
      </c>
      <c r="G29" s="30" t="n">
        <v>110</v>
      </c>
      <c r="H29" s="30">
        <f>ROUND(F29*G29,2)</f>
        <v/>
      </c>
    </row>
    <row r="30" ht="31.5" customHeight="1" s="175">
      <c r="A30" s="201" t="n">
        <v>16</v>
      </c>
      <c r="B30" s="43" t="inlineStr">
        <is>
          <t>02-03-01</t>
        </is>
      </c>
      <c r="C30" s="202" t="inlineStr">
        <is>
          <t>91.05.06-012</t>
        </is>
      </c>
      <c r="D30" s="202" t="inlineStr">
        <is>
          <t>Краны на гусеничном ходу, грузоподъемность до 16 т</t>
        </is>
      </c>
      <c r="E30" s="201" t="inlineStr">
        <is>
          <t>маш.час</t>
        </is>
      </c>
      <c r="F30" s="201" t="n">
        <v>20.269088</v>
      </c>
      <c r="G30" s="30" t="n">
        <v>96.89</v>
      </c>
      <c r="H30" s="30">
        <f>ROUND(F30*G30,2)</f>
        <v/>
      </c>
    </row>
    <row r="31" ht="47.25" customHeight="1" s="175">
      <c r="A31" s="201" t="n">
        <v>17</v>
      </c>
      <c r="B31" s="43" t="inlineStr">
        <is>
          <t>02-03-01</t>
        </is>
      </c>
      <c r="C31" s="202" t="inlineStr">
        <is>
          <t>91.17.04-036</t>
        </is>
      </c>
      <c r="D31" s="202" t="inlineStr">
        <is>
          <t>Агрегаты сварочные передвижные с дизельным двигателем, номинальный сварочный ток 250-400 А</t>
        </is>
      </c>
      <c r="E31" s="201" t="inlineStr">
        <is>
          <t>маш.час</t>
        </is>
      </c>
      <c r="F31" s="201" t="n">
        <v>72.37224000000001</v>
      </c>
      <c r="G31" s="30" t="n">
        <v>14</v>
      </c>
      <c r="H31" s="30">
        <f>ROUND(F31*G31,2)</f>
        <v/>
      </c>
    </row>
    <row r="32">
      <c r="A32" s="201" t="n">
        <v>18</v>
      </c>
      <c r="B32" s="43" t="inlineStr">
        <is>
          <t>02-03-01</t>
        </is>
      </c>
      <c r="C32" s="202" t="inlineStr">
        <is>
          <t>91.01.01-035</t>
        </is>
      </c>
      <c r="D32" s="202" t="inlineStr">
        <is>
          <t>Бульдозеры, мощность 79 кВт (108 л.с.)</t>
        </is>
      </c>
      <c r="E32" s="201" t="inlineStr">
        <is>
          <t>маш.час</t>
        </is>
      </c>
      <c r="F32" s="201" t="n">
        <v>6.979232</v>
      </c>
      <c r="G32" s="30" t="n">
        <v>79.06999999999999</v>
      </c>
      <c r="H32" s="30">
        <f>ROUND(F32*G32,2)</f>
        <v/>
      </c>
    </row>
    <row r="33">
      <c r="A33" s="201" t="n">
        <v>19</v>
      </c>
      <c r="B33" s="43" t="inlineStr">
        <is>
          <t>02-03-01</t>
        </is>
      </c>
      <c r="C33" s="202" t="inlineStr">
        <is>
          <t>91.08.04-021</t>
        </is>
      </c>
      <c r="D33" s="202" t="inlineStr">
        <is>
          <t>Котлы битумные передвижные 400 л</t>
        </is>
      </c>
      <c r="E33" s="201" t="inlineStr">
        <is>
          <t>маш.час</t>
        </is>
      </c>
      <c r="F33" s="201" t="n">
        <v>8.873279999999999</v>
      </c>
      <c r="G33" s="30" t="n">
        <v>30</v>
      </c>
      <c r="H33" s="30">
        <f>ROUND(F33*G33,2)</f>
        <v/>
      </c>
    </row>
    <row r="34">
      <c r="A34" s="201" t="n">
        <v>20</v>
      </c>
      <c r="B34" s="43" t="inlineStr">
        <is>
          <t>02-03-01</t>
        </is>
      </c>
      <c r="C34" s="202" t="inlineStr">
        <is>
          <t>91.05.01-017</t>
        </is>
      </c>
      <c r="D34" s="202" t="inlineStr">
        <is>
          <t>Краны башенные, грузоподъемность 8 т</t>
        </is>
      </c>
      <c r="E34" s="201" t="inlineStr">
        <is>
          <t>маш.час</t>
        </is>
      </c>
      <c r="F34" s="201" t="n">
        <v>2.3328</v>
      </c>
      <c r="G34" s="30" t="n">
        <v>86.40000000000001</v>
      </c>
      <c r="H34" s="30">
        <f>ROUND(F34*G34,2)</f>
        <v/>
      </c>
    </row>
    <row r="35" ht="31.5" customHeight="1" s="175">
      <c r="A35" s="201" t="n">
        <v>21</v>
      </c>
      <c r="B35" s="43" t="inlineStr">
        <is>
          <t>02-03-01</t>
        </is>
      </c>
      <c r="C35" s="202" t="inlineStr">
        <is>
          <t>91.14.02-001</t>
        </is>
      </c>
      <c r="D35" s="202" t="inlineStr">
        <is>
          <t>Автомобили бортовые, грузоподъемность до 5 т</t>
        </is>
      </c>
      <c r="E35" s="201" t="inlineStr">
        <is>
          <t>маш.час</t>
        </is>
      </c>
      <c r="F35" s="201" t="n">
        <v>2.49616</v>
      </c>
      <c r="G35" s="30" t="n">
        <v>65.70999999999999</v>
      </c>
      <c r="H35" s="30">
        <f>ROUND(F35*G35,2)</f>
        <v/>
      </c>
    </row>
    <row r="36" ht="31.5" customHeight="1" s="175">
      <c r="A36" s="201" t="n">
        <v>22</v>
      </c>
      <c r="B36" s="43" t="inlineStr">
        <is>
          <t>02-03-01</t>
        </is>
      </c>
      <c r="C36" s="202" t="inlineStr">
        <is>
          <t>91.08.09-023</t>
        </is>
      </c>
      <c r="D36" s="202" t="inlineStr">
        <is>
          <t>Трамбовки пневматические при работе от передвижных компрессорных станций</t>
        </is>
      </c>
      <c r="E36" s="201" t="inlineStr">
        <is>
          <t>маш.час</t>
        </is>
      </c>
      <c r="F36" s="201" t="n">
        <v>229.58</v>
      </c>
      <c r="G36" s="30" t="n">
        <v>0.55</v>
      </c>
      <c r="H36" s="30">
        <f>ROUND(F36*G36,2)</f>
        <v/>
      </c>
    </row>
    <row r="37" ht="31.5" customHeight="1" s="175">
      <c r="A37" s="201" t="n">
        <v>23</v>
      </c>
      <c r="B37" s="43" t="inlineStr">
        <is>
          <t>02-03-01</t>
        </is>
      </c>
      <c r="C37" s="202" t="inlineStr">
        <is>
          <t>91.14.02-002</t>
        </is>
      </c>
      <c r="D37" s="202" t="inlineStr">
        <is>
          <t>Автомобили бортовые, грузоподъемность до 8 т</t>
        </is>
      </c>
      <c r="E37" s="201" t="inlineStr">
        <is>
          <t>маш.час</t>
        </is>
      </c>
      <c r="F37" s="201" t="n">
        <v>0.43628</v>
      </c>
      <c r="G37" s="30" t="n">
        <v>85.84</v>
      </c>
      <c r="H37" s="30">
        <f>ROUND(F37*G37,2)</f>
        <v/>
      </c>
    </row>
    <row r="38">
      <c r="A38" s="201" t="n">
        <v>24</v>
      </c>
      <c r="B38" s="43" t="inlineStr">
        <is>
          <t>02-03-01</t>
        </is>
      </c>
      <c r="C38" s="202" t="inlineStr">
        <is>
          <t>91.07.04-001</t>
        </is>
      </c>
      <c r="D38" s="202" t="inlineStr">
        <is>
          <t>Вибраторы глубинные</t>
        </is>
      </c>
      <c r="E38" s="201" t="inlineStr">
        <is>
          <t>маш.час</t>
        </is>
      </c>
      <c r="F38" s="201" t="n">
        <v>15.0076</v>
      </c>
      <c r="G38" s="30" t="n">
        <v>1.9</v>
      </c>
      <c r="H38" s="30">
        <f>ROUND(F38*G38,2)</f>
        <v/>
      </c>
    </row>
    <row r="39">
      <c r="A39" s="201" t="n">
        <v>25</v>
      </c>
      <c r="B39" s="43" t="inlineStr">
        <is>
          <t>02-03-01</t>
        </is>
      </c>
      <c r="C39" s="202" t="inlineStr">
        <is>
          <t>91.06.05-011</t>
        </is>
      </c>
      <c r="D39" s="202" t="inlineStr">
        <is>
          <t>Погрузчики, грузоподъемность 5 т</t>
        </is>
      </c>
      <c r="E39" s="201" t="inlineStr">
        <is>
          <t>маш.час</t>
        </is>
      </c>
      <c r="F39" s="201" t="n">
        <v>0.2207</v>
      </c>
      <c r="G39" s="30" t="n">
        <v>89.98999999999999</v>
      </c>
      <c r="H39" s="30">
        <f>ROUND(F39*G39,2)</f>
        <v/>
      </c>
    </row>
    <row r="40" ht="31.5" customHeight="1" s="175">
      <c r="A40" s="201" t="n">
        <v>26</v>
      </c>
      <c r="B40" s="43" t="inlineStr">
        <is>
          <t>02-03-01</t>
        </is>
      </c>
      <c r="C40" s="202" t="inlineStr">
        <is>
          <t>91.17.04-233</t>
        </is>
      </c>
      <c r="D40" s="202" t="inlineStr">
        <is>
          <t>Установки для сварки ручной дуговой (постоянного тока)</t>
        </is>
      </c>
      <c r="E40" s="201" t="inlineStr">
        <is>
          <t>маш.час</t>
        </is>
      </c>
      <c r="F40" s="201" t="n">
        <v>1.58904</v>
      </c>
      <c r="G40" s="30" t="n">
        <v>8.1</v>
      </c>
      <c r="H40" s="30">
        <f>ROUND(F40*G40,2)</f>
        <v/>
      </c>
    </row>
    <row r="41">
      <c r="A41" s="201" t="n">
        <v>27</v>
      </c>
      <c r="B41" s="43" t="inlineStr">
        <is>
          <t>02-03-01</t>
        </is>
      </c>
      <c r="C41" s="202" t="inlineStr">
        <is>
          <t>91.07.04-002</t>
        </is>
      </c>
      <c r="D41" s="202" t="inlineStr">
        <is>
          <t>Вибраторы поверхностные</t>
        </is>
      </c>
      <c r="E41" s="201" t="inlineStr">
        <is>
          <t>маш.час</t>
        </is>
      </c>
      <c r="F41" s="201" t="n">
        <v>0.768528</v>
      </c>
      <c r="G41" s="30" t="n">
        <v>0.5</v>
      </c>
      <c r="H41" s="30">
        <f>ROUND(F41*G41,2)</f>
        <v/>
      </c>
    </row>
    <row r="42">
      <c r="A42" s="200" t="inlineStr">
        <is>
          <t>Материалы</t>
        </is>
      </c>
      <c r="B42" s="234" t="n"/>
      <c r="C42" s="234" t="n"/>
      <c r="D42" s="234" t="n"/>
      <c r="E42" s="235" t="n"/>
      <c r="F42" s="200" t="n"/>
      <c r="G42" s="26" t="n"/>
      <c r="H42" s="26">
        <f>SUM(H43:H66)</f>
        <v/>
      </c>
    </row>
    <row r="43" ht="31.5" customHeight="1" s="175">
      <c r="A43" s="201" t="n">
        <v>28</v>
      </c>
      <c r="B43" s="43" t="inlineStr">
        <is>
          <t>02-03-01</t>
        </is>
      </c>
      <c r="C43" s="202" t="inlineStr">
        <is>
          <t>07.2.07.13-0211</t>
        </is>
      </c>
      <c r="D43" s="202" t="inlineStr">
        <is>
          <t>Тяги, распорки, связи, стойки стальные оцинкованные</t>
        </is>
      </c>
      <c r="E43" s="201" t="inlineStr">
        <is>
          <t>т</t>
        </is>
      </c>
      <c r="F43" s="201" t="n">
        <v>22.54464</v>
      </c>
      <c r="G43" s="30" t="n">
        <v>22977.81</v>
      </c>
      <c r="H43" s="30">
        <f>ROUND(F43*G43,2)</f>
        <v/>
      </c>
    </row>
    <row r="44">
      <c r="A44" s="201" t="n">
        <v>29</v>
      </c>
      <c r="B44" s="43" t="inlineStr">
        <is>
          <t>02-03-01</t>
        </is>
      </c>
      <c r="C44" s="202" t="inlineStr">
        <is>
          <t>04.1.02.05-0011</t>
        </is>
      </c>
      <c r="D44" s="202" t="inlineStr">
        <is>
          <t>Бетон тяжелый, класс: В30 (М400)</t>
        </is>
      </c>
      <c r="E44" s="201" t="inlineStr">
        <is>
          <t>м3</t>
        </is>
      </c>
      <c r="F44" s="201" t="n">
        <v>89.60420000000001</v>
      </c>
      <c r="G44" s="30" t="n">
        <v>790</v>
      </c>
      <c r="H44" s="30">
        <f>ROUND(F44*G44,2)</f>
        <v/>
      </c>
    </row>
    <row r="45">
      <c r="A45" s="201" t="n">
        <v>30</v>
      </c>
      <c r="B45" s="43" t="inlineStr">
        <is>
          <t>02-03-01</t>
        </is>
      </c>
      <c r="C45" s="202" t="inlineStr">
        <is>
          <t>08.4.02.04-0001</t>
        </is>
      </c>
      <c r="D45" s="202" t="inlineStr">
        <is>
          <t>Каркасы металлические</t>
        </is>
      </c>
      <c r="E45" s="201" t="inlineStr">
        <is>
          <t>т</t>
        </is>
      </c>
      <c r="F45" s="201" t="n">
        <v>2.8984</v>
      </c>
      <c r="G45" s="30" t="n">
        <v>8200</v>
      </c>
      <c r="H45" s="30">
        <f>ROUND(F45*G45,2)</f>
        <v/>
      </c>
    </row>
    <row r="46">
      <c r="A46" s="201" t="n">
        <v>31</v>
      </c>
      <c r="B46" s="43" t="inlineStr">
        <is>
          <t>02-03-01</t>
        </is>
      </c>
      <c r="C46" s="202" t="inlineStr">
        <is>
          <t>08.4.02.01-0021</t>
        </is>
      </c>
      <c r="D46" s="202" t="inlineStr">
        <is>
          <t>Арматурные сетки сварные</t>
        </is>
      </c>
      <c r="E46" s="201" t="inlineStr">
        <is>
          <t>т</t>
        </is>
      </c>
      <c r="F46" s="201" t="n">
        <v>1.65192</v>
      </c>
      <c r="G46" s="30" t="n">
        <v>7200</v>
      </c>
      <c r="H46" s="30">
        <f>ROUND(F46*G46,2)</f>
        <v/>
      </c>
    </row>
    <row r="47" ht="78.75" customHeight="1" s="175">
      <c r="A47" s="201" t="n">
        <v>32</v>
      </c>
      <c r="B47" s="43" t="inlineStr">
        <is>
          <t>02-03-01</t>
        </is>
      </c>
      <c r="C47" s="202" t="inlineStr">
        <is>
          <t>08.4.01.02-0013</t>
        </is>
      </c>
      <c r="D47" s="202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47" s="201" t="inlineStr">
        <is>
          <t>т</t>
        </is>
      </c>
      <c r="F47" s="201" t="n">
        <v>1.25</v>
      </c>
      <c r="G47" s="30" t="n">
        <v>6800</v>
      </c>
      <c r="H47" s="30">
        <f>ROUND(F47*G47,2)</f>
        <v/>
      </c>
    </row>
    <row r="48">
      <c r="A48" s="201" t="n">
        <v>33</v>
      </c>
      <c r="B48" s="43" t="inlineStr">
        <is>
          <t>02-03-01</t>
        </is>
      </c>
      <c r="C48" s="202" t="inlineStr">
        <is>
          <t>04.1.02.05-0003</t>
        </is>
      </c>
      <c r="D48" s="202" t="inlineStr">
        <is>
          <t>Бетон тяжелый, класс: В7,5 (М100)</t>
        </is>
      </c>
      <c r="E48" s="201" t="inlineStr">
        <is>
          <t>м3</t>
        </is>
      </c>
      <c r="F48" s="201" t="n">
        <v>13.2192</v>
      </c>
      <c r="G48" s="30" t="n">
        <v>560</v>
      </c>
      <c r="H48" s="30">
        <f>ROUND(F48*G48,2)</f>
        <v/>
      </c>
    </row>
    <row r="49" ht="31.5" customHeight="1" s="175">
      <c r="A49" s="201" t="n">
        <v>34</v>
      </c>
      <c r="B49" s="43" t="inlineStr">
        <is>
          <t>02-03-01</t>
        </is>
      </c>
      <c r="C49" s="202" t="inlineStr">
        <is>
          <t>01.7.15.03-0037</t>
        </is>
      </c>
      <c r="D49" s="202" t="inlineStr">
        <is>
          <t>Болты с гайками и шайбами оцинкованные, диаметр: 30 мм</t>
        </is>
      </c>
      <c r="E49" s="201" t="inlineStr">
        <is>
          <t>кг</t>
        </is>
      </c>
      <c r="F49" s="201" t="n">
        <v>264.8</v>
      </c>
      <c r="G49" s="30" t="n">
        <v>24.68</v>
      </c>
      <c r="H49" s="30">
        <f>ROUND(F49*G49,2)</f>
        <v/>
      </c>
    </row>
    <row r="50" ht="31.5" customHeight="1" s="175">
      <c r="A50" s="201" t="n">
        <v>35</v>
      </c>
      <c r="B50" s="43" t="inlineStr">
        <is>
          <t>02-03-01</t>
        </is>
      </c>
      <c r="C50" s="202" t="inlineStr">
        <is>
          <t>01.2.03.03-0103</t>
        </is>
      </c>
      <c r="D50" s="202" t="inlineStr">
        <is>
          <t>Мастика гидроизоляционная холодная ТЕХНОНИКОЛЬ №24 (МГТН)</t>
        </is>
      </c>
      <c r="E50" s="201" t="inlineStr">
        <is>
          <t>кг</t>
        </is>
      </c>
      <c r="F50" s="201" t="n">
        <v>455.04</v>
      </c>
      <c r="G50" s="30" t="n">
        <v>9.15</v>
      </c>
      <c r="H50" s="30">
        <f>ROUND(F50*G50,2)</f>
        <v/>
      </c>
    </row>
    <row r="51">
      <c r="A51" s="201" t="n">
        <v>36</v>
      </c>
      <c r="B51" s="43" t="inlineStr">
        <is>
          <t>02-03-01</t>
        </is>
      </c>
      <c r="C51" s="202" t="inlineStr">
        <is>
          <t>01.7.11.07-0032</t>
        </is>
      </c>
      <c r="D51" s="202" t="inlineStr">
        <is>
          <t>Электроды сварочные Э42, диаметр 4 мм</t>
        </is>
      </c>
      <c r="E51" s="201" t="inlineStr">
        <is>
          <t>т</t>
        </is>
      </c>
      <c r="F51" s="201" t="n">
        <v>0.216474</v>
      </c>
      <c r="G51" s="30" t="n">
        <v>10315.01</v>
      </c>
      <c r="H51" s="30">
        <f>ROUND(F51*G51,2)</f>
        <v/>
      </c>
    </row>
    <row r="52" ht="47.25" customHeight="1" s="175">
      <c r="A52" s="201" t="n">
        <v>37</v>
      </c>
      <c r="B52" s="43" t="inlineStr">
        <is>
          <t>02-03-01</t>
        </is>
      </c>
      <c r="C52" s="202" t="inlineStr">
        <is>
          <t>01.7.15.03-0022</t>
        </is>
      </c>
      <c r="D52" s="202" t="inlineStr">
        <is>
          <t>Болты с гайками и шайбами оцинкованные для монтажа стальных конструкций, диаметр 16 мм, длина 55-200 мм</t>
        </is>
      </c>
      <c r="E52" s="201" t="inlineStr">
        <is>
          <t>т</t>
        </is>
      </c>
      <c r="F52" s="201" t="n">
        <v>0.104704</v>
      </c>
      <c r="G52" s="30" t="n">
        <v>18796.65</v>
      </c>
      <c r="H52" s="30">
        <f>ROUND(F52*G52,2)</f>
        <v/>
      </c>
    </row>
    <row r="53">
      <c r="A53" s="201" t="n">
        <v>38</v>
      </c>
      <c r="B53" s="43" t="inlineStr">
        <is>
          <t>02-03-01</t>
        </is>
      </c>
      <c r="C53" s="202" t="inlineStr">
        <is>
          <t>11.2.13.04-0011</t>
        </is>
      </c>
      <c r="D53" s="202" t="inlineStr">
        <is>
          <t>Щиты из досок, толщина 25 мм</t>
        </is>
      </c>
      <c r="E53" s="201" t="inlineStr">
        <is>
          <t>м2</t>
        </is>
      </c>
      <c r="F53" s="201" t="n">
        <v>43.6986</v>
      </c>
      <c r="G53" s="30" t="n">
        <v>35.53</v>
      </c>
      <c r="H53" s="30">
        <f>ROUND(F53*G53,2)</f>
        <v/>
      </c>
    </row>
    <row r="54" ht="47.25" customHeight="1" s="175">
      <c r="A54" s="201" t="n">
        <v>39</v>
      </c>
      <c r="B54" s="43" t="inlineStr">
        <is>
          <t>02-03-01</t>
        </is>
      </c>
      <c r="C54" s="202" t="inlineStr">
        <is>
          <t>11.1.03.06-0095</t>
        </is>
      </c>
      <c r="D54" s="202" t="inlineStr">
        <is>
          <t>Доска обрезная, хвойных пород, ширина 75-150 мм, толщина 44 мм и более, длина 4-6,5 м, сорт III</t>
        </is>
      </c>
      <c r="E54" s="201" t="inlineStr">
        <is>
          <t>м3</t>
        </is>
      </c>
      <c r="F54" s="201" t="n">
        <v>0.609132</v>
      </c>
      <c r="G54" s="30" t="n">
        <v>1056</v>
      </c>
      <c r="H54" s="30">
        <f>ROUND(F54*G54,2)</f>
        <v/>
      </c>
    </row>
    <row r="55" ht="31.5" customHeight="1" s="175">
      <c r="A55" s="201" t="n">
        <v>40</v>
      </c>
      <c r="B55" s="43" t="inlineStr">
        <is>
          <t>02-03-01</t>
        </is>
      </c>
      <c r="C55" s="202" t="inlineStr">
        <is>
          <t>01.7.15.03-0035</t>
        </is>
      </c>
      <c r="D55" s="202" t="inlineStr">
        <is>
          <t>Болты с гайками и шайбами оцинкованные, диаметр: 20 мм</t>
        </is>
      </c>
      <c r="E55" s="201" t="inlineStr">
        <is>
          <t>кг</t>
        </is>
      </c>
      <c r="F55" s="201" t="n">
        <v>24.864</v>
      </c>
      <c r="G55" s="30" t="n">
        <v>24.97</v>
      </c>
      <c r="H55" s="30">
        <f>ROUND(F55*G55,2)</f>
        <v/>
      </c>
    </row>
    <row r="56" customFormat="1" s="27">
      <c r="A56" s="201" t="n">
        <v>41</v>
      </c>
      <c r="B56" s="43" t="inlineStr">
        <is>
          <t>02-03-01</t>
        </is>
      </c>
      <c r="C56" s="202" t="inlineStr">
        <is>
          <t>01.7.03.01-0001</t>
        </is>
      </c>
      <c r="D56" s="202" t="inlineStr">
        <is>
          <t>Вода</t>
        </is>
      </c>
      <c r="E56" s="201" t="inlineStr">
        <is>
          <t>м3</t>
        </is>
      </c>
      <c r="F56" s="201" t="n">
        <v>186.483584</v>
      </c>
      <c r="G56" s="30" t="n">
        <v>2.44</v>
      </c>
      <c r="H56" s="30">
        <f>ROUND(F56*G56,2)</f>
        <v/>
      </c>
    </row>
    <row r="57">
      <c r="A57" s="201" t="n">
        <v>42</v>
      </c>
      <c r="B57" s="43" t="inlineStr">
        <is>
          <t>02-03-01</t>
        </is>
      </c>
      <c r="C57" s="202" t="inlineStr">
        <is>
          <t>01.7.15.06-0111</t>
        </is>
      </c>
      <c r="D57" s="202" t="inlineStr">
        <is>
          <t>Гвозди строительные</t>
        </is>
      </c>
      <c r="E57" s="201" t="inlineStr">
        <is>
          <t>т</t>
        </is>
      </c>
      <c r="F57" s="201" t="n">
        <v>0.0326636</v>
      </c>
      <c r="G57" s="30" t="n">
        <v>11978</v>
      </c>
      <c r="H57" s="30">
        <f>ROUND(F57*G57,2)</f>
        <v/>
      </c>
    </row>
    <row r="58" ht="31.5" customHeight="1" s="175">
      <c r="A58" s="201" t="n">
        <v>43</v>
      </c>
      <c r="B58" s="43" t="inlineStr">
        <is>
          <t>02-03-01</t>
        </is>
      </c>
      <c r="C58" s="202" t="inlineStr">
        <is>
          <t>11.1.02.04-0031</t>
        </is>
      </c>
      <c r="D58" s="202" t="inlineStr">
        <is>
          <t>Лесоматериалы круглые, хвойных пород, для строительства, диаметр 14-24 см, длина 3-6,5 м</t>
        </is>
      </c>
      <c r="E58" s="201" t="inlineStr">
        <is>
          <t>м3</t>
        </is>
      </c>
      <c r="F58" s="201" t="n">
        <v>0.609132</v>
      </c>
      <c r="G58" s="30" t="n">
        <v>558.33</v>
      </c>
      <c r="H58" s="30">
        <f>ROUND(F58*G58,2)</f>
        <v/>
      </c>
    </row>
    <row r="59">
      <c r="A59" s="201" t="n">
        <v>44</v>
      </c>
      <c r="B59" s="43" t="inlineStr">
        <is>
          <t>02-03-01</t>
        </is>
      </c>
      <c r="C59" s="202" t="inlineStr">
        <is>
          <t>01.3.01.03-0002</t>
        </is>
      </c>
      <c r="D59" s="202" t="inlineStr">
        <is>
          <t>Керосин для технических целей</t>
        </is>
      </c>
      <c r="E59" s="201" t="inlineStr">
        <is>
          <t>т</t>
        </is>
      </c>
      <c r="F59" s="201" t="n">
        <v>0.1092096</v>
      </c>
      <c r="G59" s="30" t="n">
        <v>2606.9</v>
      </c>
      <c r="H59" s="30">
        <f>ROUND(F59*G59,2)</f>
        <v/>
      </c>
    </row>
    <row r="60" ht="31.5" customHeight="1" s="175">
      <c r="A60" s="201" t="n">
        <v>45</v>
      </c>
      <c r="B60" s="43" t="inlineStr">
        <is>
          <t>02-03-01</t>
        </is>
      </c>
      <c r="C60" s="202" t="inlineStr">
        <is>
          <t>11.1.03.06-0087</t>
        </is>
      </c>
      <c r="D60" s="202" t="inlineStr">
        <is>
          <t>Доска обрезная, хвойных пород, ширина 75-150 мм, толщина 25 мм, длина 4-6,5 м, сорт III</t>
        </is>
      </c>
      <c r="E60" s="201" t="inlineStr">
        <is>
          <t>м3</t>
        </is>
      </c>
      <c r="F60" s="201" t="n">
        <v>0.17656</v>
      </c>
      <c r="G60" s="30" t="n">
        <v>1100</v>
      </c>
      <c r="H60" s="30">
        <f>ROUND(F60*G60,2)</f>
        <v/>
      </c>
    </row>
    <row r="61" ht="31.5" customHeight="1" s="175">
      <c r="A61" s="201" t="n">
        <v>46</v>
      </c>
      <c r="B61" s="43" t="inlineStr">
        <is>
          <t>02-03-01</t>
        </is>
      </c>
      <c r="C61" s="202" t="inlineStr">
        <is>
          <t>08.3.03.06-0002</t>
        </is>
      </c>
      <c r="D61" s="202" t="inlineStr">
        <is>
          <t>Проволока горячекатаная в мотках, диаметр 6,3-6,5 мм</t>
        </is>
      </c>
      <c r="E61" s="201" t="inlineStr">
        <is>
          <t>т</t>
        </is>
      </c>
      <c r="F61" s="201" t="n">
        <v>0.035312</v>
      </c>
      <c r="G61" s="30" t="n">
        <v>4455.2</v>
      </c>
      <c r="H61" s="30">
        <f>ROUND(F61*G61,2)</f>
        <v/>
      </c>
    </row>
    <row r="62">
      <c r="A62" s="201" t="n">
        <v>47</v>
      </c>
      <c r="B62" s="43" t="inlineStr">
        <is>
          <t>02-03-01</t>
        </is>
      </c>
      <c r="C62" s="202" t="inlineStr">
        <is>
          <t>01.7.07.12-0024</t>
        </is>
      </c>
      <c r="D62" s="202" t="inlineStr">
        <is>
          <t>Пленка полиэтиленовая, толщина 0,15 мм</t>
        </is>
      </c>
      <c r="E62" s="201" t="inlineStr">
        <is>
          <t>м2</t>
        </is>
      </c>
      <c r="F62" s="201" t="n">
        <v>41.31628</v>
      </c>
      <c r="G62" s="30" t="n">
        <v>3.62</v>
      </c>
      <c r="H62" s="30">
        <f>ROUND(F62*G62,2)</f>
        <v/>
      </c>
    </row>
    <row r="63" ht="31.5" customHeight="1" s="175">
      <c r="A63" s="201" t="n">
        <v>48</v>
      </c>
      <c r="B63" s="43" t="inlineStr">
        <is>
          <t>02-03-01</t>
        </is>
      </c>
      <c r="C63" s="202" t="inlineStr">
        <is>
          <t>11.1.03.01-0079</t>
        </is>
      </c>
      <c r="D63" s="202" t="inlineStr">
        <is>
          <t>Бруски обрезные, хвойных пород, длина 4-6,5 м, ширина 75-150 мм, толщина 40-75 мм, сорт III</t>
        </is>
      </c>
      <c r="E63" s="201" t="inlineStr">
        <is>
          <t>м3</t>
        </is>
      </c>
      <c r="F63" s="201" t="n">
        <v>0.07062400000000001</v>
      </c>
      <c r="G63" s="30" t="n">
        <v>1287</v>
      </c>
      <c r="H63" s="30">
        <f>ROUND(F63*G63,2)</f>
        <v/>
      </c>
    </row>
    <row r="64">
      <c r="A64" s="201" t="n">
        <v>49</v>
      </c>
      <c r="B64" s="43" t="inlineStr">
        <is>
          <t>02-03-01</t>
        </is>
      </c>
      <c r="C64" s="202" t="inlineStr">
        <is>
          <t>01.7.11.07-0054</t>
        </is>
      </c>
      <c r="D64" s="202" t="inlineStr">
        <is>
          <t>Электроды сварочные Э42, диаметр 6 мм</t>
        </is>
      </c>
      <c r="E64" s="201" t="inlineStr">
        <is>
          <t>т</t>
        </is>
      </c>
      <c r="F64" s="201" t="n">
        <v>0.0035312</v>
      </c>
      <c r="G64" s="30" t="n">
        <v>9424</v>
      </c>
      <c r="H64" s="30">
        <f>ROUND(F64*G64,2)</f>
        <v/>
      </c>
    </row>
    <row r="65" ht="31.5" customHeight="1" s="175">
      <c r="A65" s="201" t="n">
        <v>50</v>
      </c>
      <c r="B65" s="43" t="inlineStr">
        <is>
          <t>02-03-01</t>
        </is>
      </c>
      <c r="C65" s="202" t="inlineStr">
        <is>
          <t>03.1.02.03-0011</t>
        </is>
      </c>
      <c r="D65" s="202" t="inlineStr">
        <is>
          <t>Известь строительная негашеная комовая, сорт I</t>
        </is>
      </c>
      <c r="E65" s="201" t="inlineStr">
        <is>
          <t>т</t>
        </is>
      </c>
      <c r="F65" s="201" t="n">
        <v>0.0406088</v>
      </c>
      <c r="G65" s="30" t="n">
        <v>734.5</v>
      </c>
      <c r="H65" s="30">
        <f>ROUND(F65*G65,2)</f>
        <v/>
      </c>
    </row>
    <row r="66">
      <c r="A66" s="201" t="n">
        <v>51</v>
      </c>
      <c r="B66" s="43" t="inlineStr">
        <is>
          <t>02-03-01</t>
        </is>
      </c>
      <c r="C66" s="202" t="inlineStr">
        <is>
          <t>01.7.20.08-0051</t>
        </is>
      </c>
      <c r="D66" s="202" t="inlineStr">
        <is>
          <t>Ветошь</t>
        </is>
      </c>
      <c r="E66" s="201" t="inlineStr">
        <is>
          <t>кг</t>
        </is>
      </c>
      <c r="F66" s="201" t="n">
        <v>0.45504</v>
      </c>
      <c r="G66" s="30" t="n">
        <v>1.82</v>
      </c>
      <c r="H66" s="30">
        <f>ROUND(F66*G66,2)</f>
        <v/>
      </c>
    </row>
    <row r="69">
      <c r="B69" s="177" t="inlineStr">
        <is>
          <t xml:space="preserve">Составил ______________________        Р.Р. Шагеева </t>
        </is>
      </c>
      <c r="C69" s="177" t="n"/>
    </row>
    <row r="70">
      <c r="B70" s="22" t="inlineStr">
        <is>
          <t xml:space="preserve">                         (подпись, инициалы, фамилия)</t>
        </is>
      </c>
      <c r="C70" s="177" t="n"/>
    </row>
    <row r="71">
      <c r="B71" s="177" t="n"/>
      <c r="C71" s="177" t="n"/>
    </row>
    <row r="72">
      <c r="B72" s="177" t="inlineStr">
        <is>
          <t>Проверил ______________________        А.В. Костянецкая</t>
        </is>
      </c>
      <c r="C72" s="177" t="n"/>
    </row>
    <row r="73">
      <c r="B73" s="22" t="inlineStr">
        <is>
          <t xml:space="preserve">                        (подпись, инициалы, фамилия)</t>
        </is>
      </c>
      <c r="C73" s="177" t="n"/>
    </row>
  </sheetData>
  <mergeCells count="14">
    <mergeCell ref="A21:E21"/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42:E42"/>
    <mergeCell ref="A23:E23"/>
    <mergeCell ref="A5:H5"/>
    <mergeCell ref="G9:H9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2" workbookViewId="0">
      <selection activeCell="B44" sqref="B44"/>
    </sheetView>
  </sheetViews>
  <sheetFormatPr baseColWidth="8" defaultRowHeight="15"/>
  <cols>
    <col width="4.140625" customWidth="1" style="175" min="1" max="1"/>
    <col width="36.28515625" customWidth="1" style="175" min="2" max="2"/>
    <col width="18.85546875" customWidth="1" style="175" min="3" max="3"/>
    <col width="18.28515625" customWidth="1" style="175" min="4" max="4"/>
    <col width="18.85546875" customWidth="1" style="175" min="5" max="5"/>
    <col width="9.140625" customWidth="1" style="175" min="6" max="6"/>
    <col width="12.85546875" customWidth="1" style="175" min="7" max="7"/>
    <col width="9.140625" customWidth="1" style="175" min="8" max="11"/>
    <col width="13.5703125" customWidth="1" style="175" min="12" max="12"/>
    <col width="9.140625" customWidth="1" style="175" min="13" max="13"/>
  </cols>
  <sheetData>
    <row r="1">
      <c r="B1" s="163" t="n"/>
      <c r="C1" s="163" t="n"/>
      <c r="D1" s="163" t="n"/>
      <c r="E1" s="163" t="n"/>
    </row>
    <row r="2">
      <c r="B2" s="163" t="n"/>
      <c r="C2" s="163" t="n"/>
      <c r="D2" s="163" t="n"/>
      <c r="E2" s="230" t="inlineStr">
        <is>
          <t>Приложение № 4</t>
        </is>
      </c>
    </row>
    <row r="3">
      <c r="B3" s="163" t="n"/>
      <c r="C3" s="163" t="n"/>
      <c r="D3" s="163" t="n"/>
      <c r="E3" s="163" t="n"/>
    </row>
    <row r="4">
      <c r="B4" s="163" t="n"/>
      <c r="C4" s="163" t="n"/>
      <c r="D4" s="163" t="n"/>
      <c r="E4" s="163" t="n"/>
    </row>
    <row r="5">
      <c r="B5" s="203" t="inlineStr">
        <is>
          <t>Ресурсная модель</t>
        </is>
      </c>
    </row>
    <row r="6">
      <c r="B6" s="12" t="n"/>
      <c r="C6" s="163" t="n"/>
      <c r="D6" s="163" t="n"/>
      <c r="E6" s="163" t="n"/>
    </row>
    <row r="7" ht="25.5" customHeight="1" s="175">
      <c r="B7" s="204" t="inlineStr">
        <is>
          <t>Наименование разрабатываемого показателя УНЦ — Устройство порталов и ошиновки ОРУ 110 кВ</t>
        </is>
      </c>
    </row>
    <row r="8">
      <c r="B8" s="205" t="inlineStr">
        <is>
          <t>Единица измерения  — 1 ед</t>
        </is>
      </c>
    </row>
    <row r="9">
      <c r="B9" s="12" t="n"/>
      <c r="C9" s="163" t="n"/>
      <c r="D9" s="163" t="n"/>
      <c r="E9" s="163" t="n"/>
    </row>
    <row r="10" ht="51" customHeight="1" s="175">
      <c r="B10" s="208" t="inlineStr">
        <is>
          <t>Наименование</t>
        </is>
      </c>
      <c r="C10" s="208" t="inlineStr">
        <is>
          <t>Сметная стоимость в ценах на 01.01.2023
 (руб.)</t>
        </is>
      </c>
      <c r="D10" s="208" t="inlineStr">
        <is>
          <t>Удельный вес, 
(в СМР)</t>
        </is>
      </c>
      <c r="E10" s="208" t="inlineStr">
        <is>
          <t>Удельный вес, % 
(от всего по РМ)</t>
        </is>
      </c>
    </row>
    <row r="11">
      <c r="B11" s="113" t="inlineStr">
        <is>
          <t>Оплата труда рабочих</t>
        </is>
      </c>
      <c r="C11" s="165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113" t="inlineStr">
        <is>
          <t>Эксплуатация машин основных</t>
        </is>
      </c>
      <c r="C12" s="165">
        <f>'Прил.5 Расчет СМР и ОБ'!J25</f>
        <v/>
      </c>
      <c r="D12" s="47">
        <f>C12/$C$24</f>
        <v/>
      </c>
      <c r="E12" s="47">
        <f>C12/$C$40</f>
        <v/>
      </c>
    </row>
    <row r="13">
      <c r="B13" s="113" t="inlineStr">
        <is>
          <t>Эксплуатация машин прочих</t>
        </is>
      </c>
      <c r="C13" s="165">
        <f>'Прил.5 Расчет СМР и ОБ'!J38</f>
        <v/>
      </c>
      <c r="D13" s="47">
        <f>C13/$C$24</f>
        <v/>
      </c>
      <c r="E13" s="47">
        <f>C13/$C$40</f>
        <v/>
      </c>
    </row>
    <row r="14">
      <c r="B14" s="113" t="inlineStr">
        <is>
          <t>ЭКСПЛУАТАЦИЯ МАШИН, ВСЕГО:</t>
        </is>
      </c>
      <c r="C14" s="165">
        <f>C13+C12</f>
        <v/>
      </c>
      <c r="D14" s="47">
        <f>C14/$C$24</f>
        <v/>
      </c>
      <c r="E14" s="47">
        <f>C14/$C$40</f>
        <v/>
      </c>
    </row>
    <row r="15">
      <c r="B15" s="113" t="inlineStr">
        <is>
          <t>в том числе зарплата машинистов</t>
        </is>
      </c>
      <c r="C15" s="165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113" t="inlineStr">
        <is>
          <t>Материалы основные</t>
        </is>
      </c>
      <c r="C16" s="165">
        <f>'Прил.5 Расчет СМР и ОБ'!J52</f>
        <v/>
      </c>
      <c r="D16" s="47">
        <f>C16/$C$24</f>
        <v/>
      </c>
      <c r="E16" s="47">
        <f>C16/$C$40</f>
        <v/>
      </c>
    </row>
    <row r="17">
      <c r="B17" s="113" t="inlineStr">
        <is>
          <t>Материалы прочие</t>
        </is>
      </c>
      <c r="C17" s="165">
        <f>'Прил.5 Расчет СМР и ОБ'!J74</f>
        <v/>
      </c>
      <c r="D17" s="47">
        <f>C17/$C$24</f>
        <v/>
      </c>
      <c r="E17" s="47">
        <f>C17/$C$40</f>
        <v/>
      </c>
      <c r="G17" s="238" t="n"/>
    </row>
    <row r="18">
      <c r="B18" s="113" t="inlineStr">
        <is>
          <t>МАТЕРИАЛЫ, ВСЕГО:</t>
        </is>
      </c>
      <c r="C18" s="165">
        <f>C17+C16</f>
        <v/>
      </c>
      <c r="D18" s="47">
        <f>C18/$C$24</f>
        <v/>
      </c>
      <c r="E18" s="47">
        <f>C18/$C$40</f>
        <v/>
      </c>
    </row>
    <row r="19">
      <c r="B19" s="113" t="inlineStr">
        <is>
          <t>ИТОГО</t>
        </is>
      </c>
      <c r="C19" s="165">
        <f>C18+C14+C11</f>
        <v/>
      </c>
      <c r="D19" s="47" t="n"/>
      <c r="E19" s="113" t="n"/>
    </row>
    <row r="20">
      <c r="B20" s="113" t="inlineStr">
        <is>
          <t>Сметная прибыль, руб.</t>
        </is>
      </c>
      <c r="C20" s="165">
        <f>ROUND(C21*(C11+C15),2)</f>
        <v/>
      </c>
      <c r="D20" s="47">
        <f>C20/$C$24</f>
        <v/>
      </c>
      <c r="E20" s="47">
        <f>C20/$C$40</f>
        <v/>
      </c>
    </row>
    <row r="21">
      <c r="B21" s="113" t="inlineStr">
        <is>
          <t>Сметная прибыль, %</t>
        </is>
      </c>
      <c r="C21" s="48">
        <f>'Прил.5 Расчет СМР и ОБ'!D78</f>
        <v/>
      </c>
      <c r="D21" s="47" t="n"/>
      <c r="E21" s="113" t="n"/>
    </row>
    <row r="22">
      <c r="B22" s="113" t="inlineStr">
        <is>
          <t>Накладные расходы, руб.</t>
        </is>
      </c>
      <c r="C22" s="165">
        <f>ROUND(C23*(C11+C15),2)</f>
        <v/>
      </c>
      <c r="D22" s="47">
        <f>C22/$C$24</f>
        <v/>
      </c>
      <c r="E22" s="47">
        <f>C22/$C$40</f>
        <v/>
      </c>
    </row>
    <row r="23">
      <c r="B23" s="113" t="inlineStr">
        <is>
          <t>Накладные расходы, %</t>
        </is>
      </c>
      <c r="C23" s="48">
        <f>'Прил.5 Расчет СМР и ОБ'!D77</f>
        <v/>
      </c>
      <c r="D23" s="47" t="n"/>
      <c r="E23" s="113" t="n"/>
    </row>
    <row r="24">
      <c r="B24" s="113" t="inlineStr">
        <is>
          <t>ВСЕГО СМР с НР и СП</t>
        </is>
      </c>
      <c r="C24" s="165">
        <f>C19+C20+C22</f>
        <v/>
      </c>
      <c r="D24" s="47">
        <f>C24/$C$24</f>
        <v/>
      </c>
      <c r="E24" s="47">
        <f>C24/$C$40</f>
        <v/>
      </c>
    </row>
    <row r="25" ht="25.5" customHeight="1" s="175">
      <c r="B25" s="113" t="inlineStr">
        <is>
          <t>ВСЕГО стоимость оборудования, в том числе</t>
        </is>
      </c>
      <c r="C25" s="165">
        <f>'Прил.5 Расчет СМР и ОБ'!J44</f>
        <v/>
      </c>
      <c r="D25" s="47" t="n"/>
      <c r="E25" s="47">
        <f>C25/$C$40</f>
        <v/>
      </c>
    </row>
    <row r="26" ht="25.5" customHeight="1" s="175">
      <c r="B26" s="113" t="inlineStr">
        <is>
          <t>стоимость оборудования технологического</t>
        </is>
      </c>
      <c r="C26" s="165">
        <f>C25</f>
        <v/>
      </c>
      <c r="D26" s="47" t="n"/>
      <c r="E26" s="47">
        <f>C26/$C$40</f>
        <v/>
      </c>
    </row>
    <row r="27">
      <c r="B27" s="113" t="inlineStr">
        <is>
          <t>ИТОГО (СМР + ОБОРУДОВАНИЕ)</t>
        </is>
      </c>
      <c r="C27" s="49">
        <f>C24+C25</f>
        <v/>
      </c>
      <c r="D27" s="47" t="n"/>
      <c r="E27" s="47">
        <f>C27/$C$40</f>
        <v/>
      </c>
    </row>
    <row r="28" ht="33" customHeight="1" s="175">
      <c r="B28" s="113" t="inlineStr">
        <is>
          <t>ПРОЧ. ЗАТР., УЧТЕННЫЕ ПОКАЗАТЕЛЕМ,  в том числе</t>
        </is>
      </c>
      <c r="C28" s="113" t="n"/>
      <c r="D28" s="113" t="n"/>
      <c r="E28" s="113" t="n"/>
    </row>
    <row r="29" ht="25.5" customHeight="1" s="175">
      <c r="B29" s="113" t="inlineStr">
        <is>
          <t>Временные здания и сооружения - 3,9%</t>
        </is>
      </c>
      <c r="C29" s="49">
        <f>ROUND(C24*3.9%,2)</f>
        <v/>
      </c>
      <c r="D29" s="113" t="n"/>
      <c r="E29" s="47">
        <f>C29/$C$40</f>
        <v/>
      </c>
    </row>
    <row r="30" ht="38.25" customHeight="1" s="175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49">
        <f>ROUND((C24+C29)*2.1%,2)</f>
        <v/>
      </c>
      <c r="D30" s="113" t="n"/>
      <c r="E30" s="47">
        <f>C30/$C$40</f>
        <v/>
      </c>
    </row>
    <row r="31">
      <c r="B31" s="113" t="inlineStr">
        <is>
          <t>Пусконаладочные работы</t>
        </is>
      </c>
      <c r="C31" s="49" t="n">
        <v>0</v>
      </c>
      <c r="D31" s="113" t="n"/>
      <c r="E31" s="47">
        <f>C31/$C$40</f>
        <v/>
      </c>
    </row>
    <row r="32" ht="25.5" customHeight="1" s="175">
      <c r="B32" s="113" t="inlineStr">
        <is>
          <t>Затраты по перевозке работников к месту работы и обратно</t>
        </is>
      </c>
      <c r="C32" s="49" t="n">
        <v>0</v>
      </c>
      <c r="D32" s="113" t="n"/>
      <c r="E32" s="47">
        <f>C32/$C$40</f>
        <v/>
      </c>
    </row>
    <row r="33" ht="25.5" customHeight="1" s="175">
      <c r="B33" s="113" t="inlineStr">
        <is>
          <t>Затраты, связанные с осуществлением работ вахтовым методом</t>
        </is>
      </c>
      <c r="C33" s="49">
        <f>ROUND(C27*0%,2)</f>
        <v/>
      </c>
      <c r="D33" s="113" t="n"/>
      <c r="E33" s="47">
        <f>C33/$C$40</f>
        <v/>
      </c>
    </row>
    <row r="34" ht="51" customHeight="1" s="175">
      <c r="B34" s="1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9" t="n">
        <v>0</v>
      </c>
      <c r="D34" s="113" t="n"/>
      <c r="E34" s="47">
        <f>C34/$C$40</f>
        <v/>
      </c>
    </row>
    <row r="35" ht="76.5" customHeight="1" s="175">
      <c r="B35" s="11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9" t="n">
        <v>0</v>
      </c>
      <c r="D35" s="113" t="n"/>
      <c r="E35" s="47">
        <f>C35/$C$40</f>
        <v/>
      </c>
    </row>
    <row r="36" ht="25.5" customHeight="1" s="175">
      <c r="B36" s="113" t="inlineStr">
        <is>
          <t>Строительный контроль и содержание службы заказчика - 2,14%</t>
        </is>
      </c>
      <c r="C36" s="49">
        <f>ROUND((C27+C32+C33+C34+C35+C29+C31+C30)*2.14%,2)</f>
        <v/>
      </c>
      <c r="D36" s="113" t="n"/>
      <c r="E36" s="47">
        <f>C36/$C$40</f>
        <v/>
      </c>
      <c r="G36" s="156" t="n"/>
      <c r="L36" s="13" t="n"/>
    </row>
    <row r="37">
      <c r="B37" s="113" t="inlineStr">
        <is>
          <t>Авторский надзор - 0,2%</t>
        </is>
      </c>
      <c r="C37" s="49">
        <f>ROUND((C27+C32+C33+C34+C35+C29+C31+C30)*0.2%,2)</f>
        <v/>
      </c>
      <c r="D37" s="113" t="n"/>
      <c r="E37" s="47">
        <f>C37/$C$40</f>
        <v/>
      </c>
      <c r="G37" s="156" t="n"/>
      <c r="L37" s="13" t="n"/>
    </row>
    <row r="38" ht="38.25" customHeight="1" s="175">
      <c r="B38" s="113" t="inlineStr">
        <is>
          <t>ИТОГО (СМР+ОБОРУДОВАНИЕ+ПРОЧ. ЗАТР., УЧТЕННЫЕ ПОКАЗАТЕЛЕМ)</t>
        </is>
      </c>
      <c r="C38" s="165">
        <f>C27+C32+C33+C34+C35+C29+C31+C30+C36+C37</f>
        <v/>
      </c>
      <c r="D38" s="113" t="n"/>
      <c r="E38" s="47">
        <f>C38/$C$40</f>
        <v/>
      </c>
    </row>
    <row r="39" ht="13.5" customHeight="1" s="175">
      <c r="B39" s="113" t="inlineStr">
        <is>
          <t>Непредвиденные расходы</t>
        </is>
      </c>
      <c r="C39" s="165">
        <f>ROUND(C38*3%,2)</f>
        <v/>
      </c>
      <c r="D39" s="113" t="n"/>
      <c r="E39" s="47">
        <f>C39/$C$38</f>
        <v/>
      </c>
    </row>
    <row r="40">
      <c r="B40" s="113" t="inlineStr">
        <is>
          <t>ВСЕГО:</t>
        </is>
      </c>
      <c r="C40" s="165">
        <f>C39+C38</f>
        <v/>
      </c>
      <c r="D40" s="113" t="n"/>
      <c r="E40" s="47">
        <f>C40/$C$40</f>
        <v/>
      </c>
    </row>
    <row r="41">
      <c r="B41" s="113" t="inlineStr">
        <is>
          <t>ИТОГО ПОКАЗАТЕЛЬ НА ЕД. ИЗМ.</t>
        </is>
      </c>
      <c r="C41" s="165">
        <f>C40/'Прил.5 Расчет СМР и ОБ'!E81</f>
        <v/>
      </c>
      <c r="D41" s="113" t="n"/>
      <c r="E41" s="113" t="n"/>
    </row>
    <row r="42">
      <c r="B42" s="167" t="n"/>
      <c r="C42" s="163" t="n"/>
      <c r="D42" s="163" t="n"/>
      <c r="E42" s="163" t="n"/>
    </row>
    <row r="43">
      <c r="B43" s="167" t="inlineStr">
        <is>
          <t>Составил ____________________________ Р.Р. Шагеева</t>
        </is>
      </c>
      <c r="C43" s="163" t="n"/>
      <c r="D43" s="163" t="n"/>
      <c r="E43" s="163" t="n"/>
    </row>
    <row r="44">
      <c r="B44" s="167" t="inlineStr">
        <is>
          <t xml:space="preserve">(должность, подпись, инициалы, фамилия) </t>
        </is>
      </c>
      <c r="C44" s="163" t="n"/>
      <c r="D44" s="163" t="n"/>
      <c r="E44" s="163" t="n"/>
    </row>
    <row r="45">
      <c r="B45" s="167" t="n"/>
      <c r="C45" s="163" t="n"/>
      <c r="D45" s="163" t="n"/>
      <c r="E45" s="163" t="n"/>
    </row>
    <row r="46">
      <c r="B46" s="167" t="inlineStr">
        <is>
          <t>Проверил ____________________________ А.В. Костянецкая</t>
        </is>
      </c>
      <c r="C46" s="163" t="n"/>
      <c r="D46" s="163" t="n"/>
      <c r="E46" s="163" t="n"/>
    </row>
    <row r="47">
      <c r="B47" s="205" t="inlineStr">
        <is>
          <t>(должность, подпись, инициалы, фамилия)</t>
        </is>
      </c>
      <c r="D47" s="163" t="n"/>
      <c r="E47" s="163" t="n"/>
    </row>
    <row r="49">
      <c r="B49" s="163" t="n"/>
      <c r="C49" s="163" t="n"/>
      <c r="D49" s="163" t="n"/>
      <c r="E49" s="163" t="n"/>
    </row>
    <row r="50">
      <c r="B50" s="163" t="n"/>
      <c r="C50" s="163" t="n"/>
      <c r="D50" s="163" t="n"/>
      <c r="E50" s="16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7"/>
  <sheetViews>
    <sheetView view="pageBreakPreview" topLeftCell="A44" workbookViewId="0">
      <selection activeCell="B84" sqref="B84"/>
    </sheetView>
  </sheetViews>
  <sheetFormatPr baseColWidth="8" defaultColWidth="9.140625" defaultRowHeight="15" outlineLevelRow="1"/>
  <cols>
    <col width="5.7109375" customWidth="1" style="173" min="1" max="1"/>
    <col width="22.5703125" customWidth="1" style="173" min="2" max="2"/>
    <col width="39.140625" customWidth="1" style="173" min="3" max="3"/>
    <col width="10.7109375" customWidth="1" style="173" min="4" max="4"/>
    <col width="12.7109375" customWidth="1" style="173" min="5" max="5"/>
    <col width="14.5703125" customWidth="1" style="173" min="6" max="6"/>
    <col width="13.42578125" customWidth="1" style="173" min="7" max="7"/>
    <col width="12.7109375" customWidth="1" style="173" min="8" max="8"/>
    <col width="13.85546875" customWidth="1" style="173" min="9" max="9"/>
    <col width="17.5703125" customWidth="1" style="173" min="10" max="10"/>
    <col width="24.7109375" customWidth="1" style="173" min="11" max="11"/>
    <col width="9.140625" customWidth="1" style="173" min="12" max="12"/>
    <col width="9.140625" customWidth="1" style="175" min="13" max="13"/>
  </cols>
  <sheetData>
    <row r="1" s="175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3" t="n"/>
      <c r="L1" s="173" t="n"/>
      <c r="M1" s="173" t="n"/>
      <c r="N1" s="173" t="n"/>
    </row>
    <row r="2" ht="15.75" customHeight="1" s="175">
      <c r="A2" s="173" t="n"/>
      <c r="B2" s="173" t="n"/>
      <c r="C2" s="173" t="n"/>
      <c r="D2" s="173" t="n"/>
      <c r="E2" s="173" t="n"/>
      <c r="F2" s="173" t="n"/>
      <c r="G2" s="173" t="n"/>
      <c r="H2" s="212" t="inlineStr">
        <is>
          <t>Приложение №5</t>
        </is>
      </c>
      <c r="K2" s="173" t="n"/>
      <c r="L2" s="173" t="n"/>
      <c r="M2" s="173" t="n"/>
      <c r="N2" s="173" t="n"/>
    </row>
    <row r="3" s="175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</row>
    <row r="4" ht="12.75" customFormat="1" customHeight="1" s="163">
      <c r="A4" s="203" t="inlineStr">
        <is>
          <t>Расчет стоимости СМР и оборудования</t>
        </is>
      </c>
    </row>
    <row r="5" ht="12.75" customFormat="1" customHeight="1" s="163">
      <c r="A5" s="203" t="n"/>
      <c r="B5" s="203" t="n"/>
      <c r="C5" s="54" t="n"/>
      <c r="D5" s="203" t="n"/>
      <c r="E5" s="203" t="n"/>
      <c r="F5" s="203" t="n"/>
      <c r="G5" s="203" t="n"/>
      <c r="H5" s="203" t="n"/>
      <c r="I5" s="203" t="n"/>
      <c r="J5" s="203" t="n"/>
    </row>
    <row r="6" ht="12.75" customFormat="1" customHeight="1" s="163">
      <c r="A6" s="55" t="inlineStr">
        <is>
          <t>Наименование разрабатываемого показателя УНЦ</t>
        </is>
      </c>
      <c r="B6" s="56" t="n"/>
      <c r="C6" s="56" t="n"/>
      <c r="D6" s="213" t="inlineStr">
        <is>
          <t>Устройство порталов и ошиновки ОРУ 110 кВ</t>
        </is>
      </c>
    </row>
    <row r="7" ht="12.75" customFormat="1" customHeight="1" s="163">
      <c r="A7" s="213" t="inlineStr">
        <is>
          <t>Единица измерения  — 1 ед</t>
        </is>
      </c>
      <c r="I7" s="204" t="n"/>
      <c r="J7" s="204" t="n"/>
    </row>
    <row r="8" ht="13.5" customFormat="1" customHeight="1" s="163">
      <c r="A8" s="213" t="n"/>
    </row>
    <row r="9" ht="27" customHeight="1" s="175">
      <c r="A9" s="208" t="inlineStr">
        <is>
          <t>№ пп.</t>
        </is>
      </c>
      <c r="B9" s="208" t="inlineStr">
        <is>
          <t>Код ресурса</t>
        </is>
      </c>
      <c r="C9" s="208" t="inlineStr">
        <is>
          <t>Наименование</t>
        </is>
      </c>
      <c r="D9" s="208" t="inlineStr">
        <is>
          <t>Ед. изм.</t>
        </is>
      </c>
      <c r="E9" s="208" t="inlineStr">
        <is>
          <t>Кол-во единиц по проектным данным</t>
        </is>
      </c>
      <c r="F9" s="208" t="inlineStr">
        <is>
          <t>Сметная стоимость в ценах на 01.01.2000 (руб.)</t>
        </is>
      </c>
      <c r="G9" s="235" t="n"/>
      <c r="H9" s="208" t="inlineStr">
        <is>
          <t>Удельный вес, %</t>
        </is>
      </c>
      <c r="I9" s="208" t="inlineStr">
        <is>
          <t>Сметная стоимость в ценах на 01.01.2023 (руб.)</t>
        </is>
      </c>
      <c r="J9" s="235" t="n"/>
      <c r="K9" s="173" t="n"/>
      <c r="L9" s="173" t="n"/>
      <c r="M9" s="173" t="n"/>
      <c r="N9" s="173" t="n"/>
    </row>
    <row r="10" ht="28.5" customHeight="1" s="175">
      <c r="A10" s="237" t="n"/>
      <c r="B10" s="237" t="n"/>
      <c r="C10" s="237" t="n"/>
      <c r="D10" s="237" t="n"/>
      <c r="E10" s="237" t="n"/>
      <c r="F10" s="208" t="inlineStr">
        <is>
          <t>на ед. изм.</t>
        </is>
      </c>
      <c r="G10" s="208" t="inlineStr">
        <is>
          <t>общая</t>
        </is>
      </c>
      <c r="H10" s="237" t="n"/>
      <c r="I10" s="208" t="inlineStr">
        <is>
          <t>на ед. изм.</t>
        </is>
      </c>
      <c r="J10" s="208" t="inlineStr">
        <is>
          <t>общая</t>
        </is>
      </c>
      <c r="K10" s="173" t="n"/>
      <c r="L10" s="173" t="n"/>
      <c r="M10" s="173" t="n"/>
      <c r="N10" s="173" t="n"/>
    </row>
    <row r="11" s="175">
      <c r="A11" s="208" t="n">
        <v>1</v>
      </c>
      <c r="B11" s="208" t="n">
        <v>2</v>
      </c>
      <c r="C11" s="208" t="n">
        <v>3</v>
      </c>
      <c r="D11" s="208" t="n">
        <v>4</v>
      </c>
      <c r="E11" s="208" t="n">
        <v>5</v>
      </c>
      <c r="F11" s="208" t="n">
        <v>6</v>
      </c>
      <c r="G11" s="208" t="n">
        <v>7</v>
      </c>
      <c r="H11" s="208" t="n">
        <v>8</v>
      </c>
      <c r="I11" s="214" t="n">
        <v>9</v>
      </c>
      <c r="J11" s="214" t="n">
        <v>10</v>
      </c>
      <c r="K11" s="173" t="n"/>
      <c r="L11" s="173" t="n"/>
      <c r="M11" s="173" t="n"/>
      <c r="N11" s="173" t="n"/>
    </row>
    <row r="12">
      <c r="A12" s="208" t="n"/>
      <c r="B12" s="206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90" t="n"/>
      <c r="J12" s="90" t="n"/>
    </row>
    <row r="13" ht="25.5" customHeight="1" s="175">
      <c r="A13" s="208" t="n">
        <v>1</v>
      </c>
      <c r="B13" s="76" t="inlineStr">
        <is>
          <t>1-3-5</t>
        </is>
      </c>
      <c r="C13" s="207" t="inlineStr">
        <is>
          <t>Затраты труда рабочих-строителей среднего разряда (3,5)</t>
        </is>
      </c>
      <c r="D13" s="208" t="inlineStr">
        <is>
          <t>чел.-ч.</t>
        </is>
      </c>
      <c r="E13" s="239">
        <f>G13/F13</f>
        <v/>
      </c>
      <c r="F13" s="138" t="n">
        <v>9.07</v>
      </c>
      <c r="G13" s="138" t="n">
        <v>11927.01</v>
      </c>
      <c r="H13" s="84">
        <f>G13/G14</f>
        <v/>
      </c>
      <c r="I13" s="138">
        <f>ФОТр.тек.!E13</f>
        <v/>
      </c>
      <c r="J13" s="138">
        <f>ROUND(I13*E13,2)</f>
        <v/>
      </c>
    </row>
    <row r="14" ht="25.5" customFormat="1" customHeight="1" s="173">
      <c r="A14" s="208" t="n"/>
      <c r="B14" s="208" t="n"/>
      <c r="C14" s="206" t="inlineStr">
        <is>
          <t>Итого по разделу "Затраты труда рабочих-строителей"</t>
        </is>
      </c>
      <c r="D14" s="208" t="inlineStr">
        <is>
          <t>чел.-ч.</t>
        </is>
      </c>
      <c r="E14" s="239">
        <f>SUM(E13:E13)</f>
        <v/>
      </c>
      <c r="F14" s="138" t="n"/>
      <c r="G14" s="138">
        <f>SUM(G13:G13)</f>
        <v/>
      </c>
      <c r="H14" s="211" t="n">
        <v>1</v>
      </c>
      <c r="I14" s="90" t="n"/>
      <c r="J14" s="138">
        <f>SUM(J13:J13)</f>
        <v/>
      </c>
    </row>
    <row r="15" ht="14.25" customFormat="1" customHeight="1" s="173">
      <c r="A15" s="208" t="n"/>
      <c r="B15" s="207" t="inlineStr">
        <is>
          <t>Затраты труда машинистов</t>
        </is>
      </c>
      <c r="C15" s="234" t="n"/>
      <c r="D15" s="234" t="n"/>
      <c r="E15" s="234" t="n"/>
      <c r="F15" s="234" t="n"/>
      <c r="G15" s="234" t="n"/>
      <c r="H15" s="235" t="n"/>
      <c r="I15" s="90" t="n"/>
      <c r="J15" s="90" t="n"/>
    </row>
    <row r="16" ht="14.25" customFormat="1" customHeight="1" s="173">
      <c r="A16" s="208" t="n">
        <v>2</v>
      </c>
      <c r="B16" s="208" t="n">
        <v>2</v>
      </c>
      <c r="C16" s="207" t="inlineStr">
        <is>
          <t>Затраты труда машинистов</t>
        </is>
      </c>
      <c r="D16" s="208" t="inlineStr">
        <is>
          <t>чел.-ч.</t>
        </is>
      </c>
      <c r="E16" s="239" t="n">
        <v>262.046616</v>
      </c>
      <c r="F16" s="138">
        <f>G16/E16</f>
        <v/>
      </c>
      <c r="G16" s="138" t="n">
        <v>3737.28</v>
      </c>
      <c r="H16" s="211" t="n">
        <v>1</v>
      </c>
      <c r="I16" s="138">
        <f>ROUND(F16*'Прил. 10'!D11,2)</f>
        <v/>
      </c>
      <c r="J16" s="138">
        <f>ROUND(I16*E16,2)</f>
        <v/>
      </c>
    </row>
    <row r="17" ht="14.25" customFormat="1" customHeight="1" s="173">
      <c r="A17" s="208" t="n"/>
      <c r="B17" s="206" t="inlineStr">
        <is>
          <t>Машины и механизмы</t>
        </is>
      </c>
      <c r="C17" s="234" t="n"/>
      <c r="D17" s="234" t="n"/>
      <c r="E17" s="234" t="n"/>
      <c r="F17" s="234" t="n"/>
      <c r="G17" s="234" t="n"/>
      <c r="H17" s="235" t="n"/>
      <c r="I17" s="90" t="n"/>
      <c r="J17" s="90" t="n"/>
    </row>
    <row r="18" ht="14.25" customFormat="1" customHeight="1" s="173">
      <c r="A18" s="208" t="n"/>
      <c r="B18" s="207" t="inlineStr">
        <is>
          <t>Основные машины и механизмы</t>
        </is>
      </c>
      <c r="C18" s="234" t="n"/>
      <c r="D18" s="234" t="n"/>
      <c r="E18" s="234" t="n"/>
      <c r="F18" s="234" t="n"/>
      <c r="G18" s="234" t="n"/>
      <c r="H18" s="235" t="n"/>
      <c r="I18" s="90" t="n"/>
      <c r="J18" s="90" t="n"/>
    </row>
    <row r="19" ht="25.5" customFormat="1" customHeight="1" s="173">
      <c r="A19" s="208" t="n">
        <v>3</v>
      </c>
      <c r="B19" s="127" t="inlineStr">
        <is>
          <t>91.05.05-015</t>
        </is>
      </c>
      <c r="C19" s="130" t="inlineStr">
        <is>
          <t>Краны на автомобильном ходу, грузоподъемность 16 т</t>
        </is>
      </c>
      <c r="D19" s="208" t="inlineStr">
        <is>
          <t>маш.час</t>
        </is>
      </c>
      <c r="E19" s="231" t="n">
        <v>82.135716</v>
      </c>
      <c r="F19" s="138" t="n">
        <v>115.4</v>
      </c>
      <c r="G19" s="138">
        <f>ROUND(E19*F19,2)</f>
        <v/>
      </c>
      <c r="H19" s="84">
        <f>G19/$G$39</f>
        <v/>
      </c>
      <c r="I19" s="138">
        <f>ROUND(F19*'Прил. 10'!$D$12,2)</f>
        <v/>
      </c>
      <c r="J19" s="138">
        <f>ROUND(I19*E19,2)</f>
        <v/>
      </c>
    </row>
    <row r="20" ht="25.5" customFormat="1" customHeight="1" s="173">
      <c r="A20" s="208" t="n">
        <v>4</v>
      </c>
      <c r="B20" s="127" t="inlineStr">
        <is>
          <t>91.01.05-086</t>
        </is>
      </c>
      <c r="C20" s="130" t="inlineStr">
        <is>
          <t>Экскаваторы одноковшовые дизельные на гусеничном ходу, емкость ковша 0,65 м3</t>
        </is>
      </c>
      <c r="D20" s="208" t="inlineStr">
        <is>
          <t>маш.час</t>
        </is>
      </c>
      <c r="E20" s="231" t="n">
        <v>55.64124</v>
      </c>
      <c r="F20" s="138" t="n">
        <v>115.27</v>
      </c>
      <c r="G20" s="138">
        <f>ROUND(E20*F20,2)</f>
        <v/>
      </c>
      <c r="H20" s="84">
        <f>G20/$G$39</f>
        <v/>
      </c>
      <c r="I20" s="138">
        <f>ROUND(F20*'Прил. 10'!D12,2)</f>
        <v/>
      </c>
      <c r="J20" s="138">
        <f>ROUND(I20*E20,2)</f>
        <v/>
      </c>
    </row>
    <row r="21" ht="51" customFormat="1" customHeight="1" s="173">
      <c r="A21" s="208" t="n">
        <v>5</v>
      </c>
      <c r="B21" s="127" t="inlineStr">
        <is>
          <t>91.18.01-007</t>
        </is>
      </c>
      <c r="C21" s="13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08" t="inlineStr">
        <is>
          <t>маш.час</t>
        </is>
      </c>
      <c r="E21" s="231" t="n">
        <v>57.486832</v>
      </c>
      <c r="F21" s="138" t="n">
        <v>90</v>
      </c>
      <c r="G21" s="138">
        <f>ROUND(E21*F21,2)</f>
        <v/>
      </c>
      <c r="H21" s="84">
        <f>G21/$G$39</f>
        <v/>
      </c>
      <c r="I21" s="138">
        <f>ROUND(F21*'Прил. 10'!D13,2)</f>
        <v/>
      </c>
      <c r="J21" s="138">
        <f>ROUND(I21*E21,2)</f>
        <v/>
      </c>
    </row>
    <row r="22" ht="25.5" customFormat="1" customHeight="1" s="173">
      <c r="A22" s="208" t="n">
        <v>6</v>
      </c>
      <c r="B22" s="127" t="inlineStr">
        <is>
          <t>91.14.03-002</t>
        </is>
      </c>
      <c r="C22" s="130" t="inlineStr">
        <is>
          <t>Автомобили-самосвалы, грузоподъемность до 10 т</t>
        </is>
      </c>
      <c r="D22" s="208" t="inlineStr">
        <is>
          <t>маш.-ч</t>
        </is>
      </c>
      <c r="E22" s="231" t="n">
        <v>33.06</v>
      </c>
      <c r="F22" s="138" t="n">
        <v>87.48999999999999</v>
      </c>
      <c r="G22" s="138">
        <f>ROUND(E22*F22,2)</f>
        <v/>
      </c>
      <c r="H22" s="84">
        <f>G22/$G$39</f>
        <v/>
      </c>
      <c r="I22" s="138">
        <f>ROUND(F22*'Прил. 10'!D14,2)</f>
        <v/>
      </c>
      <c r="J22" s="138">
        <f>ROUND(I22*E22,2)</f>
        <v/>
      </c>
    </row>
    <row r="23" ht="25.5" customFormat="1" customHeight="1" s="173">
      <c r="A23" s="208" t="n">
        <v>7</v>
      </c>
      <c r="B23" s="231" t="inlineStr">
        <is>
          <t>91.06.06-014</t>
        </is>
      </c>
      <c r="C23" s="130" t="inlineStr">
        <is>
          <t>Автогидроподъемники, высота подъема 28 м</t>
        </is>
      </c>
      <c r="D23" s="208" t="inlineStr">
        <is>
          <t>маш.час</t>
        </is>
      </c>
      <c r="E23" s="231" t="n">
        <v>11.64156</v>
      </c>
      <c r="F23" s="138" t="n">
        <v>243.49</v>
      </c>
      <c r="G23" s="138">
        <f>ROUND(E23*F23,2)</f>
        <v/>
      </c>
      <c r="H23" s="84">
        <f>G23/$G$39</f>
        <v/>
      </c>
      <c r="I23" s="138">
        <f>ROUND(F23*'Прил. 10'!D14,2)</f>
        <v/>
      </c>
      <c r="J23" s="138">
        <f>ROUND(I23*E23,2)</f>
        <v/>
      </c>
    </row>
    <row r="24" ht="14.25" customFormat="1" customHeight="1" s="173">
      <c r="A24" s="208" t="n">
        <v>8</v>
      </c>
      <c r="B24" s="127" t="inlineStr">
        <is>
          <t>91.13.01-038</t>
        </is>
      </c>
      <c r="C24" s="130" t="inlineStr">
        <is>
          <t>Машины поливомоечные 6000 л</t>
        </is>
      </c>
      <c r="D24" s="208" t="inlineStr">
        <is>
          <t>маш.час</t>
        </is>
      </c>
      <c r="E24" s="231" t="n">
        <v>22.407008</v>
      </c>
      <c r="F24" s="138" t="n">
        <v>110</v>
      </c>
      <c r="G24" s="138">
        <f>ROUND(E24*F24,2)</f>
        <v/>
      </c>
      <c r="H24" s="84">
        <f>G24/$G$39</f>
        <v/>
      </c>
      <c r="I24" s="138">
        <f>ROUND(F24*'Прил. 10'!$D$12,2)</f>
        <v/>
      </c>
      <c r="J24" s="138">
        <f>ROUND(I24*E24,2)</f>
        <v/>
      </c>
    </row>
    <row r="25" ht="14.25" customFormat="1" customHeight="1" s="173">
      <c r="A25" s="208" t="n"/>
      <c r="B25" s="208" t="n"/>
      <c r="C25" s="207" t="inlineStr">
        <is>
          <t>Итого основные машины и механизмы</t>
        </is>
      </c>
      <c r="D25" s="208" t="n"/>
      <c r="E25" s="239" t="n"/>
      <c r="F25" s="138" t="n"/>
      <c r="G25" s="138">
        <f>SUM(G19:G24)</f>
        <v/>
      </c>
      <c r="H25" s="211">
        <f>G25/G39</f>
        <v/>
      </c>
      <c r="I25" s="96" t="n"/>
      <c r="J25" s="138">
        <f>SUM(J19:J24)</f>
        <v/>
      </c>
    </row>
    <row r="26" hidden="1" outlineLevel="1" ht="25.5" customFormat="1" customHeight="1" s="173">
      <c r="A26" s="208" t="n">
        <v>9</v>
      </c>
      <c r="B26" s="127" t="inlineStr">
        <is>
          <t>91.05.06-012</t>
        </is>
      </c>
      <c r="C26" s="130" t="inlineStr">
        <is>
          <t>Краны на гусеничном ходу, грузоподъемность до 16 т</t>
        </is>
      </c>
      <c r="D26" s="208" t="inlineStr">
        <is>
          <t>маш.час</t>
        </is>
      </c>
      <c r="E26" s="231" t="n">
        <v>20.269088</v>
      </c>
      <c r="F26" s="138" t="n">
        <v>96.89</v>
      </c>
      <c r="G26" s="138">
        <f>ROUND(E26*F26,2)</f>
        <v/>
      </c>
      <c r="H26" s="84">
        <f>G26/$G$39</f>
        <v/>
      </c>
      <c r="I26" s="138">
        <f>ROUND(F26*'Прил. 10'!$D$12,2)</f>
        <v/>
      </c>
      <c r="J26" s="138">
        <f>ROUND(I26*E26,2)</f>
        <v/>
      </c>
    </row>
    <row r="27" hidden="1" outlineLevel="1" ht="38.25" customFormat="1" customHeight="1" s="173">
      <c r="A27" s="208" t="n">
        <v>10</v>
      </c>
      <c r="B27" s="127" t="inlineStr">
        <is>
          <t>91.17.04-036</t>
        </is>
      </c>
      <c r="C27" s="130" t="inlineStr">
        <is>
          <t>Агрегаты сварочные передвижные номинальным сварочным током 250-400 А: с дизельным двигателем</t>
        </is>
      </c>
      <c r="D27" s="208" t="inlineStr">
        <is>
          <t>маш.час</t>
        </is>
      </c>
      <c r="E27" s="231" t="n">
        <v>72.37224000000001</v>
      </c>
      <c r="F27" s="138" t="n">
        <v>14</v>
      </c>
      <c r="G27" s="138">
        <f>ROUND(E27*F27,2)</f>
        <v/>
      </c>
      <c r="H27" s="84">
        <f>G27/$G$39</f>
        <v/>
      </c>
      <c r="I27" s="138">
        <f>ROUND(F27*'Прил. 10'!$D$12,2)</f>
        <v/>
      </c>
      <c r="J27" s="138">
        <f>ROUND(I27*E27,2)</f>
        <v/>
      </c>
    </row>
    <row r="28" hidden="1" outlineLevel="1" ht="14.25" customFormat="1" customHeight="1" s="173">
      <c r="A28" s="208" t="n">
        <v>11</v>
      </c>
      <c r="B28" s="127" t="inlineStr">
        <is>
          <t>91.01.01-035</t>
        </is>
      </c>
      <c r="C28" s="130" t="inlineStr">
        <is>
          <t>Бульдозеры, мощность 79 кВт (108 л.с.)</t>
        </is>
      </c>
      <c r="D28" s="208" t="inlineStr">
        <is>
          <t>маш.час</t>
        </is>
      </c>
      <c r="E28" s="231" t="n">
        <v>6.979232</v>
      </c>
      <c r="F28" s="138" t="n">
        <v>79.06999999999999</v>
      </c>
      <c r="G28" s="138">
        <f>ROUND(E28*F28,2)</f>
        <v/>
      </c>
      <c r="H28" s="84">
        <f>G28/$G$39</f>
        <v/>
      </c>
      <c r="I28" s="138">
        <f>ROUND(F28*'Прил. 10'!$D$12,2)</f>
        <v/>
      </c>
      <c r="J28" s="138">
        <f>ROUND(I28*E28,2)</f>
        <v/>
      </c>
    </row>
    <row r="29" hidden="1" outlineLevel="1" ht="14.25" customFormat="1" customHeight="1" s="173">
      <c r="A29" s="208" t="n">
        <v>12</v>
      </c>
      <c r="B29" s="127" t="inlineStr">
        <is>
          <t>91.08.04-021</t>
        </is>
      </c>
      <c r="C29" s="130" t="inlineStr">
        <is>
          <t>Котлы битумные: передвижные 400 л</t>
        </is>
      </c>
      <c r="D29" s="208" t="inlineStr">
        <is>
          <t>маш.час</t>
        </is>
      </c>
      <c r="E29" s="231" t="n">
        <v>8.872999999999999</v>
      </c>
      <c r="F29" s="138" t="n">
        <v>30</v>
      </c>
      <c r="G29" s="138">
        <f>ROUND(E29*F29,2)</f>
        <v/>
      </c>
      <c r="H29" s="84">
        <f>G29/$G$39</f>
        <v/>
      </c>
      <c r="I29" s="138">
        <f>ROUND(F29*'Прил. 10'!$D$12,2)</f>
        <v/>
      </c>
      <c r="J29" s="138">
        <f>ROUND(I29*E29,2)</f>
        <v/>
      </c>
    </row>
    <row r="30" hidden="1" outlineLevel="1" ht="14.25" customFormat="1" customHeight="1" s="173">
      <c r="A30" s="208" t="n">
        <v>13</v>
      </c>
      <c r="B30" s="127" t="inlineStr">
        <is>
          <t>91.05.01-017</t>
        </is>
      </c>
      <c r="C30" s="130" t="inlineStr">
        <is>
          <t>Краны башенные, грузоподъемность 8 т</t>
        </is>
      </c>
      <c r="D30" s="208" t="inlineStr">
        <is>
          <t>маш.час</t>
        </is>
      </c>
      <c r="E30" s="231" t="n">
        <v>2.3326</v>
      </c>
      <c r="F30" s="138" t="n">
        <v>86.41</v>
      </c>
      <c r="G30" s="138">
        <f>ROUND(E30*F30,2)</f>
        <v/>
      </c>
      <c r="H30" s="84">
        <f>G30/$G$39</f>
        <v/>
      </c>
      <c r="I30" s="138">
        <f>ROUND(F30*'Прил. 10'!$D$12,2)</f>
        <v/>
      </c>
      <c r="J30" s="138">
        <f>ROUND(I30*E30,2)</f>
        <v/>
      </c>
    </row>
    <row r="31" hidden="1" outlineLevel="1" ht="25.5" customFormat="1" customHeight="1" s="173">
      <c r="A31" s="208" t="n">
        <v>14</v>
      </c>
      <c r="B31" s="127" t="inlineStr">
        <is>
          <t>91.14.02-001</t>
        </is>
      </c>
      <c r="C31" s="130" t="inlineStr">
        <is>
          <t>Автомобили бортовые, грузоподъемность: до 5 т</t>
        </is>
      </c>
      <c r="D31" s="208" t="inlineStr">
        <is>
          <t>маш.час</t>
        </is>
      </c>
      <c r="E31" s="231" t="n">
        <v>2.49616</v>
      </c>
      <c r="F31" s="138" t="n">
        <v>65.7</v>
      </c>
      <c r="G31" s="138">
        <f>ROUND(E31*F31,2)</f>
        <v/>
      </c>
      <c r="H31" s="84">
        <f>G31/$G$39</f>
        <v/>
      </c>
      <c r="I31" s="138">
        <f>ROUND(F31*'Прил. 10'!$D$12,2)</f>
        <v/>
      </c>
      <c r="J31" s="138">
        <f>ROUND(I31*E31,2)</f>
        <v/>
      </c>
    </row>
    <row r="32" hidden="1" outlineLevel="1" ht="25.5" customFormat="1" customHeight="1" s="173">
      <c r="A32" s="208" t="n">
        <v>15</v>
      </c>
      <c r="B32" s="127" t="inlineStr">
        <is>
          <t>91.08.09-023</t>
        </is>
      </c>
      <c r="C32" s="130" t="inlineStr">
        <is>
          <t>Трамбовки пневматические при работе от: передвижных компрессорных станций</t>
        </is>
      </c>
      <c r="D32" s="208" t="inlineStr">
        <is>
          <t>маш.час</t>
        </is>
      </c>
      <c r="E32" s="231" t="n">
        <v>229.58</v>
      </c>
      <c r="F32" s="138" t="n">
        <v>0.55</v>
      </c>
      <c r="G32" s="138">
        <f>ROUND(E32*F32,2)</f>
        <v/>
      </c>
      <c r="H32" s="84">
        <f>G32/$G$39</f>
        <v/>
      </c>
      <c r="I32" s="138">
        <f>ROUND(F32*'Прил. 10'!$D$12,2)</f>
        <v/>
      </c>
      <c r="J32" s="138">
        <f>ROUND(I32*E32,2)</f>
        <v/>
      </c>
    </row>
    <row r="33" hidden="1" outlineLevel="1" ht="25.5" customFormat="1" customHeight="1" s="173">
      <c r="A33" s="208" t="n">
        <v>16</v>
      </c>
      <c r="B33" s="127" t="inlineStr">
        <is>
          <t>91.14.02-002</t>
        </is>
      </c>
      <c r="C33" s="130" t="inlineStr">
        <is>
          <t>Автомобили бортовые, грузоподъемность: до 8 т</t>
        </is>
      </c>
      <c r="D33" s="208" t="inlineStr">
        <is>
          <t>маш.час</t>
        </is>
      </c>
      <c r="E33" s="231" t="n">
        <v>0.4363</v>
      </c>
      <c r="F33" s="138" t="n">
        <v>85.97</v>
      </c>
      <c r="G33" s="138">
        <f>ROUND(E33*F33,2)</f>
        <v/>
      </c>
      <c r="H33" s="84">
        <f>G33/$G$39</f>
        <v/>
      </c>
      <c r="I33" s="138">
        <f>ROUND(F33*'Прил. 10'!$D$12,2)</f>
        <v/>
      </c>
      <c r="J33" s="138">
        <f>ROUND(I33*E33,2)</f>
        <v/>
      </c>
    </row>
    <row r="34" hidden="1" outlineLevel="1" ht="14.25" customFormat="1" customHeight="1" s="173">
      <c r="A34" s="208" t="n">
        <v>17</v>
      </c>
      <c r="B34" s="127" t="inlineStr">
        <is>
          <t>91.07.04-001</t>
        </is>
      </c>
      <c r="C34" s="130" t="inlineStr">
        <is>
          <t>Вибратор глубинный</t>
        </is>
      </c>
      <c r="D34" s="208" t="inlineStr">
        <is>
          <t>маш.час</t>
        </is>
      </c>
      <c r="E34" s="231" t="n">
        <v>15.0076</v>
      </c>
      <c r="F34" s="138" t="n">
        <v>1.9</v>
      </c>
      <c r="G34" s="138">
        <f>ROUND(E34*F34,2)</f>
        <v/>
      </c>
      <c r="H34" s="84">
        <f>G34/$G$39</f>
        <v/>
      </c>
      <c r="I34" s="138">
        <f>ROUND(F34*'Прил. 10'!$D$12,2)</f>
        <v/>
      </c>
      <c r="J34" s="138">
        <f>ROUND(I34*E34,2)</f>
        <v/>
      </c>
    </row>
    <row r="35" hidden="1" outlineLevel="1" ht="14.25" customFormat="1" customHeight="1" s="173">
      <c r="A35" s="208" t="n">
        <v>18</v>
      </c>
      <c r="B35" s="127" t="inlineStr">
        <is>
          <t>91.06.05-011</t>
        </is>
      </c>
      <c r="C35" s="130" t="inlineStr">
        <is>
          <t>Погрузчик, грузоподъемность 5 т</t>
        </is>
      </c>
      <c r="D35" s="208" t="inlineStr">
        <is>
          <t>маш.час</t>
        </is>
      </c>
      <c r="E35" s="231" t="n">
        <v>0.2207</v>
      </c>
      <c r="F35" s="138" t="n">
        <v>90.01000000000001</v>
      </c>
      <c r="G35" s="138">
        <f>ROUND(E35*F35,2)</f>
        <v/>
      </c>
      <c r="H35" s="84">
        <f>G35/$G$39</f>
        <v/>
      </c>
      <c r="I35" s="138">
        <f>ROUND(F35*'Прил. 10'!$D$12,2)</f>
        <v/>
      </c>
      <c r="J35" s="138">
        <f>ROUND(I35*E35,2)</f>
        <v/>
      </c>
    </row>
    <row r="36" hidden="1" outlineLevel="1" ht="25.5" customFormat="1" customHeight="1" s="173">
      <c r="A36" s="208" t="n">
        <v>19</v>
      </c>
      <c r="B36" s="127" t="inlineStr">
        <is>
          <t>91.17.04-233</t>
        </is>
      </c>
      <c r="C36" s="130" t="inlineStr">
        <is>
          <t>Установки для сварки: ручной дуговой (постоянного тока)</t>
        </is>
      </c>
      <c r="D36" s="208" t="inlineStr">
        <is>
          <t>маш.час</t>
        </is>
      </c>
      <c r="E36" s="231" t="n">
        <v>1.58904</v>
      </c>
      <c r="F36" s="138" t="n">
        <v>8.1</v>
      </c>
      <c r="G36" s="138">
        <f>ROUND(E36*F36,2)</f>
        <v/>
      </c>
      <c r="H36" s="84">
        <f>G36/$G$39</f>
        <v/>
      </c>
      <c r="I36" s="138">
        <f>ROUND(F36*'Прил. 10'!$D$12,2)</f>
        <v/>
      </c>
      <c r="J36" s="138">
        <f>ROUND(I36*E36,2)</f>
        <v/>
      </c>
    </row>
    <row r="37" hidden="1" outlineLevel="1" ht="14.25" customFormat="1" customHeight="1" s="173">
      <c r="A37" s="208" t="n">
        <v>20</v>
      </c>
      <c r="B37" s="127" t="inlineStr">
        <is>
          <t>91.07.04-002</t>
        </is>
      </c>
      <c r="C37" s="130" t="inlineStr">
        <is>
          <t>Вибратор поверхностный</t>
        </is>
      </c>
      <c r="D37" s="208" t="inlineStr">
        <is>
          <t>маш.час</t>
        </is>
      </c>
      <c r="E37" s="231" t="n">
        <v>0.768528</v>
      </c>
      <c r="F37" s="138" t="n">
        <v>0.5</v>
      </c>
      <c r="G37" s="138">
        <f>ROUND(E37*F37,2)</f>
        <v/>
      </c>
      <c r="H37" s="84">
        <f>G37/$G$39</f>
        <v/>
      </c>
      <c r="I37" s="138">
        <f>ROUND(F37*'Прил. 10'!$D$12,2)</f>
        <v/>
      </c>
      <c r="J37" s="138">
        <f>ROUND(I37*E37,2)</f>
        <v/>
      </c>
    </row>
    <row r="38" collapsed="1" ht="14.25" customFormat="1" customHeight="1" s="173">
      <c r="A38" s="208" t="n"/>
      <c r="B38" s="208" t="n"/>
      <c r="C38" s="207" t="inlineStr">
        <is>
          <t>Итого прочие машины и механизмы</t>
        </is>
      </c>
      <c r="D38" s="208" t="n"/>
      <c r="E38" s="209" t="n"/>
      <c r="F38" s="138" t="n"/>
      <c r="G38" s="96">
        <f>SUM(G26:G37)</f>
        <v/>
      </c>
      <c r="H38" s="84">
        <f>G38/G39</f>
        <v/>
      </c>
      <c r="I38" s="138" t="n"/>
      <c r="J38" s="138">
        <f>SUM(J26:J37)</f>
        <v/>
      </c>
    </row>
    <row r="39" ht="25.5" customFormat="1" customHeight="1" s="173">
      <c r="A39" s="208" t="n"/>
      <c r="B39" s="208" t="n"/>
      <c r="C39" s="206" t="inlineStr">
        <is>
          <t>Итого по разделу «Машины и механизмы»</t>
        </is>
      </c>
      <c r="D39" s="208" t="n"/>
      <c r="E39" s="209" t="n"/>
      <c r="F39" s="138" t="n"/>
      <c r="G39" s="138">
        <f>G38+G25</f>
        <v/>
      </c>
      <c r="H39" s="86" t="n">
        <v>1</v>
      </c>
      <c r="I39" s="87" t="n"/>
      <c r="J39" s="152">
        <f>J38+J25</f>
        <v/>
      </c>
    </row>
    <row r="40" ht="14.25" customFormat="1" customHeight="1" s="173">
      <c r="A40" s="208" t="n"/>
      <c r="B40" s="206" t="inlineStr">
        <is>
          <t>Оборудование</t>
        </is>
      </c>
      <c r="C40" s="234" t="n"/>
      <c r="D40" s="234" t="n"/>
      <c r="E40" s="234" t="n"/>
      <c r="F40" s="234" t="n"/>
      <c r="G40" s="234" t="n"/>
      <c r="H40" s="235" t="n"/>
      <c r="I40" s="90" t="n"/>
      <c r="J40" s="90" t="n"/>
    </row>
    <row r="41" s="175">
      <c r="A41" s="208" t="n"/>
      <c r="B41" s="207" t="inlineStr">
        <is>
          <t>Основное оборудование</t>
        </is>
      </c>
      <c r="C41" s="234" t="n"/>
      <c r="D41" s="234" t="n"/>
      <c r="E41" s="234" t="n"/>
      <c r="F41" s="234" t="n"/>
      <c r="G41" s="234" t="n"/>
      <c r="H41" s="235" t="n"/>
      <c r="I41" s="90" t="n"/>
      <c r="J41" s="90" t="n"/>
      <c r="K41" s="173" t="n"/>
      <c r="L41" s="173" t="n"/>
    </row>
    <row r="42" s="175">
      <c r="A42" s="208" t="n"/>
      <c r="B42" s="208" t="n"/>
      <c r="C42" s="207" t="inlineStr">
        <is>
          <t>Итого основное оборудование</t>
        </is>
      </c>
      <c r="D42" s="208" t="n"/>
      <c r="E42" s="239" t="n"/>
      <c r="F42" s="210" t="n"/>
      <c r="G42" s="138" t="n">
        <v>0</v>
      </c>
      <c r="H42" s="211" t="n">
        <v>0</v>
      </c>
      <c r="I42" s="96" t="n"/>
      <c r="J42" s="138" t="n">
        <v>0</v>
      </c>
      <c r="K42" s="173" t="n"/>
      <c r="L42" s="173" t="n"/>
    </row>
    <row r="43" s="175">
      <c r="A43" s="208" t="n"/>
      <c r="B43" s="208" t="n"/>
      <c r="C43" s="207" t="inlineStr">
        <is>
          <t>Итого прочее оборудование</t>
        </is>
      </c>
      <c r="D43" s="208" t="n"/>
      <c r="E43" s="239" t="n"/>
      <c r="F43" s="210" t="n"/>
      <c r="G43" s="138" t="n">
        <v>0</v>
      </c>
      <c r="H43" s="211" t="n">
        <v>0</v>
      </c>
      <c r="I43" s="96" t="n"/>
      <c r="J43" s="138" t="n">
        <v>0</v>
      </c>
      <c r="K43" s="173" t="n"/>
      <c r="L43" s="173" t="n"/>
    </row>
    <row r="44" s="175">
      <c r="A44" s="208" t="n"/>
      <c r="B44" s="208" t="n"/>
      <c r="C44" s="206" t="inlineStr">
        <is>
          <t>Итого по разделу «Оборудование»</t>
        </is>
      </c>
      <c r="D44" s="208" t="n"/>
      <c r="E44" s="209" t="n"/>
      <c r="F44" s="210" t="n"/>
      <c r="G44" s="138">
        <f>G42+G43</f>
        <v/>
      </c>
      <c r="H44" s="211" t="n">
        <v>0</v>
      </c>
      <c r="I44" s="96" t="n"/>
      <c r="J44" s="138">
        <f>J43+J42</f>
        <v/>
      </c>
      <c r="K44" s="173" t="n"/>
      <c r="L44" s="173" t="n"/>
    </row>
    <row r="45" ht="25.5" customHeight="1" s="175">
      <c r="A45" s="208" t="n"/>
      <c r="B45" s="208" t="n"/>
      <c r="C45" s="207" t="inlineStr">
        <is>
          <t>в том числе технологическое оборудование</t>
        </is>
      </c>
      <c r="D45" s="208" t="n"/>
      <c r="E45" s="240" t="n"/>
      <c r="F45" s="210" t="n"/>
      <c r="G45" s="138">
        <f>G44</f>
        <v/>
      </c>
      <c r="H45" s="211" t="n"/>
      <c r="I45" s="96" t="n"/>
      <c r="J45" s="138">
        <f>J44</f>
        <v/>
      </c>
      <c r="K45" s="173" t="n"/>
      <c r="L45" s="173" t="n"/>
    </row>
    <row r="46" ht="14.25" customFormat="1" customHeight="1" s="173">
      <c r="A46" s="208" t="n"/>
      <c r="B46" s="206" t="inlineStr">
        <is>
          <t>Материалы</t>
        </is>
      </c>
      <c r="C46" s="234" t="n"/>
      <c r="D46" s="234" t="n"/>
      <c r="E46" s="234" t="n"/>
      <c r="F46" s="234" t="n"/>
      <c r="G46" s="234" t="n"/>
      <c r="H46" s="235" t="n"/>
      <c r="I46" s="90" t="n"/>
      <c r="J46" s="90" t="n"/>
    </row>
    <row r="47" ht="14.25" customFormat="1" customHeight="1" s="173">
      <c r="A47" s="214" t="n"/>
      <c r="B47" s="222" t="inlineStr">
        <is>
          <t>Основные материалы</t>
        </is>
      </c>
      <c r="C47" s="241" t="n"/>
      <c r="D47" s="241" t="n"/>
      <c r="E47" s="241" t="n"/>
      <c r="F47" s="241" t="n"/>
      <c r="G47" s="241" t="n"/>
      <c r="H47" s="242" t="n"/>
      <c r="I47" s="102" t="n"/>
      <c r="J47" s="102" t="n"/>
    </row>
    <row r="48" ht="25.5" customFormat="1" customHeight="1" s="173">
      <c r="A48" s="208" t="n">
        <v>21</v>
      </c>
      <c r="B48" s="208" t="inlineStr">
        <is>
          <t>07.2.07.13-0211</t>
        </is>
      </c>
      <c r="C48" s="207" t="inlineStr">
        <is>
          <t>Тяги, распорки, связи, стойки стальные оцинкованные</t>
        </is>
      </c>
      <c r="D48" s="208" t="inlineStr">
        <is>
          <t>т</t>
        </is>
      </c>
      <c r="E48" s="243" t="n">
        <v>22.54464</v>
      </c>
      <c r="F48" s="210" t="n">
        <v>22977.81</v>
      </c>
      <c r="G48" s="138">
        <f>ROUND(E48*F48,2)</f>
        <v/>
      </c>
      <c r="H48" s="154">
        <f>G48/G75</f>
        <v/>
      </c>
      <c r="I48" s="146">
        <f>ROUND(F48*'Прил. 10'!$D$13,2)</f>
        <v/>
      </c>
      <c r="J48" s="138">
        <f>ROUND(I48*E48,2)</f>
        <v/>
      </c>
    </row>
    <row r="49" ht="14.25" customFormat="1" customHeight="1" s="173">
      <c r="A49" s="208" t="n">
        <v>22</v>
      </c>
      <c r="B49" s="208" t="inlineStr">
        <is>
          <t>04.1.02.05-0011</t>
        </is>
      </c>
      <c r="C49" s="207" t="inlineStr">
        <is>
          <t>Бетон тяжелый, класс: В30 (М400)</t>
        </is>
      </c>
      <c r="D49" s="208" t="inlineStr">
        <is>
          <t>м3</t>
        </is>
      </c>
      <c r="E49" s="243">
        <f>G49/F49</f>
        <v/>
      </c>
      <c r="F49" s="210" t="n">
        <v>790</v>
      </c>
      <c r="G49" s="146">
        <f>G50+G51</f>
        <v/>
      </c>
      <c r="H49" s="84">
        <f>G49/G75</f>
        <v/>
      </c>
      <c r="I49" s="138">
        <f>ROUND(F49*'Прил. 10'!$D$13,2)</f>
        <v/>
      </c>
      <c r="J49" s="153">
        <f>ROUND(I49*E49,2)</f>
        <v/>
      </c>
    </row>
    <row r="50" hidden="1" outlineLevel="1" ht="14.25" customFormat="1" customHeight="1" s="173">
      <c r="A50" s="208" t="n"/>
      <c r="B50" s="208" t="inlineStr">
        <is>
          <t>04.1.02.05-0011</t>
        </is>
      </c>
      <c r="C50" s="207" t="inlineStr">
        <is>
          <t>Бетон тяжелый, класс: В30 (М400)</t>
        </is>
      </c>
      <c r="D50" s="208" t="inlineStr">
        <is>
          <t>м3</t>
        </is>
      </c>
      <c r="E50" s="243" t="n">
        <v>89.60420000000001</v>
      </c>
      <c r="F50" s="210" t="n">
        <v>790</v>
      </c>
      <c r="G50" s="146">
        <f>ROUND(E50*F50,2)</f>
        <v/>
      </c>
      <c r="H50" s="84" t="n"/>
      <c r="I50" s="138" t="n"/>
      <c r="J50" s="137" t="n"/>
    </row>
    <row r="51" hidden="1" outlineLevel="1" ht="14.25" customFormat="1" customHeight="1" s="173">
      <c r="A51" s="208" t="n"/>
      <c r="B51" s="76" t="inlineStr">
        <is>
          <t>04.1.02.05-0003</t>
        </is>
      </c>
      <c r="C51" s="207" t="inlineStr">
        <is>
          <t>Бетон тяжелый, класс: В7,5 (М100)</t>
        </is>
      </c>
      <c r="D51" s="208" t="inlineStr">
        <is>
          <t>м3</t>
        </is>
      </c>
      <c r="E51" s="239" t="n">
        <v>13.2192</v>
      </c>
      <c r="F51" s="138" t="n">
        <v>560</v>
      </c>
      <c r="G51" s="138">
        <f>ROUND(E51*F51,2)</f>
        <v/>
      </c>
      <c r="H51" s="84" t="n"/>
      <c r="I51" s="138" t="n"/>
      <c r="J51" s="137" t="n"/>
    </row>
    <row r="52" collapsed="1" ht="14.25" customFormat="1" customHeight="1" s="173">
      <c r="A52" s="131" t="n"/>
      <c r="B52" s="148" t="n"/>
      <c r="C52" s="149" t="inlineStr">
        <is>
          <t>Итого основные материалы</t>
        </is>
      </c>
      <c r="D52" s="215" t="n"/>
      <c r="E52" s="244" t="n"/>
      <c r="F52" s="152" t="n"/>
      <c r="G52" s="138">
        <f>G48+G49</f>
        <v/>
      </c>
      <c r="H52" s="132">
        <f>G52/G75</f>
        <v/>
      </c>
      <c r="I52" s="152" t="n"/>
      <c r="J52" s="137">
        <f>SUM(J48:J49)</f>
        <v/>
      </c>
    </row>
    <row r="53" hidden="1" outlineLevel="1" ht="14.25" customFormat="1" customHeight="1" s="173">
      <c r="A53" s="131" t="n">
        <v>23</v>
      </c>
      <c r="B53" s="76" t="inlineStr">
        <is>
          <t>08.4.02.04-0001</t>
        </is>
      </c>
      <c r="C53" s="207" t="inlineStr">
        <is>
          <t>Каркасы металлические</t>
        </is>
      </c>
      <c r="D53" s="208" t="inlineStr">
        <is>
          <t>т</t>
        </is>
      </c>
      <c r="E53" s="239" t="n">
        <v>2.8984</v>
      </c>
      <c r="F53" s="138" t="n">
        <v>8200</v>
      </c>
      <c r="G53" s="138">
        <f>ROUND(E53*F53,2)</f>
        <v/>
      </c>
      <c r="H53" s="132">
        <f>G53/G52</f>
        <v/>
      </c>
      <c r="I53" s="138">
        <f>ROUND(F53*'Прил. 10'!$D$13,2)</f>
        <v/>
      </c>
      <c r="J53" s="138">
        <f>ROUND(I53*E53,2)</f>
        <v/>
      </c>
    </row>
    <row r="54" hidden="1" outlineLevel="1" ht="14.25" customFormat="1" customHeight="1" s="173">
      <c r="A54" s="131" t="n">
        <v>24</v>
      </c>
      <c r="B54" s="76" t="inlineStr">
        <is>
          <t>08.4.02.01-0021</t>
        </is>
      </c>
      <c r="C54" s="207" t="inlineStr">
        <is>
          <t>Арматурные сетки сварные</t>
        </is>
      </c>
      <c r="D54" s="208" t="inlineStr">
        <is>
          <t>т</t>
        </is>
      </c>
      <c r="E54" s="239" t="n">
        <v>1.65192</v>
      </c>
      <c r="F54" s="138" t="n">
        <v>7200</v>
      </c>
      <c r="G54" s="138">
        <f>ROUND(E54*F54,2)</f>
        <v/>
      </c>
      <c r="H54" s="132">
        <f>G54/$G$52</f>
        <v/>
      </c>
      <c r="I54" s="138">
        <f>ROUND(F54*'Прил. 10'!$D$13,2)</f>
        <v/>
      </c>
      <c r="J54" s="138">
        <f>ROUND(I54*E54,2)</f>
        <v/>
      </c>
    </row>
    <row r="55" hidden="1" outlineLevel="1" ht="76.5" customFormat="1" customHeight="1" s="173">
      <c r="A55" s="131" t="n">
        <v>25</v>
      </c>
      <c r="B55" s="76" t="inlineStr">
        <is>
          <t>08.4.01.02-0013</t>
        </is>
      </c>
      <c r="C55" s="20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55" s="208" t="inlineStr">
        <is>
          <t>т</t>
        </is>
      </c>
      <c r="E55" s="140" t="n">
        <v>1.25</v>
      </c>
      <c r="F55" s="138" t="n">
        <v>6800</v>
      </c>
      <c r="G55" s="138">
        <f>ROUND(E55*F55,2)</f>
        <v/>
      </c>
      <c r="H55" s="132">
        <f>G55/$G$52</f>
        <v/>
      </c>
      <c r="I55" s="138">
        <f>ROUND(F55*'Прил. 10'!$D$13,2)</f>
        <v/>
      </c>
      <c r="J55" s="138">
        <f>ROUND(I55*E55,2)</f>
        <v/>
      </c>
    </row>
    <row r="56" hidden="1" outlineLevel="1" ht="25.5" customFormat="1" customHeight="1" s="173">
      <c r="A56" s="131" t="n">
        <v>26</v>
      </c>
      <c r="B56" s="76" t="inlineStr">
        <is>
          <t>01.7.15.03-0037</t>
        </is>
      </c>
      <c r="C56" s="207" t="inlineStr">
        <is>
          <t>Болты с гайками и шайбами оцинкованные, диаметр: 30 мм</t>
        </is>
      </c>
      <c r="D56" s="208" t="inlineStr">
        <is>
          <t>кг</t>
        </is>
      </c>
      <c r="E56" s="239" t="n">
        <v>264.8</v>
      </c>
      <c r="F56" s="138" t="n">
        <v>24.68</v>
      </c>
      <c r="G56" s="138">
        <f>ROUND(E56*F56,2)</f>
        <v/>
      </c>
      <c r="H56" s="132">
        <f>G56/$G$52</f>
        <v/>
      </c>
      <c r="I56" s="138">
        <f>ROUND(F56*'Прил. 10'!$D$13,2)</f>
        <v/>
      </c>
      <c r="J56" s="138">
        <f>ROUND(I56*E56,2)</f>
        <v/>
      </c>
    </row>
    <row r="57" hidden="1" outlineLevel="1" ht="25.5" customFormat="1" customHeight="1" s="173">
      <c r="A57" s="131" t="n">
        <v>27</v>
      </c>
      <c r="B57" s="76" t="inlineStr">
        <is>
          <t>01.2.03.03-0103</t>
        </is>
      </c>
      <c r="C57" s="207" t="inlineStr">
        <is>
          <t>Мастика гидроизоляционная холодная ТЕХНОНИКОЛЬ №24 (МГТН)</t>
        </is>
      </c>
      <c r="D57" s="208" t="inlineStr">
        <is>
          <t>кг</t>
        </is>
      </c>
      <c r="E57" s="239" t="n">
        <v>455.04</v>
      </c>
      <c r="F57" s="138" t="n">
        <v>9.15</v>
      </c>
      <c r="G57" s="138">
        <f>ROUND(E57*F57,2)</f>
        <v/>
      </c>
      <c r="H57" s="132">
        <f>G57/$G$52</f>
        <v/>
      </c>
      <c r="I57" s="138">
        <f>ROUND(F57*'Прил. 10'!$D$13,2)</f>
        <v/>
      </c>
      <c r="J57" s="138">
        <f>ROUND(I57*E57,2)</f>
        <v/>
      </c>
    </row>
    <row r="58" hidden="1" outlineLevel="1" ht="14.25" customFormat="1" customHeight="1" s="173">
      <c r="A58" s="131" t="n">
        <v>28</v>
      </c>
      <c r="B58" s="76" t="inlineStr">
        <is>
          <t>01.7.11.07-0032</t>
        </is>
      </c>
      <c r="C58" s="207" t="inlineStr">
        <is>
          <t>Электроды сварочные Э42, диаметр 4 мм</t>
        </is>
      </c>
      <c r="D58" s="208" t="inlineStr">
        <is>
          <t>т</t>
        </is>
      </c>
      <c r="E58" s="239" t="n">
        <v>0.216474</v>
      </c>
      <c r="F58" s="138" t="n">
        <v>10315.01</v>
      </c>
      <c r="G58" s="138">
        <f>ROUND(E58*F58,2)</f>
        <v/>
      </c>
      <c r="H58" s="132">
        <f>G58/$G$52</f>
        <v/>
      </c>
      <c r="I58" s="138">
        <f>ROUND(F58*'Прил. 10'!$D$13,2)</f>
        <v/>
      </c>
      <c r="J58" s="138">
        <f>ROUND(I58*E58,2)</f>
        <v/>
      </c>
    </row>
    <row r="59" hidden="1" outlineLevel="1" ht="38.25" customFormat="1" customHeight="1" s="173">
      <c r="A59" s="131" t="n">
        <v>29</v>
      </c>
      <c r="B59" s="76" t="inlineStr">
        <is>
          <t>01.7.15.03-0022</t>
        </is>
      </c>
      <c r="C59" s="207" t="inlineStr">
        <is>
          <t>Болты с гайками и шайбами оцинкованные для монтажа стальных конструкций, диаметр 16 мм, длина 55-200 мм</t>
        </is>
      </c>
      <c r="D59" s="208" t="inlineStr">
        <is>
          <t>т</t>
        </is>
      </c>
      <c r="E59" s="239" t="n">
        <v>0.104704</v>
      </c>
      <c r="F59" s="138" t="n">
        <v>18796.65</v>
      </c>
      <c r="G59" s="138">
        <f>ROUND(E59*F59,2)</f>
        <v/>
      </c>
      <c r="H59" s="132">
        <f>G59/$G$52</f>
        <v/>
      </c>
      <c r="I59" s="138">
        <f>ROUND(F59*'Прил. 10'!$D$13,2)</f>
        <v/>
      </c>
      <c r="J59" s="138">
        <f>ROUND(I59*E59,2)</f>
        <v/>
      </c>
    </row>
    <row r="60" hidden="1" outlineLevel="1" ht="14.25" customFormat="1" customHeight="1" s="173">
      <c r="A60" s="131" t="n">
        <v>30</v>
      </c>
      <c r="B60" s="76" t="inlineStr">
        <is>
          <t>11.2.13.04-0011</t>
        </is>
      </c>
      <c r="C60" s="207" t="inlineStr">
        <is>
          <t>Щиты из досок, толщина 25 мм</t>
        </is>
      </c>
      <c r="D60" s="208" t="inlineStr">
        <is>
          <t>м2</t>
        </is>
      </c>
      <c r="E60" s="239" t="n">
        <v>43.6986</v>
      </c>
      <c r="F60" s="138" t="n">
        <v>35.53</v>
      </c>
      <c r="G60" s="138">
        <f>ROUND(E60*F60,2)</f>
        <v/>
      </c>
      <c r="H60" s="132">
        <f>G60/$G$52</f>
        <v/>
      </c>
      <c r="I60" s="138">
        <f>ROUND(F60*'Прил. 10'!$D$13,2)</f>
        <v/>
      </c>
      <c r="J60" s="138">
        <f>ROUND(I60*E60,2)</f>
        <v/>
      </c>
    </row>
    <row r="61" hidden="1" outlineLevel="1" ht="38.25" customFormat="1" customHeight="1" s="173">
      <c r="A61" s="131" t="n">
        <v>31</v>
      </c>
      <c r="B61" s="76" t="inlineStr">
        <is>
          <t>11.1.03.06-0095</t>
        </is>
      </c>
      <c r="C61" s="207" t="inlineStr">
        <is>
          <t>Доска обрезная, хвойных пород, ширина 75-150 мм, толщина 44 мм и более, длина 4-6,5 м, сорт III</t>
        </is>
      </c>
      <c r="D61" s="208" t="inlineStr">
        <is>
          <t>м3</t>
        </is>
      </c>
      <c r="E61" s="239" t="n">
        <v>0.609132</v>
      </c>
      <c r="F61" s="138" t="n">
        <v>1056</v>
      </c>
      <c r="G61" s="138">
        <f>ROUND(E61*F61,2)</f>
        <v/>
      </c>
      <c r="H61" s="132">
        <f>G61/$G$52</f>
        <v/>
      </c>
      <c r="I61" s="138">
        <f>ROUND(F61*'Прил. 10'!$D$13,2)</f>
        <v/>
      </c>
      <c r="J61" s="138">
        <f>ROUND(I61*E61,2)</f>
        <v/>
      </c>
    </row>
    <row r="62" hidden="1" outlineLevel="1" ht="25.5" customFormat="1" customHeight="1" s="173">
      <c r="A62" s="131" t="n">
        <v>32</v>
      </c>
      <c r="B62" s="76" t="inlineStr">
        <is>
          <t>01.7.15.03-0035</t>
        </is>
      </c>
      <c r="C62" s="207" t="inlineStr">
        <is>
          <t>Болты с гайками и шайбами оцинкованные, диаметр: 20 мм</t>
        </is>
      </c>
      <c r="D62" s="208" t="inlineStr">
        <is>
          <t>кг</t>
        </is>
      </c>
      <c r="E62" s="239" t="n">
        <v>24.864</v>
      </c>
      <c r="F62" s="138" t="n">
        <v>24.97</v>
      </c>
      <c r="G62" s="138">
        <f>ROUND(E62*F62,2)</f>
        <v/>
      </c>
      <c r="H62" s="132">
        <f>G62/$G$52</f>
        <v/>
      </c>
      <c r="I62" s="138">
        <f>ROUND(F62*'Прил. 10'!$D$13,2)</f>
        <v/>
      </c>
      <c r="J62" s="138">
        <f>ROUND(I62*E62,2)</f>
        <v/>
      </c>
    </row>
    <row r="63" hidden="1" outlineLevel="1" ht="14.25" customFormat="1" customHeight="1" s="173">
      <c r="A63" s="131" t="n">
        <v>33</v>
      </c>
      <c r="B63" s="76" t="inlineStr">
        <is>
          <t>01.7.03.01-0001</t>
        </is>
      </c>
      <c r="C63" s="207" t="inlineStr">
        <is>
          <t>Вода</t>
        </is>
      </c>
      <c r="D63" s="208" t="inlineStr">
        <is>
          <t>м3</t>
        </is>
      </c>
      <c r="E63" s="239" t="n">
        <v>186.4835836</v>
      </c>
      <c r="F63" s="138" t="n">
        <v>2.44</v>
      </c>
      <c r="G63" s="138">
        <f>ROUND(E63*F63,2)</f>
        <v/>
      </c>
      <c r="H63" s="132">
        <f>G63/$G$52</f>
        <v/>
      </c>
      <c r="I63" s="138">
        <f>ROUND(F63*'Прил. 10'!$D$13,2)</f>
        <v/>
      </c>
      <c r="J63" s="138">
        <f>ROUND(I63*E63,2)</f>
        <v/>
      </c>
    </row>
    <row r="64" hidden="1" outlineLevel="1" ht="14.25" customFormat="1" customHeight="1" s="173">
      <c r="A64" s="131" t="n">
        <v>34</v>
      </c>
      <c r="B64" s="76" t="inlineStr">
        <is>
          <t>01.7.15.06-0111</t>
        </is>
      </c>
      <c r="C64" s="207" t="inlineStr">
        <is>
          <t>Гвозди строительные</t>
        </is>
      </c>
      <c r="D64" s="208" t="inlineStr">
        <is>
          <t>т</t>
        </is>
      </c>
      <c r="E64" s="239" t="n">
        <v>0.0326636</v>
      </c>
      <c r="F64" s="138" t="n">
        <v>11978</v>
      </c>
      <c r="G64" s="138">
        <f>ROUND(E64*F64,2)</f>
        <v/>
      </c>
      <c r="H64" s="132">
        <f>G64/$G$52</f>
        <v/>
      </c>
      <c r="I64" s="138">
        <f>ROUND(F64*'Прил. 10'!$D$13,2)</f>
        <v/>
      </c>
      <c r="J64" s="138">
        <f>ROUND(I64*E64,2)</f>
        <v/>
      </c>
    </row>
    <row r="65" hidden="1" outlineLevel="1" ht="38.25" customFormat="1" customHeight="1" s="173">
      <c r="A65" s="131" t="n">
        <v>35</v>
      </c>
      <c r="B65" s="76" t="inlineStr">
        <is>
          <t>11.1.02.04-0031</t>
        </is>
      </c>
      <c r="C65" s="207" t="inlineStr">
        <is>
          <t>Лесоматериалы круглые, хвойных пород, для строительства, диаметр 14-24 см, длина 3-6,5 м</t>
        </is>
      </c>
      <c r="D65" s="208" t="inlineStr">
        <is>
          <t>м3</t>
        </is>
      </c>
      <c r="E65" s="239" t="n">
        <v>0.609132</v>
      </c>
      <c r="F65" s="138" t="n">
        <v>558.33</v>
      </c>
      <c r="G65" s="138">
        <f>ROUND(E65*F65,2)</f>
        <v/>
      </c>
      <c r="H65" s="132">
        <f>G65/$G$52</f>
        <v/>
      </c>
      <c r="I65" s="138">
        <f>ROUND(F65*'Прил. 10'!$D$13,2)</f>
        <v/>
      </c>
      <c r="J65" s="138">
        <f>ROUND(I65*E65,2)</f>
        <v/>
      </c>
    </row>
    <row r="66" hidden="1" outlineLevel="1" ht="14.25" customFormat="1" customHeight="1" s="173">
      <c r="A66" s="131" t="n">
        <v>36</v>
      </c>
      <c r="B66" s="76" t="inlineStr">
        <is>
          <t>01.3.01.03-0002</t>
        </is>
      </c>
      <c r="C66" s="207" t="inlineStr">
        <is>
          <t>Керосин для технических целей</t>
        </is>
      </c>
      <c r="D66" s="208" t="inlineStr">
        <is>
          <t>т</t>
        </is>
      </c>
      <c r="E66" s="239" t="n">
        <v>0.1092096</v>
      </c>
      <c r="F66" s="138" t="n">
        <v>2606.9</v>
      </c>
      <c r="G66" s="138">
        <f>ROUND(E66*F66,2)</f>
        <v/>
      </c>
      <c r="H66" s="132">
        <f>G66/$G$52</f>
        <v/>
      </c>
      <c r="I66" s="138">
        <f>ROUND(F66*'Прил. 10'!$D$13,2)</f>
        <v/>
      </c>
      <c r="J66" s="138">
        <f>ROUND(I66*E66,2)</f>
        <v/>
      </c>
    </row>
    <row r="67" hidden="1" outlineLevel="1" ht="38.25" customFormat="1" customHeight="1" s="173">
      <c r="A67" s="131" t="n">
        <v>37</v>
      </c>
      <c r="B67" s="76" t="inlineStr">
        <is>
          <t>11.1.03.06-0087</t>
        </is>
      </c>
      <c r="C67" s="207" t="inlineStr">
        <is>
          <t>Доска обрезная, хвойных пород, ширина 75-150 мм, толщина 25 мм, длина 4-6,5 м, сорт III</t>
        </is>
      </c>
      <c r="D67" s="208" t="inlineStr">
        <is>
          <t>м3</t>
        </is>
      </c>
      <c r="E67" s="239" t="n">
        <v>0.17656</v>
      </c>
      <c r="F67" s="138" t="n">
        <v>1100</v>
      </c>
      <c r="G67" s="138">
        <f>ROUND(E67*F67,2)</f>
        <v/>
      </c>
      <c r="H67" s="132">
        <f>G67/$G$52</f>
        <v/>
      </c>
      <c r="I67" s="138">
        <f>ROUND(F67*'Прил. 10'!$D$13,2)</f>
        <v/>
      </c>
      <c r="J67" s="138">
        <f>ROUND(I67*E67,2)</f>
        <v/>
      </c>
    </row>
    <row r="68" hidden="1" outlineLevel="1" ht="25.5" customFormat="1" customHeight="1" s="173">
      <c r="A68" s="131" t="n">
        <v>38</v>
      </c>
      <c r="B68" s="76" t="inlineStr">
        <is>
          <t>08.3.03.06-0002</t>
        </is>
      </c>
      <c r="C68" s="207" t="inlineStr">
        <is>
          <t>Проволока горячекатаная в мотках, диаметр 6,3-6,5 мм</t>
        </is>
      </c>
      <c r="D68" s="208" t="inlineStr">
        <is>
          <t>т</t>
        </is>
      </c>
      <c r="E68" s="239" t="n">
        <v>0.035312</v>
      </c>
      <c r="F68" s="138" t="n">
        <v>4455.2</v>
      </c>
      <c r="G68" s="138">
        <f>ROUND(E68*F68,2)</f>
        <v/>
      </c>
      <c r="H68" s="132">
        <f>G68/$G$52</f>
        <v/>
      </c>
      <c r="I68" s="138">
        <f>ROUND(F68*'Прил. 10'!$D$13,2)</f>
        <v/>
      </c>
      <c r="J68" s="138">
        <f>ROUND(I68*E68,2)</f>
        <v/>
      </c>
    </row>
    <row r="69" hidden="1" outlineLevel="1" ht="14.25" customFormat="1" customHeight="1" s="173">
      <c r="A69" s="131" t="n">
        <v>39</v>
      </c>
      <c r="B69" s="76" t="inlineStr">
        <is>
          <t>01.7.07.12-0024</t>
        </is>
      </c>
      <c r="C69" s="207" t="inlineStr">
        <is>
          <t>Пленка полиэтиленовая, толщина 0,15 мм</t>
        </is>
      </c>
      <c r="D69" s="208" t="inlineStr">
        <is>
          <t>м2</t>
        </is>
      </c>
      <c r="E69" s="239" t="n">
        <v>41.31628</v>
      </c>
      <c r="F69" s="138" t="n">
        <v>3.62</v>
      </c>
      <c r="G69" s="138">
        <f>ROUND(E69*F69,2)</f>
        <v/>
      </c>
      <c r="H69" s="132">
        <f>G69/$G$52</f>
        <v/>
      </c>
      <c r="I69" s="138">
        <f>ROUND(F69*'Прил. 10'!$D$13,2)</f>
        <v/>
      </c>
      <c r="J69" s="138">
        <f>ROUND(I69*E69,2)</f>
        <v/>
      </c>
    </row>
    <row r="70" hidden="1" outlineLevel="1" ht="38.25" customFormat="1" customHeight="1" s="173">
      <c r="A70" s="131" t="n">
        <v>40</v>
      </c>
      <c r="B70" s="76" t="inlineStr">
        <is>
          <t>11.1.03.01-0079</t>
        </is>
      </c>
      <c r="C70" s="207" t="inlineStr">
        <is>
          <t>Бруски обрезные, хвойных пород, длина 4-6,5 м, ширина 75-150 мм, толщина 40-75 мм, сорт III</t>
        </is>
      </c>
      <c r="D70" s="208" t="inlineStr">
        <is>
          <t>м3</t>
        </is>
      </c>
      <c r="E70" s="239" t="n">
        <v>0.07062400000000001</v>
      </c>
      <c r="F70" s="138" t="n">
        <v>1287</v>
      </c>
      <c r="G70" s="138">
        <f>ROUND(E70*F70,2)</f>
        <v/>
      </c>
      <c r="H70" s="132">
        <f>G70/$G$52</f>
        <v/>
      </c>
      <c r="I70" s="138">
        <f>ROUND(F70*'Прил. 10'!$D$13,2)</f>
        <v/>
      </c>
      <c r="J70" s="138">
        <f>ROUND(I70*E70,2)</f>
        <v/>
      </c>
    </row>
    <row r="71" hidden="1" outlineLevel="1" ht="14.25" customFormat="1" customHeight="1" s="173">
      <c r="A71" s="131" t="n">
        <v>41</v>
      </c>
      <c r="B71" s="76" t="inlineStr">
        <is>
          <t>01.7.11.07-0054</t>
        </is>
      </c>
      <c r="C71" s="207" t="inlineStr">
        <is>
          <t>Электроды сварочные Э42, диаметр 6 мм</t>
        </is>
      </c>
      <c r="D71" s="208" t="inlineStr">
        <is>
          <t>т</t>
        </is>
      </c>
      <c r="E71" s="239" t="n">
        <v>0.0035312</v>
      </c>
      <c r="F71" s="138" t="n">
        <v>9424</v>
      </c>
      <c r="G71" s="138">
        <f>ROUND(E71*F71,2)</f>
        <v/>
      </c>
      <c r="H71" s="132">
        <f>G71/$G$52</f>
        <v/>
      </c>
      <c r="I71" s="138">
        <f>ROUND(F71*'Прил. 10'!$D$13,2)</f>
        <v/>
      </c>
      <c r="J71" s="138">
        <f>ROUND(I71*E71,2)</f>
        <v/>
      </c>
    </row>
    <row r="72" hidden="1" outlineLevel="1" ht="25.5" customFormat="1" customHeight="1" s="173">
      <c r="A72" s="131" t="n">
        <v>42</v>
      </c>
      <c r="B72" s="76" t="inlineStr">
        <is>
          <t>03.1.02.03-0011</t>
        </is>
      </c>
      <c r="C72" s="207" t="inlineStr">
        <is>
          <t>Известь строительная негашеная комовая, сорт I</t>
        </is>
      </c>
      <c r="D72" s="208" t="inlineStr">
        <is>
          <t>т</t>
        </is>
      </c>
      <c r="E72" s="239" t="n">
        <v>0.0406</v>
      </c>
      <c r="F72" s="138" t="n">
        <v>734.5</v>
      </c>
      <c r="G72" s="138">
        <f>ROUND(E72*F72,2)</f>
        <v/>
      </c>
      <c r="H72" s="132">
        <f>G72/$G$52</f>
        <v/>
      </c>
      <c r="I72" s="138">
        <f>ROUND(F72*'Прил. 10'!$D$13,2)</f>
        <v/>
      </c>
      <c r="J72" s="138">
        <f>ROUND(I72*E72,2)</f>
        <v/>
      </c>
    </row>
    <row r="73" hidden="1" outlineLevel="1" ht="14.25" customFormat="1" customHeight="1" s="173">
      <c r="A73" s="131" t="n">
        <v>43</v>
      </c>
      <c r="B73" s="76" t="inlineStr">
        <is>
          <t>01.7.20.08-0051</t>
        </is>
      </c>
      <c r="C73" s="207" t="inlineStr">
        <is>
          <t>Ветошь</t>
        </is>
      </c>
      <c r="D73" s="208" t="inlineStr">
        <is>
          <t>кг</t>
        </is>
      </c>
      <c r="E73" s="239" t="n">
        <v>0.455</v>
      </c>
      <c r="F73" s="138" t="n">
        <v>1.82</v>
      </c>
      <c r="G73" s="138">
        <f>ROUND(E73*F73,2)</f>
        <v/>
      </c>
      <c r="H73" s="132">
        <f>G73/$G$52</f>
        <v/>
      </c>
      <c r="I73" s="138">
        <f>ROUND(F73*'Прил. 10'!$D$13,2)</f>
        <v/>
      </c>
      <c r="J73" s="138">
        <f>ROUND(I73*E73,2)</f>
        <v/>
      </c>
    </row>
    <row r="74" collapsed="1" ht="14.25" customFormat="1" customHeight="1" s="173">
      <c r="A74" s="216" t="n"/>
      <c r="B74" s="208" t="n"/>
      <c r="C74" s="207" t="inlineStr">
        <is>
          <t>Итого прочие материалы</t>
        </is>
      </c>
      <c r="D74" s="208" t="n"/>
      <c r="E74" s="209" t="n"/>
      <c r="F74" s="210" t="n"/>
      <c r="G74" s="138">
        <f>SUM(G53:G73)</f>
        <v/>
      </c>
      <c r="H74" s="142">
        <f>G74/G75</f>
        <v/>
      </c>
      <c r="I74" s="138" t="n"/>
      <c r="J74" s="138">
        <f>SUM(J53:J73)</f>
        <v/>
      </c>
    </row>
    <row r="75" ht="14.25" customFormat="1" customHeight="1" s="173">
      <c r="A75" s="208" t="n"/>
      <c r="B75" s="215" t="n"/>
      <c r="C75" s="144" t="inlineStr">
        <is>
          <t>Итого по разделу «Материалы»</t>
        </is>
      </c>
      <c r="D75" s="215" t="n"/>
      <c r="E75" s="133" t="n"/>
      <c r="F75" s="134" t="n"/>
      <c r="G75" s="152">
        <f>G52+G74</f>
        <v/>
      </c>
      <c r="H75" s="211">
        <f>H74+H52</f>
        <v/>
      </c>
      <c r="I75" s="138" t="n"/>
      <c r="J75" s="138">
        <f>J52+J74</f>
        <v/>
      </c>
    </row>
    <row r="76" ht="14.25" customFormat="1" customHeight="1" s="173">
      <c r="A76" s="208" t="n"/>
      <c r="B76" s="208" t="n"/>
      <c r="C76" s="207" t="inlineStr">
        <is>
          <t>ИТОГО ПО РМ</t>
        </is>
      </c>
      <c r="D76" s="208" t="n"/>
      <c r="E76" s="209" t="n"/>
      <c r="F76" s="210" t="n"/>
      <c r="G76" s="138">
        <f>G14+G39+G75</f>
        <v/>
      </c>
      <c r="H76" s="211" t="n"/>
      <c r="I76" s="138" t="n"/>
      <c r="J76" s="138">
        <f>J14+J39+J75</f>
        <v/>
      </c>
    </row>
    <row r="77" ht="14.25" customFormat="1" customHeight="1" s="173">
      <c r="A77" s="208" t="n"/>
      <c r="B77" s="208" t="n"/>
      <c r="C77" s="207" t="inlineStr">
        <is>
          <t>Накладные расходы</t>
        </is>
      </c>
      <c r="D77" s="109">
        <f>ROUND(G77/(G$16+$G$14),2)</f>
        <v/>
      </c>
      <c r="E77" s="209" t="n"/>
      <c r="F77" s="210" t="n"/>
      <c r="G77" s="138" t="n">
        <v>15606.04</v>
      </c>
      <c r="H77" s="211" t="n"/>
      <c r="I77" s="138" t="n"/>
      <c r="J77" s="138">
        <f>ROUND(D77*(J14+J16),2)</f>
        <v/>
      </c>
      <c r="K77" s="145" t="n"/>
    </row>
    <row r="78" ht="14.25" customFormat="1" customHeight="1" s="173">
      <c r="A78" s="208" t="n"/>
      <c r="B78" s="208" t="n"/>
      <c r="C78" s="207" t="inlineStr">
        <is>
          <t>Сметная прибыль</t>
        </is>
      </c>
      <c r="D78" s="109">
        <f>ROUND(G78/(G$14+G$16),2)</f>
        <v/>
      </c>
      <c r="E78" s="209" t="n"/>
      <c r="F78" s="210" t="n"/>
      <c r="G78" s="138" t="n">
        <v>8782.610000000001</v>
      </c>
      <c r="H78" s="211" t="n"/>
      <c r="I78" s="138" t="n"/>
      <c r="J78" s="138">
        <f>ROUND(D78*(J14+J16),2)</f>
        <v/>
      </c>
    </row>
    <row r="79" ht="14.25" customFormat="1" customHeight="1" s="173">
      <c r="A79" s="208" t="n"/>
      <c r="B79" s="208" t="n"/>
      <c r="C79" s="207" t="inlineStr">
        <is>
          <t>Итого СМР (с НР и СП)</t>
        </is>
      </c>
      <c r="D79" s="208" t="n"/>
      <c r="E79" s="209" t="n"/>
      <c r="F79" s="210" t="n"/>
      <c r="G79" s="138">
        <f>G14+G39+G75+G77+G78</f>
        <v/>
      </c>
      <c r="H79" s="211" t="n"/>
      <c r="I79" s="138" t="n"/>
      <c r="J79" s="138">
        <f>J14+J39+J75+J77+J78</f>
        <v/>
      </c>
    </row>
    <row r="80" ht="14.25" customFormat="1" customHeight="1" s="173">
      <c r="A80" s="208" t="n"/>
      <c r="B80" s="208" t="n"/>
      <c r="C80" s="207" t="inlineStr">
        <is>
          <t>ВСЕГО СМР + ОБОРУДОВАНИЕ</t>
        </is>
      </c>
      <c r="D80" s="208" t="n"/>
      <c r="E80" s="209" t="n"/>
      <c r="F80" s="210" t="n"/>
      <c r="G80" s="138">
        <f>G79+G44</f>
        <v/>
      </c>
      <c r="H80" s="211" t="n"/>
      <c r="I80" s="138" t="n"/>
      <c r="J80" s="138">
        <f>J79+J44</f>
        <v/>
      </c>
    </row>
    <row r="81" ht="34.5" customFormat="1" customHeight="1" s="173">
      <c r="A81" s="208" t="n"/>
      <c r="B81" s="208" t="n"/>
      <c r="C81" s="207" t="inlineStr">
        <is>
          <t>ИТОГО ПОКАЗАТЕЛЬ НА ЕД. ИЗМ.</t>
        </is>
      </c>
      <c r="D81" s="208" t="inlineStr">
        <is>
          <t>ед.</t>
        </is>
      </c>
      <c r="E81" s="209" t="n">
        <v>10</v>
      </c>
      <c r="F81" s="210" t="n"/>
      <c r="G81" s="138">
        <f>G80/E81</f>
        <v/>
      </c>
      <c r="H81" s="211" t="n"/>
      <c r="I81" s="138" t="n"/>
      <c r="J81" s="138">
        <f>J80/E81</f>
        <v/>
      </c>
    </row>
    <row r="83" ht="14.25" customFormat="1" customHeight="1" s="173">
      <c r="A83" s="163" t="inlineStr">
        <is>
          <t>Составил ______________________    Р.Р. Шагеева</t>
        </is>
      </c>
    </row>
    <row r="84" ht="14.25" customFormat="1" customHeight="1" s="173">
      <c r="A84" s="172" t="inlineStr">
        <is>
          <t xml:space="preserve">                         (подпись, инициалы, фамилия)</t>
        </is>
      </c>
    </row>
    <row r="85" ht="14.25" customFormat="1" customHeight="1" s="173">
      <c r="A85" s="163" t="n"/>
    </row>
    <row r="86" ht="14.25" customFormat="1" customHeight="1" s="173">
      <c r="A86" s="163" t="inlineStr">
        <is>
          <t>Проверил ______________________        А.В. Костянецкая</t>
        </is>
      </c>
    </row>
    <row r="87" ht="14.25" customFormat="1" customHeight="1" s="173">
      <c r="A87" s="172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15:H15"/>
    <mergeCell ref="H2:J2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8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4" sqref="B14:B15"/>
    </sheetView>
  </sheetViews>
  <sheetFormatPr baseColWidth="8" defaultRowHeight="15"/>
  <cols>
    <col width="5.7109375" customWidth="1" style="175" min="1" max="1"/>
    <col width="17.5703125" customWidth="1" style="175" min="2" max="2"/>
    <col width="39.140625" customWidth="1" style="175" min="3" max="3"/>
    <col width="10.7109375" customWidth="1" style="175" min="4" max="4"/>
    <col width="13.85546875" customWidth="1" style="175" min="5" max="5"/>
    <col width="13.28515625" customWidth="1" style="175" min="6" max="6"/>
    <col width="14.140625" customWidth="1" style="175" min="7" max="7"/>
    <col width="9.140625" customWidth="1" style="175" min="8" max="8"/>
  </cols>
  <sheetData>
    <row r="1">
      <c r="A1" s="230" t="inlineStr">
        <is>
          <t>Приложение №6</t>
        </is>
      </c>
    </row>
    <row r="2" ht="21.75" customHeight="1" s="175">
      <c r="A2" s="230" t="n"/>
      <c r="B2" s="230" t="n"/>
      <c r="C2" s="230" t="n"/>
      <c r="D2" s="230" t="n"/>
      <c r="E2" s="230" t="n"/>
      <c r="F2" s="230" t="n"/>
      <c r="G2" s="230" t="n"/>
    </row>
    <row r="3">
      <c r="A3" s="203" t="inlineStr">
        <is>
          <t>Расчет стоимости оборудования</t>
        </is>
      </c>
    </row>
    <row r="4" ht="25.5" customHeight="1" s="175">
      <c r="A4" s="213" t="inlineStr">
        <is>
          <t>Наименование разрабатываемого показателя УНЦ — Устройство порталов и ошиновки ОРУ 110 кВ</t>
        </is>
      </c>
    </row>
    <row r="5">
      <c r="A5" s="163" t="n"/>
      <c r="B5" s="163" t="n"/>
      <c r="C5" s="163" t="n"/>
      <c r="D5" s="163" t="n"/>
      <c r="E5" s="163" t="n"/>
      <c r="F5" s="163" t="n"/>
      <c r="G5" s="163" t="n"/>
    </row>
    <row r="6" ht="30" customHeight="1" s="175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08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235" t="n"/>
    </row>
    <row r="7">
      <c r="A7" s="237" t="n"/>
      <c r="B7" s="237" t="n"/>
      <c r="C7" s="237" t="n"/>
      <c r="D7" s="237" t="n"/>
      <c r="E7" s="237" t="n"/>
      <c r="F7" s="208" t="inlineStr">
        <is>
          <t>на ед. изм.</t>
        </is>
      </c>
      <c r="G7" s="208" t="inlineStr">
        <is>
          <t>общая</t>
        </is>
      </c>
    </row>
    <row r="8">
      <c r="A8" s="208" t="n">
        <v>1</v>
      </c>
      <c r="B8" s="208" t="n">
        <v>2</v>
      </c>
      <c r="C8" s="208" t="n">
        <v>3</v>
      </c>
      <c r="D8" s="208" t="n">
        <v>4</v>
      </c>
      <c r="E8" s="208" t="n">
        <v>5</v>
      </c>
      <c r="F8" s="208" t="n">
        <v>6</v>
      </c>
      <c r="G8" s="208" t="n">
        <v>7</v>
      </c>
    </row>
    <row r="9" ht="15" customHeight="1" s="175">
      <c r="A9" s="113" t="n"/>
      <c r="B9" s="207" t="inlineStr">
        <is>
          <t>ИНЖЕНЕРНОЕ ОБОРУДОВАНИЕ</t>
        </is>
      </c>
      <c r="C9" s="234" t="n"/>
      <c r="D9" s="234" t="n"/>
      <c r="E9" s="234" t="n"/>
      <c r="F9" s="234" t="n"/>
      <c r="G9" s="235" t="n"/>
    </row>
    <row r="10" ht="27" customHeight="1" s="175">
      <c r="A10" s="208" t="n"/>
      <c r="B10" s="206" t="n"/>
      <c r="C10" s="207" t="inlineStr">
        <is>
          <t>ИТОГО ИНЖЕНЕРНОЕ ОБОРУДОВАНИЕ</t>
        </is>
      </c>
      <c r="D10" s="206" t="n"/>
      <c r="E10" s="114" t="n"/>
      <c r="F10" s="210" t="n"/>
      <c r="G10" s="210" t="n">
        <v>0</v>
      </c>
    </row>
    <row r="11">
      <c r="A11" s="208" t="n"/>
      <c r="B11" s="207" t="inlineStr">
        <is>
          <t>ТЕХНОЛОГИЧЕСКОЕ ОБОРУДОВАНИЕ</t>
        </is>
      </c>
      <c r="C11" s="234" t="n"/>
      <c r="D11" s="234" t="n"/>
      <c r="E11" s="234" t="n"/>
      <c r="F11" s="234" t="n"/>
      <c r="G11" s="235" t="n"/>
    </row>
    <row r="12">
      <c r="A12" s="208" t="n">
        <v>1</v>
      </c>
      <c r="B12" s="207" t="n"/>
      <c r="C12" s="207" t="n"/>
      <c r="D12" s="208" t="n"/>
      <c r="E12" s="208" t="n"/>
      <c r="F12" s="210" t="n"/>
      <c r="G12" s="138" t="n"/>
    </row>
    <row r="13" ht="25.5" customHeight="1" s="175">
      <c r="A13" s="208" t="n"/>
      <c r="B13" s="207" t="n"/>
      <c r="C13" s="207" t="inlineStr">
        <is>
          <t>ИТОГО ТЕХНОЛОГИЧЕСКОЕ ОБОРУДОВАНИЕ</t>
        </is>
      </c>
      <c r="D13" s="207" t="n"/>
      <c r="E13" s="229" t="n"/>
      <c r="F13" s="210" t="n"/>
      <c r="G13" s="138">
        <f>SUM(G12:G12)</f>
        <v/>
      </c>
    </row>
    <row r="14" ht="19.5" customHeight="1" s="175">
      <c r="A14" s="208" t="n"/>
      <c r="B14" s="207" t="n"/>
      <c r="C14" s="207" t="inlineStr">
        <is>
          <t>Всего по разделу «Оборудование»</t>
        </is>
      </c>
      <c r="D14" s="207" t="n"/>
      <c r="E14" s="229" t="n"/>
      <c r="F14" s="210" t="n"/>
      <c r="G14" s="138">
        <f>G10+G13</f>
        <v/>
      </c>
    </row>
    <row r="15">
      <c r="A15" s="174" t="n"/>
      <c r="B15" s="169" t="n"/>
      <c r="C15" s="174" t="n"/>
      <c r="D15" s="174" t="n"/>
      <c r="E15" s="174" t="n"/>
      <c r="F15" s="174" t="n"/>
      <c r="G15" s="174" t="n"/>
    </row>
    <row r="16">
      <c r="A16" s="163" t="inlineStr">
        <is>
          <t>Составил ______________________    Р.Р. Шагеева</t>
        </is>
      </c>
      <c r="B16" s="173" t="n"/>
      <c r="C16" s="173" t="n"/>
      <c r="D16" s="174" t="n"/>
      <c r="E16" s="174" t="n"/>
      <c r="F16" s="174" t="n"/>
      <c r="G16" s="174" t="n"/>
    </row>
    <row r="17">
      <c r="A17" s="172" t="inlineStr">
        <is>
          <t xml:space="preserve">                         (подпись, инициалы, фамилия)</t>
        </is>
      </c>
      <c r="B17" s="173" t="n"/>
      <c r="C17" s="173" t="n"/>
      <c r="D17" s="174" t="n"/>
      <c r="E17" s="174" t="n"/>
      <c r="F17" s="174" t="n"/>
      <c r="G17" s="174" t="n"/>
    </row>
    <row r="18">
      <c r="A18" s="163" t="n"/>
      <c r="B18" s="173" t="n"/>
      <c r="C18" s="173" t="n"/>
      <c r="D18" s="174" t="n"/>
      <c r="E18" s="174" t="n"/>
      <c r="F18" s="174" t="n"/>
      <c r="G18" s="174" t="n"/>
    </row>
    <row r="19">
      <c r="A19" s="163" t="inlineStr">
        <is>
          <t>Проверил ______________________        А.В. Костянецкая</t>
        </is>
      </c>
      <c r="B19" s="173" t="n"/>
      <c r="C19" s="173" t="n"/>
      <c r="D19" s="174" t="n"/>
      <c r="E19" s="174" t="n"/>
      <c r="F19" s="174" t="n"/>
      <c r="G19" s="174" t="n"/>
    </row>
    <row r="20">
      <c r="A20" s="172" t="inlineStr">
        <is>
          <t xml:space="preserve">                        (подпись, инициалы, фамилия)</t>
        </is>
      </c>
      <c r="B20" s="173" t="n"/>
      <c r="C20" s="173" t="n"/>
      <c r="D20" s="174" t="n"/>
      <c r="E20" s="174" t="n"/>
      <c r="F20" s="174" t="n"/>
      <c r="G20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75" min="1" max="1"/>
    <col width="29.7109375" customWidth="1" style="175" min="2" max="2"/>
    <col width="39.140625" customWidth="1" style="175" min="3" max="3"/>
    <col width="24.5703125" customWidth="1" style="175" min="4" max="4"/>
    <col width="8.85546875" customWidth="1" style="175" min="5" max="5"/>
  </cols>
  <sheetData>
    <row r="1">
      <c r="B1" s="163" t="n"/>
      <c r="C1" s="163" t="n"/>
      <c r="D1" s="230" t="inlineStr">
        <is>
          <t>Приложение №7</t>
        </is>
      </c>
    </row>
    <row r="2">
      <c r="A2" s="230" t="n"/>
      <c r="B2" s="230" t="n"/>
      <c r="C2" s="230" t="n"/>
      <c r="D2" s="230" t="n"/>
    </row>
    <row r="3" ht="24.75" customHeight="1" s="175">
      <c r="A3" s="203" t="inlineStr">
        <is>
          <t>Расчет показателя УНЦ</t>
        </is>
      </c>
    </row>
    <row r="4" ht="24.75" customHeight="1" s="175">
      <c r="A4" s="203" t="n"/>
      <c r="B4" s="203" t="n"/>
      <c r="C4" s="203" t="n"/>
      <c r="D4" s="203" t="n"/>
    </row>
    <row r="5" ht="24.6" customHeight="1" s="175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75">
      <c r="A6" s="213" t="inlineStr">
        <is>
          <t>Единица измерения  — 1 ед</t>
        </is>
      </c>
      <c r="D6" s="213" t="n"/>
    </row>
    <row r="7">
      <c r="A7" s="163" t="n"/>
      <c r="B7" s="163" t="n"/>
      <c r="C7" s="163" t="n"/>
      <c r="D7" s="163" t="n"/>
    </row>
    <row r="8" ht="14.45" customHeight="1" s="175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 ht="15" customHeight="1" s="175">
      <c r="A9" s="237" t="n"/>
      <c r="B9" s="237" t="n"/>
      <c r="C9" s="237" t="n"/>
      <c r="D9" s="237" t="n"/>
    </row>
    <row r="10">
      <c r="A10" s="208" t="n">
        <v>1</v>
      </c>
      <c r="B10" s="208" t="n">
        <v>2</v>
      </c>
      <c r="C10" s="208" t="n">
        <v>3</v>
      </c>
      <c r="D10" s="208" t="n">
        <v>4</v>
      </c>
    </row>
    <row r="11" ht="41.45" customHeight="1" s="175">
      <c r="A11" s="208" t="inlineStr">
        <is>
          <t>И5-10-3</t>
        </is>
      </c>
      <c r="B11" s="208" t="inlineStr">
        <is>
          <t xml:space="preserve">УНЦ элементов ПС 6-750 кВ с устройством фундаментов </t>
        </is>
      </c>
      <c r="C11" s="165">
        <f>D5</f>
        <v/>
      </c>
      <c r="D11" s="166">
        <f>'Прил.4 РМ'!C41/1000</f>
        <v/>
      </c>
      <c r="E11" s="167" t="n"/>
    </row>
    <row r="12">
      <c r="A12" s="174" t="n"/>
      <c r="B12" s="169" t="n"/>
      <c r="C12" s="174" t="n"/>
      <c r="D12" s="174" t="n"/>
    </row>
    <row r="13">
      <c r="A13" s="163" t="inlineStr">
        <is>
          <t>Составил ______________________      Р.Р. Шагеева</t>
        </is>
      </c>
      <c r="B13" s="173" t="n"/>
      <c r="C13" s="173" t="n"/>
      <c r="D13" s="174" t="n"/>
    </row>
    <row r="14">
      <c r="A14" s="172" t="inlineStr">
        <is>
          <t xml:space="preserve">                         (подпись, инициалы, фамилия)</t>
        </is>
      </c>
      <c r="B14" s="173" t="n"/>
      <c r="C14" s="173" t="n"/>
      <c r="D14" s="174" t="n"/>
    </row>
    <row r="15">
      <c r="A15" s="163" t="n"/>
      <c r="B15" s="173" t="n"/>
      <c r="C15" s="173" t="n"/>
      <c r="D15" s="174" t="n"/>
    </row>
    <row r="16">
      <c r="A16" s="163" t="inlineStr">
        <is>
          <t>Проверил ______________________        А.В. Костянецкая</t>
        </is>
      </c>
      <c r="B16" s="173" t="n"/>
      <c r="C16" s="173" t="n"/>
      <c r="D16" s="174" t="n"/>
    </row>
    <row r="17">
      <c r="A17" s="172" t="inlineStr">
        <is>
          <t xml:space="preserve">                        (подпись, инициалы, фамилия)</t>
        </is>
      </c>
      <c r="B17" s="173" t="n"/>
      <c r="C17" s="173" t="n"/>
      <c r="D17" s="1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activeCellId="1" sqref="D27 B26"/>
    </sheetView>
  </sheetViews>
  <sheetFormatPr baseColWidth="8" defaultRowHeight="15"/>
  <cols>
    <col width="9.140625" customWidth="1" style="175" min="1" max="1"/>
    <col width="40.7109375" customWidth="1" style="175" min="2" max="2"/>
    <col width="37" customWidth="1" style="175" min="3" max="3"/>
    <col width="32" customWidth="1" style="175" min="4" max="4"/>
    <col width="9.140625" customWidth="1" style="175" min="5" max="5"/>
  </cols>
  <sheetData>
    <row r="4" ht="15.75" customHeight="1" s="175">
      <c r="B4" s="194" t="inlineStr">
        <is>
          <t>Приложение № 10</t>
        </is>
      </c>
    </row>
    <row r="5" ht="18.75" customHeight="1" s="175">
      <c r="B5" s="120" t="n"/>
    </row>
    <row r="6" ht="15.75" customHeight="1" s="175">
      <c r="B6" s="195" t="inlineStr">
        <is>
          <t>Используемые индексы изменений сметной стоимости и нормы сопутствующих затрат</t>
        </is>
      </c>
    </row>
    <row r="7">
      <c r="B7" s="232" t="n"/>
    </row>
    <row r="8">
      <c r="B8" s="232" t="n"/>
      <c r="C8" s="232" t="n"/>
      <c r="D8" s="232" t="n"/>
      <c r="E8" s="232" t="n"/>
    </row>
    <row r="9" ht="47.25" customHeight="1" s="175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75" customHeight="1" s="175">
      <c r="B10" s="198" t="n">
        <v>1</v>
      </c>
      <c r="C10" s="198" t="n">
        <v>2</v>
      </c>
      <c r="D10" s="198" t="n">
        <v>3</v>
      </c>
    </row>
    <row r="11" ht="45" customHeight="1" s="175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29.25" customHeight="1" s="175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29.25" customHeight="1" s="175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0.75" customHeight="1" s="175">
      <c r="B14" s="198" t="inlineStr">
        <is>
          <t>Индекс изменения сметной стоимости на 1 квартал 2023 года. ОБ</t>
        </is>
      </c>
      <c r="C14" s="123" t="inlineStr">
        <is>
          <t>Письмо Минстроя России от 23.02.2023г. №9791-ИФ/09 прил.6</t>
        </is>
      </c>
      <c r="D14" s="198" t="n">
        <v>6.26</v>
      </c>
    </row>
    <row r="15" ht="89.25" customHeight="1" s="175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4" t="n">
        <v>0.039</v>
      </c>
    </row>
    <row r="16" ht="78.75" customHeight="1" s="175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4" t="n">
        <v>0.021</v>
      </c>
    </row>
    <row r="17" ht="34.5" customHeight="1" s="175">
      <c r="B17" s="198" t="inlineStr">
        <is>
          <t>Пусконаладочные работы</t>
        </is>
      </c>
      <c r="C17" s="198" t="n"/>
      <c r="D17" s="198" t="n"/>
    </row>
    <row r="18" ht="31.5" customHeight="1" s="175">
      <c r="B18" s="198" t="inlineStr">
        <is>
          <t>Строительный контроль</t>
        </is>
      </c>
      <c r="C18" s="198" t="inlineStr">
        <is>
          <t>Постановление Правительства РФ от 21.06.10 г. № 468</t>
        </is>
      </c>
      <c r="D18" s="124" t="n">
        <v>0.0214</v>
      </c>
    </row>
    <row r="19" ht="31.5" customHeight="1" s="175">
      <c r="B19" s="198" t="inlineStr">
        <is>
          <t>Авторский надзор - 0,2%</t>
        </is>
      </c>
      <c r="C19" s="198" t="inlineStr">
        <is>
          <t>Приказ от 4.08.2020 № 421/пр п.173</t>
        </is>
      </c>
      <c r="D19" s="124" t="n">
        <v>0.002</v>
      </c>
    </row>
    <row r="20" ht="24" customHeight="1" s="175">
      <c r="B20" s="198" t="inlineStr">
        <is>
          <t>Непредвиденные расходы</t>
        </is>
      </c>
      <c r="C20" s="198" t="inlineStr">
        <is>
          <t>Приказ от 4.08.2020 № 421/пр п.179</t>
        </is>
      </c>
      <c r="D20" s="124" t="n">
        <v>0.03</v>
      </c>
    </row>
    <row r="21" ht="18.75" customHeight="1" s="175">
      <c r="B21" s="125" t="n"/>
    </row>
    <row r="22" ht="18.75" customHeight="1" s="175">
      <c r="B22" s="125" t="n"/>
    </row>
    <row r="23" ht="18.75" customHeight="1" s="175">
      <c r="B23" s="125" t="n"/>
    </row>
    <row r="24" ht="18.75" customHeight="1" s="175">
      <c r="B24" s="125" t="n"/>
    </row>
    <row r="27">
      <c r="B27" s="163" t="inlineStr">
        <is>
          <t>Составил ______________________        Р.Р. Шагеева</t>
        </is>
      </c>
      <c r="C27" s="173" t="n"/>
    </row>
    <row r="28">
      <c r="B28" s="172" t="inlineStr">
        <is>
          <t xml:space="preserve">                         (подпись, инициалы, фамилия)</t>
        </is>
      </c>
      <c r="C28" s="173" t="n"/>
    </row>
    <row r="29">
      <c r="B29" s="163" t="n"/>
      <c r="C29" s="173" t="n"/>
    </row>
    <row r="30">
      <c r="B30" s="163" t="inlineStr">
        <is>
          <t>Проверил ______________________        А.В. Костянецкая</t>
        </is>
      </c>
      <c r="C30" s="173" t="n"/>
    </row>
    <row r="31">
      <c r="B31" s="172" t="inlineStr">
        <is>
          <t xml:space="preserve">                        (подпись, инициалы, фамилия)</t>
        </is>
      </c>
      <c r="C31" s="1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N13" sqref="N13"/>
    </sheetView>
  </sheetViews>
  <sheetFormatPr baseColWidth="8" defaultColWidth="9.140625" defaultRowHeight="15"/>
  <cols>
    <col width="44.85546875" customWidth="1" style="175" min="2" max="2"/>
    <col width="13" customWidth="1" style="175" min="3" max="3"/>
    <col width="22.85546875" customWidth="1" style="175" min="4" max="4"/>
    <col width="21.5703125" customWidth="1" style="175" min="5" max="5"/>
    <col width="43.85546875" customWidth="1" style="175" min="6" max="6"/>
  </cols>
  <sheetData>
    <row r="1" s="175"/>
    <row r="2" ht="17.25" customHeight="1" s="175">
      <c r="A2" s="195" t="inlineStr">
        <is>
          <t>Расчет размера средств на оплату труда рабочих-строителей в текущем уровне цен (ФОТр.тек.)</t>
        </is>
      </c>
    </row>
    <row r="3" s="175"/>
    <row r="4" ht="18" customHeight="1" s="175">
      <c r="A4" s="176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75" customHeight="1" s="175">
      <c r="A5" s="181" t="inlineStr">
        <is>
          <t>№ пп.</t>
        </is>
      </c>
      <c r="B5" s="181" t="inlineStr">
        <is>
          <t>Наименование элемента</t>
        </is>
      </c>
      <c r="C5" s="181" t="inlineStr">
        <is>
          <t>Обозначение</t>
        </is>
      </c>
      <c r="D5" s="181" t="inlineStr">
        <is>
          <t>Формула</t>
        </is>
      </c>
      <c r="E5" s="181" t="inlineStr">
        <is>
          <t>Величина элемента</t>
        </is>
      </c>
      <c r="F5" s="181" t="inlineStr">
        <is>
          <t>Наименования обосновывающих документов</t>
        </is>
      </c>
      <c r="G5" s="177" t="n"/>
    </row>
    <row r="6" ht="15.75" customHeight="1" s="175">
      <c r="A6" s="181" t="n">
        <v>1</v>
      </c>
      <c r="B6" s="181" t="n">
        <v>2</v>
      </c>
      <c r="C6" s="181" t="n">
        <v>3</v>
      </c>
      <c r="D6" s="181" t="n">
        <v>4</v>
      </c>
      <c r="E6" s="181" t="n">
        <v>5</v>
      </c>
      <c r="F6" s="181" t="n">
        <v>6</v>
      </c>
      <c r="G6" s="177" t="n"/>
    </row>
    <row r="7" ht="110.25" customHeight="1" s="175">
      <c r="A7" s="182" t="inlineStr">
        <is>
          <t>1.1</t>
        </is>
      </c>
      <c r="B7" s="18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4" t="inlineStr">
        <is>
          <t>С1ср</t>
        </is>
      </c>
      <c r="D7" s="184" t="inlineStr">
        <is>
          <t>-</t>
        </is>
      </c>
      <c r="E7" s="185" t="n">
        <v>47872.94</v>
      </c>
      <c r="F7" s="18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5" customHeight="1" s="175">
      <c r="A8" s="182" t="inlineStr">
        <is>
          <t>1.2</t>
        </is>
      </c>
      <c r="B8" s="183" t="inlineStr">
        <is>
          <t>Среднегодовое нормативное число часов работы одного рабочего в месяц, часы (ч.)</t>
        </is>
      </c>
      <c r="C8" s="184" t="inlineStr">
        <is>
          <t>tср</t>
        </is>
      </c>
      <c r="D8" s="184" t="inlineStr">
        <is>
          <t>1973ч/12мес.</t>
        </is>
      </c>
      <c r="E8" s="186">
        <f>1973/12</f>
        <v/>
      </c>
      <c r="F8" s="183" t="inlineStr">
        <is>
          <t>Производственный календарь 2023 год
(40-часов.неделя)</t>
        </is>
      </c>
      <c r="G8" s="179" t="n"/>
    </row>
    <row r="9" ht="15.75" customHeight="1" s="175">
      <c r="A9" s="182" t="inlineStr">
        <is>
          <t>1.3</t>
        </is>
      </c>
      <c r="B9" s="183" t="inlineStr">
        <is>
          <t>Коэффициент увеличения</t>
        </is>
      </c>
      <c r="C9" s="184" t="inlineStr">
        <is>
          <t>Кув</t>
        </is>
      </c>
      <c r="D9" s="184" t="inlineStr">
        <is>
          <t>-</t>
        </is>
      </c>
      <c r="E9" s="186" t="n">
        <v>1</v>
      </c>
      <c r="F9" s="183" t="n"/>
      <c r="G9" s="179" t="n"/>
    </row>
    <row r="10" ht="15.75" customHeight="1" s="175">
      <c r="A10" s="182" t="inlineStr">
        <is>
          <t>1.4</t>
        </is>
      </c>
      <c r="B10" s="183" t="inlineStr">
        <is>
          <t>Средний разряд работ</t>
        </is>
      </c>
      <c r="C10" s="184" t="n"/>
      <c r="D10" s="184" t="n"/>
      <c r="E10" s="245" t="n">
        <v>3.5</v>
      </c>
      <c r="F10" s="183" t="inlineStr">
        <is>
          <t>РТМ</t>
        </is>
      </c>
      <c r="G10" s="179" t="n"/>
    </row>
    <row r="11" ht="78.75" customHeight="1" s="175">
      <c r="A11" s="182" t="inlineStr">
        <is>
          <t>1.5</t>
        </is>
      </c>
      <c r="B11" s="183" t="inlineStr">
        <is>
          <t>Тарифный коэффициент среднего разряда работ</t>
        </is>
      </c>
      <c r="C11" s="184" t="inlineStr">
        <is>
          <t>КТ</t>
        </is>
      </c>
      <c r="D11" s="184" t="inlineStr">
        <is>
          <t>-</t>
        </is>
      </c>
      <c r="E11" s="246" t="n">
        <v>1.263</v>
      </c>
      <c r="F11" s="18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.75" customHeight="1" s="175">
      <c r="A12" s="182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184" t="inlineStr">
        <is>
          <t>Кинф</t>
        </is>
      </c>
      <c r="D12" s="184" t="inlineStr">
        <is>
          <t>-</t>
        </is>
      </c>
      <c r="E12" s="247" t="n">
        <v>1.139</v>
      </c>
      <c r="F12" s="19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9" t="n"/>
    </row>
    <row r="13" ht="63" customHeight="1" s="175">
      <c r="A13" s="182" t="inlineStr">
        <is>
          <t>1.7</t>
        </is>
      </c>
      <c r="B13" s="192" t="inlineStr">
        <is>
          <t>Размер средств на оплату труда рабочих-строителей в текущем уровне цен (ФОТр.тек.), руб/чел.-ч</t>
        </is>
      </c>
      <c r="C13" s="184" t="inlineStr">
        <is>
          <t>ФОТр.тек.</t>
        </is>
      </c>
      <c r="D13" s="184" t="inlineStr">
        <is>
          <t>(С1ср/tср*КТ*Т*Кув)*Кинф</t>
        </is>
      </c>
      <c r="E13" s="193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2023-05-17T16:22:43Z</dcterms:created>
  <dcterms:modified xsi:type="dcterms:W3CDTF">2025-01-24T12:02:29Z</dcterms:modified>
  <cp:lastModifiedBy>User1</cp:lastModifiedBy>
  <cp:lastPrinted>2023-12-19T11:35:41Z</cp:lastPrinted>
</cp:coreProperties>
</file>