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85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_xlnm.Print_Titles" localSheetId="2">'Прил. 3'!$7:$9</definedName>
    <definedName name="_xlnm.Print_Area" localSheetId="2">'Прил. 3'!$A$1:$H$39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10'!$A$1:$D$27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000"/>
    <numFmt numFmtId="166" formatCode="_-* #,##0.00\ _₽_-;\-* #,##0.00\ _₽_-;_-* &quot;-&quot;??\ _₽_-;_-@_-"/>
    <numFmt numFmtId="167" formatCode="0.000"/>
    <numFmt numFmtId="168" formatCode="#,##0.0"/>
    <numFmt numFmtId="169" formatCode="#,##0.000"/>
  </numFmts>
  <fonts count="15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1"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justify" vertical="center" wrapText="1"/>
    </xf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3" fontId="0" fillId="0" borderId="0" pivotButton="0" quotePrefix="0" xfId="0"/>
    <xf numFmtId="4" fontId="4" fillId="0" borderId="1" applyAlignment="1" pivotButton="0" quotePrefix="0" xfId="0">
      <alignment vertical="top"/>
    </xf>
    <xf numFmtId="0" fontId="4" fillId="0" borderId="0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0" fontId="1" fillId="0" borderId="1" pivotButton="0" quotePrefix="0" xfId="0"/>
    <xf numFmtId="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wrapText="1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5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4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5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9" fontId="2" fillId="0" borderId="6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center" vertical="center" wrapText="1"/>
    </xf>
    <xf numFmtId="164" fontId="2" fillId="0" borderId="6" applyAlignment="1" pivotButton="0" quotePrefix="0" xfId="0">
      <alignment horizontal="center" vertical="center" wrapText="1"/>
    </xf>
    <xf numFmtId="4" fontId="2" fillId="0" borderId="6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3" fontId="2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5" fillId="0" borderId="0" pivotButton="0" quotePrefix="0" xfId="0"/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10" applyAlignment="1" pivotButton="0" quotePrefix="0" xfId="0">
      <alignment horizontal="center" vertical="center"/>
    </xf>
    <xf numFmtId="0" fontId="4" fillId="0" borderId="10" applyAlignment="1" pivotButton="0" quotePrefix="0" xfId="0">
      <alignment vertical="center" wrapText="1"/>
    </xf>
    <xf numFmtId="0" fontId="1" fillId="0" borderId="10" applyAlignment="1" pivotButton="0" quotePrefix="0" xfId="0">
      <alignment horizontal="center" vertical="center" wrapText="1"/>
    </xf>
    <xf numFmtId="4" fontId="4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2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4" fontId="2" fillId="0" borderId="6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zoomScale="55" zoomScaleNormal="55" workbookViewId="0">
      <selection activeCell="E16" sqref="E16"/>
    </sheetView>
  </sheetViews>
  <sheetFormatPr baseColWidth="8" defaultColWidth="9.109375" defaultRowHeight="15.6"/>
  <cols>
    <col width="9.109375" customWidth="1" style="167" min="1" max="2"/>
    <col width="36.88671875" customWidth="1" style="167" min="3" max="3"/>
    <col width="36.5546875" customWidth="1" style="167" min="4" max="6"/>
    <col width="37.44140625" customWidth="1" style="167" min="7" max="7"/>
    <col width="9.109375" customWidth="1" style="167" min="8" max="8"/>
  </cols>
  <sheetData>
    <row r="3">
      <c r="B3" s="189" t="inlineStr">
        <is>
          <t>Приложение № 1</t>
        </is>
      </c>
      <c r="F3" s="22" t="n"/>
    </row>
    <row r="4">
      <c r="B4" s="190" t="inlineStr">
        <is>
          <t>Сравнительная таблица отбора объекта-представителя</t>
        </is>
      </c>
    </row>
    <row r="5">
      <c r="B5" s="7" t="n"/>
      <c r="C5" s="7" t="n"/>
      <c r="D5" s="7" t="n"/>
      <c r="E5" s="7" t="n"/>
      <c r="F5" s="7" t="n"/>
    </row>
    <row r="6">
      <c r="B6" s="7" t="n"/>
      <c r="C6" s="7" t="n"/>
      <c r="D6" s="7" t="n"/>
      <c r="E6" s="7" t="n"/>
      <c r="F6" s="7" t="n"/>
    </row>
    <row r="7">
      <c r="B7" s="191" t="inlineStr">
        <is>
          <t>Наименование разрабатываемого показателя УНЦ —   Устройство порталов и ошиновки ОРУ 220 кВ</t>
        </is>
      </c>
      <c r="G7" s="20" t="n"/>
    </row>
    <row r="8" ht="31.5" customHeight="1" s="165">
      <c r="B8" s="191" t="inlineStr">
        <is>
          <t>Сопоставимый уровень цен: 4 кв. 2018</t>
        </is>
      </c>
    </row>
    <row r="9">
      <c r="B9" s="191" t="inlineStr">
        <is>
          <t>Единица измерения  — 1 ед</t>
        </is>
      </c>
      <c r="G9" s="20" t="n"/>
    </row>
    <row r="10">
      <c r="B10" s="191" t="n"/>
    </row>
    <row r="11">
      <c r="B11" s="193" t="inlineStr">
        <is>
          <t>№ п/п</t>
        </is>
      </c>
      <c r="C11" s="193" t="inlineStr">
        <is>
          <t>Параметр</t>
        </is>
      </c>
      <c r="D11" s="179" t="inlineStr">
        <is>
          <t>Объект-представитель 1</t>
        </is>
      </c>
      <c r="E11" s="179" t="inlineStr">
        <is>
          <t>Объект-представитель 2</t>
        </is>
      </c>
      <c r="F11" s="179" t="inlineStr">
        <is>
          <t>Объект-представитель 3</t>
        </is>
      </c>
      <c r="G11" s="20" t="n"/>
    </row>
    <row r="12" ht="62.4" customHeight="1" s="165">
      <c r="B12" s="193" t="n">
        <v>1</v>
      </c>
      <c r="C12" s="179" t="inlineStr">
        <is>
          <t>Наименование объекта-представителя</t>
        </is>
      </c>
      <c r="D12" s="179" t="inlineStr">
        <is>
          <t>Строительство ПС 220/10 кВ КС-1 с питающими
ВЛ 220 кВ, Республика Саха (Якутия)</t>
        </is>
      </c>
      <c r="E12" s="179" t="inlineStr">
        <is>
          <t>«Комплексная реконструкция подстанции
Тёя 220/6 кВ». Корректировка</t>
        </is>
      </c>
      <c r="F12" s="179" t="n"/>
    </row>
    <row r="13" ht="31.5" customHeight="1" s="165">
      <c r="B13" s="193" t="n">
        <v>2</v>
      </c>
      <c r="C13" s="179" t="inlineStr">
        <is>
          <t>Наименование субъекта Российской Федерации</t>
        </is>
      </c>
      <c r="D13" s="179" t="inlineStr">
        <is>
          <t>Республика Саха</t>
        </is>
      </c>
      <c r="E13" s="179" t="inlineStr">
        <is>
          <t xml:space="preserve">Республика Хакасия </t>
        </is>
      </c>
      <c r="F13" s="179" t="n"/>
    </row>
    <row r="14">
      <c r="B14" s="193" t="n">
        <v>3</v>
      </c>
      <c r="C14" s="179" t="inlineStr">
        <is>
          <t>Климатический район и подрайон</t>
        </is>
      </c>
      <c r="D14" s="179" t="inlineStr">
        <is>
          <t>IД</t>
        </is>
      </c>
      <c r="E14" s="179" t="inlineStr">
        <is>
          <t>IД</t>
        </is>
      </c>
      <c r="F14" s="179" t="n"/>
    </row>
    <row r="15">
      <c r="B15" s="193" t="n">
        <v>4</v>
      </c>
      <c r="C15" s="179" t="inlineStr">
        <is>
          <t>Мощность объекта</t>
        </is>
      </c>
      <c r="D15" s="179" t="inlineStr">
        <is>
          <t>2 шт</t>
        </is>
      </c>
      <c r="E15" s="179" t="inlineStr">
        <is>
          <t>9 шт</t>
        </is>
      </c>
      <c r="F15" s="179" t="n"/>
    </row>
    <row r="16" ht="93.59999999999999" customHeight="1" s="165">
      <c r="B16" s="193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ПС-220Я1
Составной фундамент</t>
        </is>
      </c>
      <c r="E16" s="179" t="inlineStr">
        <is>
          <t>ПС-220Ш1
ПС-220Я1
ПС-220Я2
Монолитный фундамент
Составной фундамент</t>
        </is>
      </c>
      <c r="F16" s="179" t="n"/>
    </row>
    <row r="17" ht="78.75" customHeight="1" s="165">
      <c r="B17" s="193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1">
        <f>D18+D19+D20+D21</f>
        <v/>
      </c>
      <c r="E17" s="132">
        <f>E18+E19+E20+E21</f>
        <v/>
      </c>
      <c r="F17" s="193" t="n"/>
      <c r="G17" s="37" t="n"/>
    </row>
    <row r="18">
      <c r="B18" s="5" t="inlineStr">
        <is>
          <t>6.1</t>
        </is>
      </c>
      <c r="C18" s="179" t="inlineStr">
        <is>
          <t>строительно-монтажные работы</t>
        </is>
      </c>
      <c r="D18" s="131">
        <f>288.365*12.15</f>
        <v/>
      </c>
      <c r="E18" s="132">
        <f>1528.998*8.01</f>
        <v/>
      </c>
      <c r="F18" s="193" t="n"/>
    </row>
    <row r="19" ht="15.75" customHeight="1" s="165">
      <c r="B19" s="5" t="inlineStr">
        <is>
          <t>6.2</t>
        </is>
      </c>
      <c r="C19" s="179" t="inlineStr">
        <is>
          <t>оборудование и инвентарь</t>
        </is>
      </c>
      <c r="D19" s="179" t="n"/>
      <c r="E19" s="179" t="n"/>
      <c r="F19" s="179" t="n"/>
    </row>
    <row r="20" ht="16.5" customHeight="1" s="165">
      <c r="B20" s="5" t="inlineStr">
        <is>
          <t>6.3</t>
        </is>
      </c>
      <c r="C20" s="179" t="inlineStr">
        <is>
          <t>пусконаладочные работы</t>
        </is>
      </c>
      <c r="D20" s="179" t="n"/>
      <c r="E20" s="179" t="n"/>
      <c r="F20" s="179" t="n"/>
    </row>
    <row r="21" ht="35.25" customHeight="1" s="165">
      <c r="B21" s="5" t="inlineStr">
        <is>
          <t>6.4</t>
        </is>
      </c>
      <c r="C21" s="17" t="inlineStr">
        <is>
          <t>прочие и лимитированные затраты</t>
        </is>
      </c>
      <c r="D21" s="131">
        <f>D18*3.9%+ (D18+D18*3.9%)*7%</f>
        <v/>
      </c>
      <c r="E21" s="146">
        <f>E18*3.9%*0.8+ (E18+E18*3.9%*0.8)*0.9*4.3%</f>
        <v/>
      </c>
      <c r="F21" s="179" t="n"/>
    </row>
    <row r="22">
      <c r="B22" s="193" t="n">
        <v>7</v>
      </c>
      <c r="C22" s="17" t="inlineStr">
        <is>
          <t>Сопоставимый уровень цен</t>
        </is>
      </c>
      <c r="D22" s="193" t="inlineStr">
        <is>
          <t>4 кв 2018</t>
        </is>
      </c>
      <c r="E22" s="193" t="inlineStr">
        <is>
          <t>4 кв 2018</t>
        </is>
      </c>
      <c r="F22" s="193" t="n"/>
      <c r="G22" s="37" t="n"/>
    </row>
    <row r="23" ht="123" customHeight="1" s="165">
      <c r="B23" s="193" t="n">
        <v>8</v>
      </c>
      <c r="C23" s="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1">
        <f>D17/12.15*8.09</f>
        <v/>
      </c>
      <c r="E23" s="132">
        <f>12247.27/8.01*8.09</f>
        <v/>
      </c>
      <c r="F23" s="132" t="n"/>
    </row>
    <row r="24" ht="60.75" customHeight="1" s="165">
      <c r="B24" s="193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31">
        <f>D23/2</f>
        <v/>
      </c>
      <c r="E24" s="131">
        <f>E23/9</f>
        <v/>
      </c>
      <c r="F24" s="131" t="n"/>
      <c r="G24" s="37" t="n"/>
    </row>
    <row r="25" ht="140.4" customHeight="1" s="165">
      <c r="B25" s="193" t="n">
        <v>10</v>
      </c>
      <c r="C25" s="179" t="inlineStr">
        <is>
          <t>Примечание</t>
        </is>
      </c>
      <c r="D25" s="179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Исключены затраты на корректровку по транспортировке  свыше 30 км.
 Рекомендуемая расчетная единица  УНЦ - 1 ед.</t>
        </is>
      </c>
      <c r="E25" s="179" t="n"/>
      <c r="F25" s="179" t="n"/>
    </row>
    <row r="26">
      <c r="B26" s="16" t="n"/>
      <c r="C26" s="15" t="n"/>
      <c r="D26" s="15" t="n"/>
      <c r="E26" s="15" t="n"/>
      <c r="F26" s="15" t="n"/>
    </row>
    <row r="27" ht="37.5" customHeight="1" s="165">
      <c r="B27" s="22" t="n"/>
    </row>
    <row r="28">
      <c r="B28" s="167" t="inlineStr">
        <is>
          <t>Составил ______________________        Р.Р. Шагеева</t>
        </is>
      </c>
      <c r="C28" s="167" t="n"/>
    </row>
    <row r="29">
      <c r="B29" s="22" t="inlineStr">
        <is>
          <t xml:space="preserve">                         (подпись, инициалы, фамилия)</t>
        </is>
      </c>
      <c r="C29" s="167" t="n"/>
    </row>
    <row r="30">
      <c r="B30" s="167" t="n"/>
      <c r="C30" s="167" t="n"/>
    </row>
    <row r="31">
      <c r="B31" s="167" t="inlineStr">
        <is>
          <t>Проверил ______________________        А.В. Костянецкая</t>
        </is>
      </c>
      <c r="C31" s="167" t="n"/>
    </row>
    <row r="32">
      <c r="B32" s="22" t="inlineStr">
        <is>
          <t xml:space="preserve">                        (подпись, инициалы, фамилия)</t>
        </is>
      </c>
      <c r="C32" s="167" t="n"/>
    </row>
  </sheetData>
  <mergeCells count="5">
    <mergeCell ref="B4:F4"/>
    <mergeCell ref="B7:F7"/>
    <mergeCell ref="B3:E3"/>
    <mergeCell ref="B8:F8"/>
    <mergeCell ref="B9:F9"/>
  </mergeCells>
  <pageMargins left="0.7" right="0.7" top="0.75" bottom="0.75" header="0.3" footer="0.3"/>
  <pageSetup orientation="portrait" paperSize="9" scale="6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33"/>
  <sheetViews>
    <sheetView view="pageBreakPreview" zoomScale="55" zoomScaleNormal="70" workbookViewId="0">
      <selection activeCell="O21" sqref="O21"/>
    </sheetView>
  </sheetViews>
  <sheetFormatPr baseColWidth="8" defaultColWidth="9.109375" defaultRowHeight="15.6"/>
  <cols>
    <col width="5.5546875" customWidth="1" style="167" min="1" max="1"/>
    <col width="9.109375" customWidth="1" style="167" min="2" max="2"/>
    <col width="35.33203125" customWidth="1" style="167" min="3" max="3"/>
    <col width="13.88671875" customWidth="1" style="167" min="4" max="4"/>
    <col width="24.88671875" customWidth="1" style="167" min="5" max="5"/>
    <col width="19.5546875" customWidth="1" style="167" min="6" max="6"/>
    <col width="14.88671875" customWidth="1" style="167" min="7" max="7"/>
    <col width="16.6640625" customWidth="1" style="167" min="8" max="8"/>
    <col width="13" customWidth="1" style="167" min="9" max="10"/>
    <col width="18" customWidth="1" style="167" min="11" max="11"/>
    <col width="9.109375" customWidth="1" style="167" min="12" max="12"/>
  </cols>
  <sheetData>
    <row r="3">
      <c r="B3" s="189" t="inlineStr">
        <is>
          <t>Приложение № 2</t>
        </is>
      </c>
      <c r="K3" s="22" t="n"/>
    </row>
    <row r="4">
      <c r="B4" s="190" t="inlineStr">
        <is>
          <t>Расчет стоимости основных видов работ для выбора объекта-представителя</t>
        </is>
      </c>
    </row>
    <row r="5"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</row>
    <row r="6" ht="15.75" customHeight="1" s="165">
      <c r="B6" s="192" t="inlineStr">
        <is>
          <t>Наименование разрабатываемого показателя УНЦ —   Устройство порталов и ошиновки ОРУ 220 кВ</t>
        </is>
      </c>
      <c r="K6" s="22" t="n"/>
      <c r="L6" s="20" t="n"/>
    </row>
    <row r="7">
      <c r="B7" s="191" t="inlineStr">
        <is>
          <t>Единица измерения  — 1 ед.</t>
        </is>
      </c>
      <c r="L7" s="20" t="n"/>
    </row>
    <row r="8">
      <c r="B8" s="191" t="n"/>
    </row>
    <row r="9">
      <c r="B9" s="193" t="inlineStr">
        <is>
          <t>№ п/п</t>
        </is>
      </c>
      <c r="C9" s="1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3" t="inlineStr">
        <is>
          <t>Объект-представитель 1*</t>
        </is>
      </c>
      <c r="E9" s="229" t="n"/>
      <c r="F9" s="229" t="n"/>
      <c r="G9" s="229" t="n"/>
      <c r="H9" s="229" t="n"/>
      <c r="I9" s="229" t="n"/>
      <c r="J9" s="230" t="n"/>
    </row>
    <row r="10">
      <c r="B10" s="231" t="n"/>
      <c r="C10" s="231" t="n"/>
      <c r="D10" s="193" t="inlineStr">
        <is>
          <t>Номер сметы</t>
        </is>
      </c>
      <c r="E10" s="193" t="inlineStr">
        <is>
          <t>Наименование сметы</t>
        </is>
      </c>
      <c r="F10" s="193" t="inlineStr">
        <is>
          <t>Сметная стоимость в уровне цен 4 кв. 2017 г., тыс. руб.</t>
        </is>
      </c>
      <c r="G10" s="229" t="n"/>
      <c r="H10" s="229" t="n"/>
      <c r="I10" s="229" t="n"/>
      <c r="J10" s="230" t="n"/>
    </row>
    <row r="11" ht="31.5" customHeight="1" s="165">
      <c r="B11" s="232" t="n"/>
      <c r="C11" s="232" t="n"/>
      <c r="D11" s="232" t="n"/>
      <c r="E11" s="232" t="n"/>
      <c r="F11" s="193" t="inlineStr">
        <is>
          <t>Строительные работы</t>
        </is>
      </c>
      <c r="G11" s="193" t="inlineStr">
        <is>
          <t>Монтажные работы</t>
        </is>
      </c>
      <c r="H11" s="193" t="inlineStr">
        <is>
          <t>Оборудование</t>
        </is>
      </c>
      <c r="I11" s="193" t="inlineStr">
        <is>
          <t>Прочее</t>
        </is>
      </c>
      <c r="J11" s="193" t="inlineStr">
        <is>
          <t>Всего</t>
        </is>
      </c>
    </row>
    <row r="12" ht="63" customHeight="1" s="165">
      <c r="B12" s="193" t="n"/>
      <c r="C12" s="179" t="inlineStr">
        <is>
          <t>ПС-220Я1</t>
        </is>
      </c>
      <c r="D12" s="43" t="inlineStr">
        <is>
          <t>02-06-01</t>
        </is>
      </c>
      <c r="E12" s="179" t="inlineStr">
        <is>
          <t>ОРУ Фундаменты строительные решения</t>
        </is>
      </c>
      <c r="F12" s="130">
        <f>239.963*12.15</f>
        <v/>
      </c>
      <c r="G12" s="193" t="n"/>
      <c r="H12" s="193" t="n"/>
      <c r="I12" s="193" t="n"/>
      <c r="J12" s="130">
        <f>SUM(F12:I12)</f>
        <v/>
      </c>
    </row>
    <row r="13" ht="66" customHeight="1" s="165">
      <c r="B13" s="32" t="n"/>
      <c r="C13" s="179" t="inlineStr">
        <is>
          <t>составной фундамент</t>
        </is>
      </c>
      <c r="D13" s="42" t="inlineStr">
        <is>
          <t>02-06-01</t>
        </is>
      </c>
      <c r="E13" s="179" t="inlineStr">
        <is>
          <t>ОРУ Фундаменты строительные решения</t>
        </is>
      </c>
      <c r="F13" s="40">
        <f>48.402*12.15</f>
        <v/>
      </c>
      <c r="G13" s="40" t="n"/>
      <c r="H13" s="40" t="n"/>
      <c r="I13" s="40" t="n"/>
      <c r="J13" s="130">
        <f>SUM(F13:I13)</f>
        <v/>
      </c>
    </row>
    <row r="14">
      <c r="B14" s="194" t="inlineStr">
        <is>
          <t>Всего по объекту:</t>
        </is>
      </c>
      <c r="C14" s="229" t="n"/>
      <c r="D14" s="229" t="n"/>
      <c r="E14" s="230" t="n"/>
      <c r="F14" s="233">
        <f>F13+F12</f>
        <v/>
      </c>
      <c r="G14" s="24" t="n"/>
      <c r="H14" s="24" t="n"/>
      <c r="I14" s="24" t="n"/>
      <c r="J14" s="179">
        <f>SUM(F14:I14)</f>
        <v/>
      </c>
    </row>
    <row r="15" ht="28.5" customHeight="1" s="165">
      <c r="B15" s="194" t="inlineStr">
        <is>
          <t>Всего по объекту в сопоставимом уровне цен 4 кв. 2017г:</t>
        </is>
      </c>
      <c r="C15" s="229" t="n"/>
      <c r="D15" s="229" t="n"/>
      <c r="E15" s="230" t="n"/>
      <c r="F15" s="233">
        <f>F14</f>
        <v/>
      </c>
      <c r="G15" s="24" t="n"/>
      <c r="H15" s="24" t="n"/>
      <c r="I15" s="24" t="n"/>
      <c r="J15" s="179">
        <f>SUM(F15:I15)</f>
        <v/>
      </c>
    </row>
    <row r="16">
      <c r="B16" s="191" t="n"/>
    </row>
    <row r="17" ht="15.75" customHeight="1" s="165">
      <c r="B17" s="193" t="inlineStr">
        <is>
          <t>№ п/п</t>
        </is>
      </c>
      <c r="C17" s="1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93" t="inlineStr">
        <is>
          <t>Объект-представитель 2</t>
        </is>
      </c>
      <c r="E17" s="229" t="n"/>
      <c r="F17" s="229" t="n"/>
      <c r="G17" s="229" t="n"/>
      <c r="H17" s="229" t="n"/>
      <c r="I17" s="229" t="n"/>
      <c r="J17" s="230" t="n"/>
    </row>
    <row r="18" ht="15.75" customHeight="1" s="165">
      <c r="B18" s="231" t="n"/>
      <c r="C18" s="231" t="n"/>
      <c r="D18" s="193" t="inlineStr">
        <is>
          <t>Номер сметы</t>
        </is>
      </c>
      <c r="E18" s="193" t="inlineStr">
        <is>
          <t>Наименование сметы</t>
        </is>
      </c>
      <c r="F18" s="193" t="inlineStr">
        <is>
          <t>Сметная стоимость в уровне цен 4 кв.2018 г., тыс. руб.</t>
        </is>
      </c>
      <c r="G18" s="229" t="n"/>
      <c r="H18" s="229" t="n"/>
      <c r="I18" s="229" t="n"/>
      <c r="J18" s="230" t="n"/>
    </row>
    <row r="19" ht="31.5" customHeight="1" s="165">
      <c r="B19" s="232" t="n"/>
      <c r="C19" s="232" t="n"/>
      <c r="D19" s="232" t="n"/>
      <c r="E19" s="232" t="n"/>
      <c r="F19" s="193" t="inlineStr">
        <is>
          <t>Строительные работы</t>
        </is>
      </c>
      <c r="G19" s="193" t="inlineStr">
        <is>
          <t>Монтажные работы</t>
        </is>
      </c>
      <c r="H19" s="193" t="inlineStr">
        <is>
          <t>Оборудование</t>
        </is>
      </c>
      <c r="I19" s="193" t="inlineStr">
        <is>
          <t>Прочее</t>
        </is>
      </c>
      <c r="J19" s="193" t="inlineStr">
        <is>
          <t>Всего</t>
        </is>
      </c>
    </row>
    <row r="20" ht="66" customHeight="1" s="165">
      <c r="B20" s="179" t="n"/>
      <c r="C20" s="179" t="inlineStr">
        <is>
          <t>ПС-220Ш1
ПС-220Я1
ПС-220Я2</t>
        </is>
      </c>
      <c r="D20" s="43" t="inlineStr">
        <is>
          <t>02-01-02</t>
        </is>
      </c>
      <c r="E20" s="179" t="inlineStr">
        <is>
          <t>Порталы</t>
        </is>
      </c>
      <c r="F20" s="130">
        <f>(271.549+455.998+243.694)*8.01</f>
        <v/>
      </c>
      <c r="G20" s="179" t="n"/>
      <c r="H20" s="179" t="n"/>
      <c r="I20" s="179" t="n"/>
      <c r="J20" s="130">
        <f>SUM(F20:I20)</f>
        <v/>
      </c>
    </row>
    <row r="21" ht="66" customHeight="1" s="165">
      <c r="B21" s="179" t="n"/>
      <c r="C21" s="179" t="inlineStr">
        <is>
          <t>Монолитный фундамент
Составной фундамент</t>
        </is>
      </c>
      <c r="D21" s="42" t="inlineStr">
        <is>
          <t>02-01-02</t>
        </is>
      </c>
      <c r="E21" s="179" t="inlineStr">
        <is>
          <t>Порталы</t>
        </is>
      </c>
      <c r="F21" s="40">
        <f>(473.53+84.227)*8.01</f>
        <v/>
      </c>
      <c r="G21" s="179" t="n"/>
      <c r="H21" s="179" t="n"/>
      <c r="I21" s="179" t="n"/>
      <c r="J21" s="130">
        <f>SUM(F21:I21)</f>
        <v/>
      </c>
    </row>
    <row r="22" ht="15.75" customHeight="1" s="165">
      <c r="B22" s="194" t="inlineStr">
        <is>
          <t>Всего по объекту:</t>
        </is>
      </c>
      <c r="C22" s="229" t="n"/>
      <c r="D22" s="229" t="n"/>
      <c r="E22" s="230" t="n"/>
      <c r="F22" s="33">
        <f>F20+F21</f>
        <v/>
      </c>
      <c r="G22" s="24" t="n"/>
      <c r="H22" s="24" t="n"/>
      <c r="I22" s="24" t="n"/>
      <c r="J22" s="179">
        <f>SUM(F22:I22)</f>
        <v/>
      </c>
    </row>
    <row r="23" ht="28.5" customHeight="1" s="165">
      <c r="B23" s="194" t="inlineStr">
        <is>
          <t>Всего по объекту в сопоставимом уровне цен 4 кв. 2018 г.:</t>
        </is>
      </c>
      <c r="C23" s="229" t="n"/>
      <c r="D23" s="229" t="n"/>
      <c r="E23" s="230" t="n"/>
      <c r="F23" s="33">
        <f>F22</f>
        <v/>
      </c>
      <c r="G23" s="24" t="n"/>
      <c r="H23" s="24" t="n"/>
      <c r="I23" s="24" t="n"/>
      <c r="J23" s="179">
        <f>SUM(F23:I23)</f>
        <v/>
      </c>
    </row>
    <row r="26">
      <c r="B26" s="207" t="inlineStr">
        <is>
          <t>*</t>
        </is>
      </c>
      <c r="C26" s="167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167" t="inlineStr">
        <is>
          <t>Составил ______________________        Р.Р. Шагеева</t>
        </is>
      </c>
      <c r="C29" s="167" t="n"/>
    </row>
    <row r="30">
      <c r="B30" s="22" t="inlineStr">
        <is>
          <t xml:space="preserve">                         (подпись, инициалы, фамилия)</t>
        </is>
      </c>
      <c r="C30" s="167" t="n"/>
    </row>
    <row r="31">
      <c r="B31" s="167" t="n"/>
      <c r="C31" s="167" t="n"/>
    </row>
    <row r="32">
      <c r="B32" s="167" t="inlineStr">
        <is>
          <t>Проверил ______________________        А.В. Костянецкая</t>
        </is>
      </c>
      <c r="C32" s="167" t="n"/>
    </row>
    <row r="33">
      <c r="B33" s="22" t="inlineStr">
        <is>
          <t xml:space="preserve">                        (подпись, инициалы, фамилия)</t>
        </is>
      </c>
      <c r="C33" s="167" t="n"/>
    </row>
  </sheetData>
  <mergeCells count="20">
    <mergeCell ref="D9:J9"/>
    <mergeCell ref="F10:J10"/>
    <mergeCell ref="C17:C19"/>
    <mergeCell ref="B15:E15"/>
    <mergeCell ref="E10:E11"/>
    <mergeCell ref="B4:K4"/>
    <mergeCell ref="F18:J18"/>
    <mergeCell ref="B7:K7"/>
    <mergeCell ref="B6:J6"/>
    <mergeCell ref="B22:E22"/>
    <mergeCell ref="D18:D19"/>
    <mergeCell ref="B14:E14"/>
    <mergeCell ref="B23:E23"/>
    <mergeCell ref="B17:B19"/>
    <mergeCell ref="B3:J3"/>
    <mergeCell ref="D10:D11"/>
    <mergeCell ref="D17:J17"/>
    <mergeCell ref="E18:E19"/>
    <mergeCell ref="B9:B11"/>
    <mergeCell ref="C9:C11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J39"/>
  <sheetViews>
    <sheetView view="pageBreakPreview" zoomScale="55" workbookViewId="0">
      <selection activeCell="C34" sqref="C34"/>
    </sheetView>
  </sheetViews>
  <sheetFormatPr baseColWidth="8" defaultColWidth="9.109375" defaultRowHeight="15.6"/>
  <cols>
    <col width="9.109375" customWidth="1" style="167" min="1" max="1"/>
    <col width="12.5546875" customWidth="1" style="167" min="2" max="2"/>
    <col width="22.44140625" customWidth="1" style="167" min="3" max="3"/>
    <col width="49.6640625" customWidth="1" style="167" min="4" max="4"/>
    <col width="10.109375" customWidth="1" style="167" min="5" max="5"/>
    <col width="20.6640625" customWidth="1" style="167" min="6" max="6"/>
    <col width="16.109375" customWidth="1" style="167" min="7" max="7"/>
    <col width="16.6640625" customWidth="1" style="167" min="8" max="8"/>
    <col width="9.109375" customWidth="1" style="167" min="9" max="9"/>
  </cols>
  <sheetData>
    <row r="2">
      <c r="A2" s="189" t="inlineStr">
        <is>
          <t xml:space="preserve">Приложение № 3 </t>
        </is>
      </c>
    </row>
    <row r="3">
      <c r="A3" s="190" t="inlineStr">
        <is>
          <t>Объектная ресурсная ведомость</t>
        </is>
      </c>
    </row>
    <row r="4">
      <c r="A4" s="191" t="n"/>
    </row>
    <row r="5">
      <c r="A5" s="192" t="inlineStr">
        <is>
          <t>Наименование разрабатываемого показателя УНЦ -  Устройство порталов и ошиновки ОРУ 220 кВ</t>
        </is>
      </c>
    </row>
    <row r="6">
      <c r="A6" s="192" t="n"/>
      <c r="B6" s="192" t="n"/>
      <c r="C6" s="192" t="n"/>
      <c r="D6" s="192" t="n"/>
      <c r="E6" s="192" t="n"/>
      <c r="F6" s="192" t="n"/>
      <c r="G6" s="192" t="n"/>
      <c r="H6" s="192" t="n"/>
    </row>
    <row r="7" ht="38.25" customHeight="1" s="165">
      <c r="A7" s="193" t="inlineStr">
        <is>
          <t>п/п</t>
        </is>
      </c>
      <c r="B7" s="193" t="inlineStr">
        <is>
          <t>№ЛСР</t>
        </is>
      </c>
      <c r="C7" s="193" t="inlineStr">
        <is>
          <t>Код ресурса</t>
        </is>
      </c>
      <c r="D7" s="193" t="inlineStr">
        <is>
          <t>Наименование ресурса</t>
        </is>
      </c>
      <c r="E7" s="193" t="inlineStr">
        <is>
          <t>Ед. изм.</t>
        </is>
      </c>
      <c r="F7" s="193" t="inlineStr">
        <is>
          <t>Кол-во единиц по данным объекта-представителя</t>
        </is>
      </c>
      <c r="G7" s="193" t="inlineStr">
        <is>
          <t>Сметная стоимость в ценах на 01.01.2000 (руб.)</t>
        </is>
      </c>
      <c r="H7" s="230" t="n"/>
    </row>
    <row r="8" ht="40.5" customHeight="1" s="165">
      <c r="A8" s="232" t="n"/>
      <c r="B8" s="232" t="n"/>
      <c r="C8" s="232" t="n"/>
      <c r="D8" s="232" t="n"/>
      <c r="E8" s="232" t="n"/>
      <c r="F8" s="232" t="n"/>
      <c r="G8" s="193" t="inlineStr">
        <is>
          <t>на ед.изм.</t>
        </is>
      </c>
      <c r="H8" s="193" t="inlineStr">
        <is>
          <t>общая</t>
        </is>
      </c>
    </row>
    <row r="9">
      <c r="A9" s="8" t="n">
        <v>1</v>
      </c>
      <c r="B9" s="8" t="n"/>
      <c r="C9" s="8" t="n">
        <v>2</v>
      </c>
      <c r="D9" s="8" t="inlineStr">
        <is>
          <t>З</t>
        </is>
      </c>
      <c r="E9" s="8" t="n">
        <v>4</v>
      </c>
      <c r="F9" s="8" t="n">
        <v>5</v>
      </c>
      <c r="G9" s="8" t="n">
        <v>6</v>
      </c>
      <c r="H9" s="8" t="n">
        <v>7</v>
      </c>
    </row>
    <row r="10" customFormat="1" s="27">
      <c r="A10" s="195" t="inlineStr">
        <is>
          <t>Затраты труда рабочих</t>
        </is>
      </c>
      <c r="B10" s="229" t="n"/>
      <c r="C10" s="229" t="n"/>
      <c r="D10" s="229" t="n"/>
      <c r="E10" s="230" t="n"/>
      <c r="F10" s="26" t="n">
        <v>431.307056</v>
      </c>
      <c r="G10" s="26" t="n"/>
      <c r="H10" s="26">
        <f>SUM(H11:H13)</f>
        <v/>
      </c>
    </row>
    <row r="11">
      <c r="A11" s="196" t="n">
        <v>1</v>
      </c>
      <c r="B11" s="44" t="inlineStr">
        <is>
          <t>02-06-01</t>
        </is>
      </c>
      <c r="C11" s="36" t="inlineStr">
        <is>
          <t>1-4-3</t>
        </is>
      </c>
      <c r="D11" s="197" t="inlineStr">
        <is>
          <t>Затраты труда рабочих (ср 4,3)</t>
        </is>
      </c>
      <c r="E11" s="196" t="inlineStr">
        <is>
          <t>чел.-ч</t>
        </is>
      </c>
      <c r="F11" s="196" t="n">
        <v>278.35104</v>
      </c>
      <c r="G11" s="30" t="n">
        <v>10.06</v>
      </c>
      <c r="H11" s="30">
        <f>ROUND(F11*G11,2)</f>
        <v/>
      </c>
      <c r="I11" s="167" t="n">
        <v>4.3</v>
      </c>
      <c r="J11" s="167">
        <f>I11*F11</f>
        <v/>
      </c>
    </row>
    <row r="12">
      <c r="A12" s="196" t="n">
        <v>2</v>
      </c>
      <c r="B12" s="44" t="inlineStr">
        <is>
          <t>02-06-01</t>
        </is>
      </c>
      <c r="C12" s="36" t="inlineStr">
        <is>
          <t>1-4-2</t>
        </is>
      </c>
      <c r="D12" s="197" t="inlineStr">
        <is>
          <t>Затраты труда рабочих (ср 4,2)</t>
        </is>
      </c>
      <c r="E12" s="196" t="inlineStr">
        <is>
          <t>чел.-ч</t>
        </is>
      </c>
      <c r="F12" s="196" t="n">
        <v>151.866096</v>
      </c>
      <c r="G12" s="30" t="n">
        <v>9.92</v>
      </c>
      <c r="H12" s="30">
        <f>ROUND(F12*G12,2)</f>
        <v/>
      </c>
      <c r="I12" s="167" t="n">
        <v>4.2</v>
      </c>
      <c r="J12" s="167">
        <f>I12*F12</f>
        <v/>
      </c>
    </row>
    <row r="13">
      <c r="A13" s="196" t="n">
        <v>3</v>
      </c>
      <c r="B13" s="44" t="inlineStr">
        <is>
          <t>02-06-01</t>
        </is>
      </c>
      <c r="C13" s="36" t="inlineStr">
        <is>
          <t>1-2-0</t>
        </is>
      </c>
      <c r="D13" s="197" t="inlineStr">
        <is>
          <t>Затраты труда рабочих (ср 2,0)</t>
        </is>
      </c>
      <c r="E13" s="196" t="inlineStr">
        <is>
          <t>чел.-ч</t>
        </is>
      </c>
      <c r="F13" s="196" t="n">
        <v>1.08992</v>
      </c>
      <c r="G13" s="30" t="n">
        <v>7.8</v>
      </c>
      <c r="H13" s="30">
        <f>ROUND(F13*G13,2)</f>
        <v/>
      </c>
      <c r="I13" s="167" t="n">
        <v>2</v>
      </c>
      <c r="J13" s="167">
        <f>I13*F13</f>
        <v/>
      </c>
    </row>
    <row r="14">
      <c r="A14" s="195" t="inlineStr">
        <is>
          <t>Затраты труда машинистов</t>
        </is>
      </c>
      <c r="B14" s="229" t="n"/>
      <c r="C14" s="229" t="n"/>
      <c r="D14" s="229" t="n"/>
      <c r="E14" s="230" t="n"/>
      <c r="F14" s="195" t="n">
        <v>112.586856</v>
      </c>
      <c r="G14" s="26" t="n"/>
      <c r="H14" s="26">
        <f>H15</f>
        <v/>
      </c>
    </row>
    <row r="15">
      <c r="A15" s="196" t="n">
        <v>4</v>
      </c>
      <c r="B15" s="44" t="inlineStr">
        <is>
          <t>02-06-01</t>
        </is>
      </c>
      <c r="C15" s="197" t="n">
        <v>2</v>
      </c>
      <c r="D15" s="197" t="inlineStr">
        <is>
          <t>Затраты труда машинистов</t>
        </is>
      </c>
      <c r="E15" s="196" t="inlineStr">
        <is>
          <t>чел.-ч</t>
        </is>
      </c>
      <c r="F15" s="196" t="n">
        <v>112.586856</v>
      </c>
      <c r="G15" s="30" t="n">
        <v>0</v>
      </c>
      <c r="H15" s="30" t="n">
        <v>1599.43</v>
      </c>
      <c r="J15" s="167">
        <f>SUM(J11:J13)</f>
        <v/>
      </c>
    </row>
    <row r="16" customFormat="1" s="27">
      <c r="A16" s="195" t="inlineStr">
        <is>
          <t>Машины и механизмы</t>
        </is>
      </c>
      <c r="B16" s="229" t="n"/>
      <c r="C16" s="229" t="n"/>
      <c r="D16" s="229" t="n"/>
      <c r="E16" s="230" t="n"/>
      <c r="F16" s="195" t="n"/>
      <c r="G16" s="26" t="n"/>
      <c r="H16" s="26">
        <f>SUM(H17:H26)</f>
        <v/>
      </c>
    </row>
    <row r="17" ht="31.5" customHeight="1" s="165">
      <c r="A17" s="196" t="n">
        <v>5</v>
      </c>
      <c r="B17" s="44" t="inlineStr">
        <is>
          <t>02-06-01</t>
        </is>
      </c>
      <c r="C17" s="197" t="inlineStr">
        <is>
          <t>91.05.05-015</t>
        </is>
      </c>
      <c r="D17" s="197" t="inlineStr">
        <is>
          <t>Краны на автомобильном ходу, грузоподъемность 16 т</t>
        </is>
      </c>
      <c r="E17" s="196" t="inlineStr">
        <is>
          <t>маш.час</t>
        </is>
      </c>
      <c r="F17" s="196" t="n">
        <v>59.5104</v>
      </c>
      <c r="G17" s="30" t="n">
        <v>115.4</v>
      </c>
      <c r="H17" s="30">
        <f>ROUND(F17*G17,2)</f>
        <v/>
      </c>
      <c r="J17" s="167">
        <f>J15/F10</f>
        <v/>
      </c>
    </row>
    <row r="18" customFormat="1" s="27">
      <c r="A18" s="196" t="n">
        <v>6</v>
      </c>
      <c r="B18" s="44" t="inlineStr">
        <is>
          <t>02-06-01</t>
        </is>
      </c>
      <c r="C18" s="197" t="inlineStr">
        <is>
          <t>91.06.06-014</t>
        </is>
      </c>
      <c r="D18" s="197" t="inlineStr">
        <is>
          <t>Автогидроподъемники, высота подъема 28 м</t>
        </is>
      </c>
      <c r="E18" s="196" t="inlineStr">
        <is>
          <t>маш.час</t>
        </is>
      </c>
      <c r="F18" s="196" t="n">
        <v>17.47008</v>
      </c>
      <c r="G18" s="30" t="n">
        <v>243.49</v>
      </c>
      <c r="H18" s="30">
        <f>ROUND(F18*G18,2)</f>
        <v/>
      </c>
    </row>
    <row r="19" ht="31.5" customHeight="1" s="165">
      <c r="A19" s="196" t="n">
        <v>7</v>
      </c>
      <c r="B19" s="44" t="inlineStr">
        <is>
          <t>02-06-01</t>
        </is>
      </c>
      <c r="C19" s="197" t="inlineStr">
        <is>
          <t>91.05.08-007</t>
        </is>
      </c>
      <c r="D19" s="197" t="inlineStr">
        <is>
          <t>Краны на пневмоколесном ходу, грузоподъемность 25 т</t>
        </is>
      </c>
      <c r="E19" s="196" t="inlineStr">
        <is>
          <t>маш.час</t>
        </is>
      </c>
      <c r="F19" s="196" t="n">
        <v>25.344832</v>
      </c>
      <c r="G19" s="30" t="n">
        <v>102.51</v>
      </c>
      <c r="H19" s="30">
        <f>ROUND(F19*G19,2)</f>
        <v/>
      </c>
    </row>
    <row r="20" ht="47.25" customHeight="1" s="165">
      <c r="A20" s="196" t="n">
        <v>8</v>
      </c>
      <c r="B20" s="44" t="inlineStr">
        <is>
          <t>02-06-01</t>
        </is>
      </c>
      <c r="C20" s="197" t="inlineStr">
        <is>
          <t>91.17.04-036</t>
        </is>
      </c>
      <c r="D20" s="197" t="inlineStr">
        <is>
          <t>Агрегаты сварочные передвижные с дизельным двигателем, номинальный сварочный ток 250-400 А</t>
        </is>
      </c>
      <c r="E20" s="196" t="inlineStr">
        <is>
          <t>маш.час</t>
        </is>
      </c>
      <c r="F20" s="196" t="n">
        <v>57.0858</v>
      </c>
      <c r="G20" s="30" t="n">
        <v>14</v>
      </c>
      <c r="H20" s="30">
        <f>ROUND(F20*G20,2)</f>
        <v/>
      </c>
    </row>
    <row r="21" ht="31.5" customHeight="1" s="165">
      <c r="A21" s="196" t="n">
        <v>9</v>
      </c>
      <c r="B21" s="44" t="inlineStr">
        <is>
          <t>02-06-01</t>
        </is>
      </c>
      <c r="C21" s="197" t="inlineStr">
        <is>
          <t>91.01.05-088</t>
        </is>
      </c>
      <c r="D21" s="197" t="inlineStr">
        <is>
          <t>Экскаваторы одноковшовые дизельные на гусеничном ходу, емкость ковша 1,6 м3</t>
        </is>
      </c>
      <c r="E21" s="196" t="inlineStr">
        <is>
          <t>маш.час</t>
        </is>
      </c>
      <c r="F21" s="196" t="n">
        <v>2.26368</v>
      </c>
      <c r="G21" s="30" t="n">
        <v>198.4</v>
      </c>
      <c r="H21" s="30">
        <f>ROUND(F21*G21,2)</f>
        <v/>
      </c>
    </row>
    <row r="22" ht="31.5" customHeight="1" s="165">
      <c r="A22" s="196" t="n">
        <v>10</v>
      </c>
      <c r="B22" s="44" t="inlineStr">
        <is>
          <t>02-06-01</t>
        </is>
      </c>
      <c r="C22" s="197" t="inlineStr">
        <is>
          <t>91.14.03-002</t>
        </is>
      </c>
      <c r="D22" s="197" t="inlineStr">
        <is>
          <t>Автомобили-самосвалы, грузоподъемность до 10 т</t>
        </is>
      </c>
      <c r="E22" s="196" t="inlineStr">
        <is>
          <t>маш.-ч</t>
        </is>
      </c>
      <c r="F22" s="196" t="n">
        <v>4.59</v>
      </c>
      <c r="G22" s="30" t="n">
        <v>87.48999999999999</v>
      </c>
      <c r="H22" s="30">
        <f>ROUND(F22*G22,2)</f>
        <v/>
      </c>
    </row>
    <row r="23">
      <c r="A23" s="196" t="n">
        <v>11</v>
      </c>
      <c r="B23" s="44" t="inlineStr">
        <is>
          <t>02-06-01</t>
        </is>
      </c>
      <c r="C23" s="197" t="inlineStr">
        <is>
          <t>91.01.01-035</t>
        </is>
      </c>
      <c r="D23" s="197" t="inlineStr">
        <is>
          <t>Бульдозеры, мощность 79 кВт (108 л.с.)</t>
        </is>
      </c>
      <c r="E23" s="196" t="inlineStr">
        <is>
          <t>маш.час</t>
        </is>
      </c>
      <c r="F23" s="196" t="n">
        <v>3.04629</v>
      </c>
      <c r="G23" s="30" t="n">
        <v>79.06999999999999</v>
      </c>
      <c r="H23" s="30">
        <f>ROUND(F23*G23,2)</f>
        <v/>
      </c>
    </row>
    <row r="24" ht="33" customHeight="1" s="165">
      <c r="A24" s="196" t="n">
        <v>12</v>
      </c>
      <c r="B24" s="44" t="inlineStr">
        <is>
          <t>02-06-01</t>
        </is>
      </c>
      <c r="C24" s="197" t="inlineStr">
        <is>
          <t>91.14.02-002</t>
        </is>
      </c>
      <c r="D24" s="197" t="inlineStr">
        <is>
          <t>Автомобили бортовые, грузоподъемность до 8 т</t>
        </is>
      </c>
      <c r="E24" s="196" t="inlineStr">
        <is>
          <t>маш.час</t>
        </is>
      </c>
      <c r="F24" s="196" t="n">
        <v>1.355248</v>
      </c>
      <c r="G24" s="30" t="n">
        <v>85.84</v>
      </c>
      <c r="H24" s="30">
        <f>ROUND(F24*G24,2)</f>
        <v/>
      </c>
    </row>
    <row r="25" ht="31.5" customHeight="1" s="165">
      <c r="A25" s="196" t="n">
        <v>13</v>
      </c>
      <c r="B25" s="44" t="inlineStr">
        <is>
          <t>02-06-01</t>
        </is>
      </c>
      <c r="C25" s="197" t="inlineStr">
        <is>
          <t>91.08.03-009</t>
        </is>
      </c>
      <c r="D25" s="197" t="inlineStr">
        <is>
          <t>Катки самоходные гладкие вибрационные, масса 2,2 т</t>
        </is>
      </c>
      <c r="E25" s="196" t="inlineStr">
        <is>
          <t>маш.час</t>
        </is>
      </c>
      <c r="F25" s="196" t="n">
        <v>0.786996</v>
      </c>
      <c r="G25" s="30" t="n">
        <v>103.16</v>
      </c>
      <c r="H25" s="30">
        <f>ROUND(F25*G25,2)</f>
        <v/>
      </c>
    </row>
    <row r="26">
      <c r="A26" s="196" t="n">
        <v>14</v>
      </c>
      <c r="B26" s="44" t="inlineStr">
        <is>
          <t>02-06-01</t>
        </is>
      </c>
      <c r="C26" s="197" t="inlineStr">
        <is>
          <t>91.01.01-038</t>
        </is>
      </c>
      <c r="D26" s="197" t="inlineStr">
        <is>
          <t>Бульдозеры, мощность 121 кВт (165 л.с.)</t>
        </is>
      </c>
      <c r="E26" s="196" t="inlineStr">
        <is>
          <t>маш.час</t>
        </is>
      </c>
      <c r="F26" s="196" t="n">
        <v>0.54565</v>
      </c>
      <c r="G26" s="30" t="n">
        <v>122.4</v>
      </c>
      <c r="H26" s="30">
        <f>ROUND(F26*G26,2)</f>
        <v/>
      </c>
    </row>
    <row r="27">
      <c r="A27" s="195" t="inlineStr">
        <is>
          <t>Материалы</t>
        </is>
      </c>
      <c r="B27" s="229" t="n"/>
      <c r="C27" s="229" t="n"/>
      <c r="D27" s="229" t="n"/>
      <c r="E27" s="230" t="n"/>
      <c r="F27" s="195" t="n"/>
      <c r="G27" s="26" t="n"/>
      <c r="H27" s="26">
        <f>SUM(H28:H32)</f>
        <v/>
      </c>
    </row>
    <row r="28">
      <c r="A28" s="196" t="n">
        <v>15</v>
      </c>
      <c r="B28" s="44" t="inlineStr">
        <is>
          <t>02-06-01</t>
        </is>
      </c>
      <c r="C28" s="197" t="inlineStr">
        <is>
          <t>22.2.02.07-0003</t>
        </is>
      </c>
      <c r="D28" s="197" t="inlineStr">
        <is>
          <t>Конструкции стальные: порталов ОРУ</t>
        </is>
      </c>
      <c r="E28" s="196" t="inlineStr">
        <is>
          <t>т</t>
        </is>
      </c>
      <c r="F28" s="196" t="n">
        <v>17.1186</v>
      </c>
      <c r="G28" s="30" t="n">
        <v>12500</v>
      </c>
      <c r="H28" s="30">
        <f>ROUND(F28*G28,2)</f>
        <v/>
      </c>
    </row>
    <row r="29" ht="47.25" customHeight="1" s="165">
      <c r="A29" s="196" t="n">
        <v>16</v>
      </c>
      <c r="B29" s="44" t="inlineStr">
        <is>
          <t>02-06-01</t>
        </is>
      </c>
      <c r="C29" s="197" t="inlineStr">
        <is>
          <t>05.1.05.15-0021</t>
        </is>
      </c>
      <c r="D29" s="197" t="inlineStr">
        <is>
          <t>Фундаменты стаканного типа Ф12.9.2а (1200х1200х900 мм), бетон B25, объем 0,83 м3, расход арматуры 107,32 кг</t>
        </is>
      </c>
      <c r="E29" s="196" t="inlineStr">
        <is>
          <t>шт</t>
        </is>
      </c>
      <c r="F29" s="196" t="n">
        <v>16</v>
      </c>
      <c r="G29" s="30" t="n">
        <v>2817.22</v>
      </c>
      <c r="H29" s="30">
        <f>ROUND(F29*G29,2)</f>
        <v/>
      </c>
    </row>
    <row r="30">
      <c r="A30" s="196" t="n">
        <v>17</v>
      </c>
      <c r="B30" s="44" t="inlineStr">
        <is>
          <t>02-06-01</t>
        </is>
      </c>
      <c r="C30" s="197" t="inlineStr">
        <is>
          <t>01.7.11.07-0032</t>
        </is>
      </c>
      <c r="D30" s="197" t="inlineStr">
        <is>
          <t>Электроды сварочные Э42, диаметр 4 мм</t>
        </is>
      </c>
      <c r="E30" s="196" t="inlineStr">
        <is>
          <t>т</t>
        </is>
      </c>
      <c r="F30" s="196" t="n">
        <v>0.162808</v>
      </c>
      <c r="G30" s="30" t="n">
        <v>10315.01</v>
      </c>
      <c r="H30" s="30">
        <f>ROUND(F30*G30,2)</f>
        <v/>
      </c>
    </row>
    <row r="31">
      <c r="A31" s="196" t="n">
        <v>18</v>
      </c>
      <c r="B31" s="44" t="inlineStr">
        <is>
          <t>02-06-01</t>
        </is>
      </c>
      <c r="C31" s="197" t="inlineStr">
        <is>
          <t>01.7.15.03-0042</t>
        </is>
      </c>
      <c r="D31" s="197" t="inlineStr">
        <is>
          <t>Болты с гайками и шайбами строительные</t>
        </is>
      </c>
      <c r="E31" s="196" t="inlineStr">
        <is>
          <t>кг</t>
        </is>
      </c>
      <c r="F31" s="196" t="n">
        <v>112</v>
      </c>
      <c r="G31" s="30" t="n">
        <v>9.039999999999999</v>
      </c>
      <c r="H31" s="30">
        <f>ROUND(F31*G31,2)</f>
        <v/>
      </c>
    </row>
    <row r="32">
      <c r="A32" s="196" t="n">
        <v>19</v>
      </c>
      <c r="B32" s="44" t="inlineStr">
        <is>
          <t>02-06-01</t>
        </is>
      </c>
      <c r="C32" s="197" t="inlineStr">
        <is>
          <t>02.2.05.04-1777</t>
        </is>
      </c>
      <c r="D32" s="197" t="inlineStr">
        <is>
          <t>Щебень М 800, фракция 20-40 мм, группа 2</t>
        </is>
      </c>
      <c r="E32" s="196" t="inlineStr">
        <is>
          <t>м3</t>
        </is>
      </c>
      <c r="F32" s="196" t="n">
        <v>0.006288</v>
      </c>
      <c r="G32" s="30" t="n">
        <v>108.4</v>
      </c>
      <c r="H32" s="30">
        <f>ROUND(F32*G32,2)</f>
        <v/>
      </c>
    </row>
    <row r="35">
      <c r="B35" s="167" t="inlineStr">
        <is>
          <t xml:space="preserve">Составил ______________________        Р.Р. Шагеева </t>
        </is>
      </c>
      <c r="C35" s="167" t="n"/>
    </row>
    <row r="36">
      <c r="B36" s="22" t="inlineStr">
        <is>
          <t xml:space="preserve">                         (подпись, инициалы, фамилия)</t>
        </is>
      </c>
      <c r="C36" s="167" t="n"/>
    </row>
    <row r="37">
      <c r="B37" s="167" t="n"/>
      <c r="C37" s="167" t="n"/>
    </row>
    <row r="38">
      <c r="B38" s="167" t="inlineStr">
        <is>
          <t>Проверил ______________________        А.В. Костянецкая</t>
        </is>
      </c>
      <c r="C38" s="167" t="n"/>
    </row>
    <row r="39">
      <c r="B39" s="22" t="inlineStr">
        <is>
          <t xml:space="preserve">                        (подпись, инициалы, фамилия)</t>
        </is>
      </c>
      <c r="C39" s="167" t="n"/>
    </row>
  </sheetData>
  <mergeCells count="14">
    <mergeCell ref="A3:H3"/>
    <mergeCell ref="A5:H5"/>
    <mergeCell ref="A16:E16"/>
    <mergeCell ref="G7:H7"/>
    <mergeCell ref="A10:E10"/>
    <mergeCell ref="A2:H2"/>
    <mergeCell ref="C7:C8"/>
    <mergeCell ref="A7:A8"/>
    <mergeCell ref="B7:B8"/>
    <mergeCell ref="D7:D8"/>
    <mergeCell ref="E7:E8"/>
    <mergeCell ref="F7:F8"/>
    <mergeCell ref="A14:E14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C41" sqref="C41"/>
    </sheetView>
  </sheetViews>
  <sheetFormatPr baseColWidth="8" defaultRowHeight="14.4"/>
  <cols>
    <col width="4.109375" customWidth="1" style="165" min="1" max="1"/>
    <col width="36.33203125" customWidth="1" style="165" min="2" max="2"/>
    <col width="18.88671875" customWidth="1" style="165" min="3" max="3"/>
    <col width="18.33203125" customWidth="1" style="165" min="4" max="4"/>
    <col width="18.88671875" customWidth="1" style="165" min="5" max="5"/>
    <col width="9.109375" customWidth="1" style="165" min="6" max="6"/>
    <col width="12.88671875" customWidth="1" style="165" min="7" max="7"/>
    <col width="9.109375" customWidth="1" style="165" min="8" max="11"/>
    <col width="13.5546875" customWidth="1" style="165" min="12" max="12"/>
    <col width="9.109375" customWidth="1" style="165" min="13" max="13"/>
  </cols>
  <sheetData>
    <row r="1">
      <c r="B1" s="153" t="n"/>
      <c r="C1" s="153" t="n"/>
      <c r="D1" s="153" t="n"/>
      <c r="E1" s="153" t="n"/>
    </row>
    <row r="2">
      <c r="B2" s="153" t="n"/>
      <c r="C2" s="153" t="n"/>
      <c r="D2" s="153" t="n"/>
      <c r="E2" s="226" t="inlineStr">
        <is>
          <t>Приложение № 4</t>
        </is>
      </c>
    </row>
    <row r="3">
      <c r="B3" s="153" t="n"/>
      <c r="C3" s="153" t="n"/>
      <c r="D3" s="153" t="n"/>
      <c r="E3" s="153" t="n"/>
    </row>
    <row r="4">
      <c r="B4" s="153" t="n"/>
      <c r="C4" s="153" t="n"/>
      <c r="D4" s="153" t="n"/>
      <c r="E4" s="153" t="n"/>
    </row>
    <row r="5">
      <c r="B5" s="198" t="inlineStr">
        <is>
          <t>Ресурсная модель</t>
        </is>
      </c>
    </row>
    <row r="6">
      <c r="B6" s="12" t="n"/>
      <c r="C6" s="153" t="n"/>
      <c r="D6" s="153" t="n"/>
      <c r="E6" s="153" t="n"/>
    </row>
    <row r="7" ht="25.5" customHeight="1" s="165">
      <c r="B7" s="199" t="inlineStr">
        <is>
          <t>Наименование разрабатываемого показателя УНЦ — Устройство порталов и ошиновки ОРУ 220 кВ</t>
        </is>
      </c>
    </row>
    <row r="8">
      <c r="B8" s="200" t="inlineStr">
        <is>
          <t>Единица измерения  — 1 ед</t>
        </is>
      </c>
    </row>
    <row r="9">
      <c r="B9" s="12" t="n"/>
      <c r="C9" s="153" t="n"/>
      <c r="D9" s="153" t="n"/>
      <c r="E9" s="153" t="n"/>
    </row>
    <row r="10" ht="51" customHeight="1" s="165">
      <c r="B10" s="203" t="inlineStr">
        <is>
          <t>Наименование</t>
        </is>
      </c>
      <c r="C10" s="203" t="inlineStr">
        <is>
          <t>Сметная стоимость в ценах на 01.01.2023
 (руб.)</t>
        </is>
      </c>
      <c r="D10" s="203" t="inlineStr">
        <is>
          <t>Удельный вес, 
(в СМР)</t>
        </is>
      </c>
      <c r="E10" s="203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55">
        <f>'Прил.5 Расчет СМР и ОБ'!J15</f>
        <v/>
      </c>
      <c r="D11" s="48">
        <f>C11/$C$24</f>
        <v/>
      </c>
      <c r="E11" s="48">
        <f>C11/$C$40</f>
        <v/>
      </c>
    </row>
    <row r="12">
      <c r="B12" s="116" t="inlineStr">
        <is>
          <t>Эксплуатация машин основных</t>
        </is>
      </c>
      <c r="C12" s="155">
        <f>'Прил.5 Расчет СМР и ОБ'!J23</f>
        <v/>
      </c>
      <c r="D12" s="48">
        <f>C12/$C$24</f>
        <v/>
      </c>
      <c r="E12" s="48">
        <f>C12/$C$40</f>
        <v/>
      </c>
    </row>
    <row r="13">
      <c r="B13" s="116" t="inlineStr">
        <is>
          <t>Эксплуатация машин прочих</t>
        </is>
      </c>
      <c r="C13" s="155">
        <f>'Прил.5 Расчет СМР и ОБ'!J31</f>
        <v/>
      </c>
      <c r="D13" s="48">
        <f>C13/$C$24</f>
        <v/>
      </c>
      <c r="E13" s="48">
        <f>C13/$C$40</f>
        <v/>
      </c>
    </row>
    <row r="14">
      <c r="B14" s="116" t="inlineStr">
        <is>
          <t>ЭКСПЛУАТАЦИЯ МАШИН, ВСЕГО:</t>
        </is>
      </c>
      <c r="C14" s="155">
        <f>C13+C12</f>
        <v/>
      </c>
      <c r="D14" s="48">
        <f>C14/$C$24</f>
        <v/>
      </c>
      <c r="E14" s="48">
        <f>C14/$C$40</f>
        <v/>
      </c>
    </row>
    <row r="15">
      <c r="B15" s="116" t="inlineStr">
        <is>
          <t>в том числе зарплата машинистов</t>
        </is>
      </c>
      <c r="C15" s="155">
        <f>'Прил.5 Расчет СМР и ОБ'!J17</f>
        <v/>
      </c>
      <c r="D15" s="48">
        <f>C15/$C$24</f>
        <v/>
      </c>
      <c r="E15" s="48">
        <f>C15/$C$40</f>
        <v/>
      </c>
    </row>
    <row r="16">
      <c r="B16" s="116" t="inlineStr">
        <is>
          <t>Материалы основные</t>
        </is>
      </c>
      <c r="C16" s="155">
        <f>'Прил.5 Расчет СМР и ОБ'!J43</f>
        <v/>
      </c>
      <c r="D16" s="48">
        <f>C16/$C$24</f>
        <v/>
      </c>
      <c r="E16" s="48">
        <f>C16/$C$40</f>
        <v/>
      </c>
    </row>
    <row r="17">
      <c r="B17" s="116" t="inlineStr">
        <is>
          <t>Материалы прочие</t>
        </is>
      </c>
      <c r="C17" s="155">
        <f>'Прил.5 Расчет СМР и ОБ'!J47</f>
        <v/>
      </c>
      <c r="D17" s="48">
        <f>C17/$C$24</f>
        <v/>
      </c>
      <c r="E17" s="48">
        <f>C17/$C$40</f>
        <v/>
      </c>
      <c r="G17" s="234" t="n"/>
    </row>
    <row r="18">
      <c r="B18" s="116" t="inlineStr">
        <is>
          <t>МАТЕРИАЛЫ, ВСЕГО:</t>
        </is>
      </c>
      <c r="C18" s="155">
        <f>C17+C16</f>
        <v/>
      </c>
      <c r="D18" s="48">
        <f>C18/$C$24</f>
        <v/>
      </c>
      <c r="E18" s="48">
        <f>C18/$C$40</f>
        <v/>
      </c>
    </row>
    <row r="19">
      <c r="B19" s="116" t="inlineStr">
        <is>
          <t>ИТОГО</t>
        </is>
      </c>
      <c r="C19" s="155">
        <f>C18+C14+C11</f>
        <v/>
      </c>
      <c r="D19" s="48" t="n"/>
      <c r="E19" s="116" t="n"/>
    </row>
    <row r="20">
      <c r="B20" s="116" t="inlineStr">
        <is>
          <t>Сметная прибыль, руб.</t>
        </is>
      </c>
      <c r="C20" s="155">
        <f>ROUND(C21*(C11+C15),2)</f>
        <v/>
      </c>
      <c r="D20" s="48">
        <f>C20/$C$24</f>
        <v/>
      </c>
      <c r="E20" s="48">
        <f>C20/$C$40</f>
        <v/>
      </c>
    </row>
    <row r="21">
      <c r="B21" s="116" t="inlineStr">
        <is>
          <t>Сметная прибыль, %</t>
        </is>
      </c>
      <c r="C21" s="49">
        <f>'Прил.5 Расчет СМР и ОБ'!D51</f>
        <v/>
      </c>
      <c r="D21" s="48" t="n"/>
      <c r="E21" s="116" t="n"/>
    </row>
    <row r="22">
      <c r="B22" s="116" t="inlineStr">
        <is>
          <t>Накладные расходы, руб.</t>
        </is>
      </c>
      <c r="C22" s="155">
        <f>ROUND(C23*(C11+C15),2)</f>
        <v/>
      </c>
      <c r="D22" s="48">
        <f>C22/$C$24</f>
        <v/>
      </c>
      <c r="E22" s="48">
        <f>C22/$C$40</f>
        <v/>
      </c>
    </row>
    <row r="23">
      <c r="B23" s="116" t="inlineStr">
        <is>
          <t>Накладные расходы, %</t>
        </is>
      </c>
      <c r="C23" s="49">
        <f>'Прил.5 Расчет СМР и ОБ'!D50</f>
        <v/>
      </c>
      <c r="D23" s="48" t="n"/>
      <c r="E23" s="116" t="n"/>
    </row>
    <row r="24">
      <c r="B24" s="116" t="inlineStr">
        <is>
          <t>ВСЕГО СМР с НР и СП</t>
        </is>
      </c>
      <c r="C24" s="155">
        <f>C19+C20+C22</f>
        <v/>
      </c>
      <c r="D24" s="48">
        <f>C24/$C$24</f>
        <v/>
      </c>
      <c r="E24" s="48">
        <f>C24/$C$40</f>
        <v/>
      </c>
    </row>
    <row r="25" ht="25.5" customHeight="1" s="165">
      <c r="B25" s="116" t="inlineStr">
        <is>
          <t>ВСЕГО стоимость оборудования, в том числе</t>
        </is>
      </c>
      <c r="C25" s="155">
        <f>'Прил.5 Расчет СМР и ОБ'!J37</f>
        <v/>
      </c>
      <c r="D25" s="48" t="n"/>
      <c r="E25" s="48">
        <f>C25/$C$40</f>
        <v/>
      </c>
    </row>
    <row r="26" ht="25.5" customHeight="1" s="165">
      <c r="B26" s="116" t="inlineStr">
        <is>
          <t>стоимость оборудования технологического</t>
        </is>
      </c>
      <c r="C26" s="155">
        <f>C25</f>
        <v/>
      </c>
      <c r="D26" s="48" t="n"/>
      <c r="E26" s="48">
        <f>C26/$C$40</f>
        <v/>
      </c>
    </row>
    <row r="27">
      <c r="B27" s="116" t="inlineStr">
        <is>
          <t>ИТОГО (СМР + ОБОРУДОВАНИЕ)</t>
        </is>
      </c>
      <c r="C27" s="50">
        <f>C24+C25</f>
        <v/>
      </c>
      <c r="D27" s="48" t="n"/>
      <c r="E27" s="48">
        <f>C27/$C$40</f>
        <v/>
      </c>
    </row>
    <row r="28" ht="33" customHeight="1" s="165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</row>
    <row r="29" ht="25.5" customHeight="1" s="165">
      <c r="B29" s="116" t="inlineStr">
        <is>
          <t>Временные здания и сооружения - 3,9%</t>
        </is>
      </c>
      <c r="C29" s="50">
        <f>ROUND(C24*3.9%,2)</f>
        <v/>
      </c>
      <c r="D29" s="116" t="n"/>
      <c r="E29" s="48">
        <f>C29/$C$40</f>
        <v/>
      </c>
    </row>
    <row r="30" ht="38.25" customHeight="1" s="165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50">
        <f>ROUND((C24+C29)*2.1%,2)</f>
        <v/>
      </c>
      <c r="D30" s="116" t="n"/>
      <c r="E30" s="48">
        <f>C30/$C$40</f>
        <v/>
      </c>
    </row>
    <row r="31">
      <c r="B31" s="116" t="inlineStr">
        <is>
          <t>Пусконаладочные работы</t>
        </is>
      </c>
      <c r="C31" s="50" t="n">
        <v>0</v>
      </c>
      <c r="D31" s="116" t="n"/>
      <c r="E31" s="48">
        <f>C31/$C$40</f>
        <v/>
      </c>
    </row>
    <row r="32" ht="25.5" customHeight="1" s="165">
      <c r="B32" s="116" t="inlineStr">
        <is>
          <t>Затраты по перевозке работников к месту работы и обратно</t>
        </is>
      </c>
      <c r="C32" s="50" t="n">
        <v>0</v>
      </c>
      <c r="D32" s="116" t="n"/>
      <c r="E32" s="48">
        <f>C32/$C$40</f>
        <v/>
      </c>
    </row>
    <row r="33" ht="25.5" customHeight="1" s="165">
      <c r="B33" s="116" t="inlineStr">
        <is>
          <t>Затраты, связанные с осуществлением работ вахтовым методом</t>
        </is>
      </c>
      <c r="C33" s="50" t="n">
        <v>0</v>
      </c>
      <c r="D33" s="116" t="n"/>
      <c r="E33" s="48">
        <f>C33/$C$40</f>
        <v/>
      </c>
    </row>
    <row r="34" ht="51" customHeight="1" s="165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0" t="n">
        <v>0</v>
      </c>
      <c r="D34" s="116" t="n"/>
      <c r="E34" s="48">
        <f>C34/$C$40</f>
        <v/>
      </c>
    </row>
    <row r="35" ht="76.5" customHeight="1" s="165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0" t="n">
        <v>0</v>
      </c>
      <c r="D35" s="116" t="n"/>
      <c r="E35" s="48">
        <f>C35/$C$40</f>
        <v/>
      </c>
    </row>
    <row r="36" ht="25.5" customHeight="1" s="165">
      <c r="B36" s="116" t="inlineStr">
        <is>
          <t>Строительный контроль и содержание службы заказчика - 2,14%</t>
        </is>
      </c>
      <c r="C36" s="50">
        <f>ROUND((C27+C32+C33+C34+C35+C29+C31+C30)*2.14%,2)</f>
        <v/>
      </c>
      <c r="D36" s="116" t="n"/>
      <c r="E36" s="48">
        <f>C36/$C$40</f>
        <v/>
      </c>
      <c r="G36" s="147" t="n"/>
      <c r="L36" s="13" t="n"/>
    </row>
    <row r="37">
      <c r="B37" s="116" t="inlineStr">
        <is>
          <t>Авторский надзор - 0,2%</t>
        </is>
      </c>
      <c r="C37" s="50">
        <f>ROUND((C27+C32+C33+C34+C35+C29+C31+C30)*0.2%,2)</f>
        <v/>
      </c>
      <c r="D37" s="116" t="n"/>
      <c r="E37" s="48">
        <f>C37/$C$40</f>
        <v/>
      </c>
      <c r="G37" s="147" t="n"/>
      <c r="L37" s="13" t="n"/>
    </row>
    <row r="38" ht="38.25" customHeight="1" s="165">
      <c r="B38" s="116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116" t="n"/>
      <c r="E38" s="48">
        <f>C38/$C$40</f>
        <v/>
      </c>
    </row>
    <row r="39" ht="13.5" customHeight="1" s="165">
      <c r="B39" s="116" t="inlineStr">
        <is>
          <t>Непредвиденные расходы</t>
        </is>
      </c>
      <c r="C39" s="155">
        <f>ROUND(C38*3%,2)</f>
        <v/>
      </c>
      <c r="D39" s="116" t="n"/>
      <c r="E39" s="48">
        <f>C39/$C$38</f>
        <v/>
      </c>
    </row>
    <row r="40">
      <c r="B40" s="116" t="inlineStr">
        <is>
          <t>ВСЕГО:</t>
        </is>
      </c>
      <c r="C40" s="155">
        <f>C39+C38</f>
        <v/>
      </c>
      <c r="D40" s="116" t="n"/>
      <c r="E40" s="48">
        <f>C40/$C$40</f>
        <v/>
      </c>
    </row>
    <row r="41">
      <c r="B41" s="116" t="inlineStr">
        <is>
          <t>ИТОГО ПОКАЗАТЕЛЬ НА ЕД. ИЗМ.</t>
        </is>
      </c>
      <c r="C41" s="155">
        <f>C40/'Прил.5 Расчет СМР и ОБ'!E54</f>
        <v/>
      </c>
      <c r="D41" s="116" t="n"/>
      <c r="E41" s="116" t="n"/>
    </row>
    <row r="42">
      <c r="B42" s="157" t="n"/>
      <c r="C42" s="153" t="n"/>
      <c r="D42" s="153" t="n"/>
      <c r="E42" s="153" t="n"/>
    </row>
    <row r="43">
      <c r="B43" s="157" t="inlineStr">
        <is>
          <t xml:space="preserve">Составил ______________________        Р.Р. Шагеева </t>
        </is>
      </c>
      <c r="C43" s="153" t="n"/>
      <c r="D43" s="153" t="n"/>
      <c r="E43" s="153" t="n"/>
    </row>
    <row r="44">
      <c r="B44" s="157" t="inlineStr">
        <is>
          <t xml:space="preserve">(должность, подпись, инициалы, фамилия) </t>
        </is>
      </c>
      <c r="C44" s="153" t="n"/>
      <c r="D44" s="153" t="n"/>
      <c r="E44" s="153" t="n"/>
    </row>
    <row r="45">
      <c r="B45" s="157" t="n"/>
      <c r="C45" s="153" t="n"/>
      <c r="D45" s="153" t="n"/>
      <c r="E45" s="153" t="n"/>
    </row>
    <row r="46">
      <c r="B46" s="157" t="inlineStr">
        <is>
          <t>Проверил ____________________________ А.В. Костянецкая</t>
        </is>
      </c>
      <c r="C46" s="153" t="n"/>
      <c r="D46" s="153" t="n"/>
      <c r="E46" s="153" t="n"/>
    </row>
    <row r="47">
      <c r="B47" s="200" t="inlineStr">
        <is>
          <t>(должность, подпись, инициалы, фамилия)</t>
        </is>
      </c>
      <c r="D47" s="153" t="n"/>
      <c r="E47" s="153" t="n"/>
    </row>
    <row r="49">
      <c r="B49" s="153" t="n"/>
      <c r="C49" s="153" t="n"/>
      <c r="D49" s="153" t="n"/>
      <c r="E49" s="153" t="n"/>
    </row>
    <row r="50">
      <c r="B50" s="153" t="n"/>
      <c r="C50" s="153" t="n"/>
      <c r="D50" s="153" t="n"/>
      <c r="E50" s="1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view="pageBreakPreview" topLeftCell="A31" zoomScale="85" workbookViewId="0">
      <selection activeCell="B55" sqref="B55"/>
    </sheetView>
  </sheetViews>
  <sheetFormatPr baseColWidth="8" defaultColWidth="9.109375" defaultRowHeight="14.4" outlineLevelRow="1"/>
  <cols>
    <col width="5.6640625" customWidth="1" style="163" min="1" max="1"/>
    <col width="22.5546875" customWidth="1" style="163" min="2" max="2"/>
    <col width="39.109375" customWidth="1" style="163" min="3" max="3"/>
    <col width="10.6640625" customWidth="1" style="163" min="4" max="4"/>
    <col width="12.6640625" customWidth="1" style="163" min="5" max="5"/>
    <col width="14.5546875" customWidth="1" style="163" min="6" max="6"/>
    <col width="13.44140625" customWidth="1" style="163" min="7" max="7"/>
    <col width="12.6640625" customWidth="1" style="163" min="8" max="8"/>
    <col width="13.88671875" customWidth="1" style="163" min="9" max="9"/>
    <col width="17.5546875" customWidth="1" style="163" min="10" max="10"/>
    <col width="10.88671875" customWidth="1" style="163" min="11" max="11"/>
    <col width="9.109375" customWidth="1" style="163" min="12" max="12"/>
    <col width="9.109375" customWidth="1" style="165" min="13" max="13"/>
  </cols>
  <sheetData>
    <row r="1" s="165">
      <c r="A1" s="163" t="n"/>
      <c r="B1" s="163" t="n"/>
      <c r="C1" s="163" t="n"/>
      <c r="D1" s="163" t="n"/>
      <c r="E1" s="163" t="n"/>
      <c r="F1" s="163" t="n"/>
      <c r="G1" s="163" t="n"/>
      <c r="H1" s="163" t="n"/>
      <c r="I1" s="163" t="n"/>
      <c r="J1" s="163" t="n"/>
      <c r="K1" s="163" t="n"/>
      <c r="L1" s="163" t="n"/>
      <c r="M1" s="163" t="n"/>
      <c r="N1" s="163" t="n"/>
    </row>
    <row r="2" ht="15.75" customHeight="1" s="165">
      <c r="A2" s="163" t="n"/>
      <c r="B2" s="163" t="n"/>
      <c r="C2" s="163" t="n"/>
      <c r="D2" s="163" t="n"/>
      <c r="E2" s="163" t="n"/>
      <c r="F2" s="163" t="n"/>
      <c r="G2" s="163" t="n"/>
      <c r="H2" s="207" t="inlineStr">
        <is>
          <t>Приложение №5</t>
        </is>
      </c>
      <c r="K2" s="163" t="n"/>
      <c r="L2" s="163" t="n"/>
      <c r="M2" s="163" t="n"/>
      <c r="N2" s="163" t="n"/>
    </row>
    <row r="3" s="165">
      <c r="A3" s="163" t="n"/>
      <c r="B3" s="163" t="n"/>
      <c r="C3" s="163" t="n"/>
      <c r="D3" s="163" t="n"/>
      <c r="E3" s="163" t="n"/>
      <c r="F3" s="163" t="n"/>
      <c r="G3" s="163" t="n"/>
      <c r="H3" s="163" t="n"/>
      <c r="I3" s="163" t="n"/>
      <c r="J3" s="163" t="n"/>
      <c r="K3" s="163" t="n"/>
      <c r="L3" s="163" t="n"/>
      <c r="M3" s="163" t="n"/>
      <c r="N3" s="163" t="n"/>
    </row>
    <row r="4" ht="12.75" customFormat="1" customHeight="1" s="153">
      <c r="A4" s="198" t="inlineStr">
        <is>
          <t>Расчет стоимости СМР и оборудования</t>
        </is>
      </c>
    </row>
    <row r="5" ht="12.75" customFormat="1" customHeight="1" s="153">
      <c r="A5" s="198" t="n"/>
      <c r="B5" s="198" t="n"/>
      <c r="C5" s="55" t="n"/>
      <c r="D5" s="198" t="n"/>
      <c r="E5" s="198" t="n"/>
      <c r="F5" s="198" t="n"/>
      <c r="G5" s="198" t="n"/>
      <c r="H5" s="198" t="n"/>
      <c r="I5" s="198" t="n"/>
      <c r="J5" s="198" t="n"/>
    </row>
    <row r="6" ht="12.75" customFormat="1" customHeight="1" s="153">
      <c r="A6" s="56" t="inlineStr">
        <is>
          <t>Наименование разрабатываемого показателя УНЦ</t>
        </is>
      </c>
      <c r="B6" s="57" t="n"/>
      <c r="C6" s="57" t="n"/>
      <c r="D6" s="208" t="inlineStr">
        <is>
          <t>Устройство порталов и ошиновки ОРУ 220 кВ</t>
        </is>
      </c>
    </row>
    <row r="7" ht="12.75" customFormat="1" customHeight="1" s="153">
      <c r="A7" s="209" t="inlineStr">
        <is>
          <t>Единица измерения  — 1 ед</t>
        </is>
      </c>
      <c r="I7" s="199" t="n"/>
      <c r="J7" s="199" t="n"/>
    </row>
    <row r="8" ht="13.5" customFormat="1" customHeight="1" s="153">
      <c r="A8" s="209" t="n"/>
    </row>
    <row r="9" ht="13.2" customFormat="1" customHeight="1" s="153"/>
    <row r="10" ht="27" customHeight="1" s="165">
      <c r="A10" s="203" t="inlineStr">
        <is>
          <t>№ пп.</t>
        </is>
      </c>
      <c r="B10" s="203" t="inlineStr">
        <is>
          <t>Код ресурса</t>
        </is>
      </c>
      <c r="C10" s="203" t="inlineStr">
        <is>
          <t>Наименование</t>
        </is>
      </c>
      <c r="D10" s="203" t="inlineStr">
        <is>
          <t>Ед. изм.</t>
        </is>
      </c>
      <c r="E10" s="203" t="inlineStr">
        <is>
          <t>Кол-во единиц по проектным данным</t>
        </is>
      </c>
      <c r="F10" s="203" t="inlineStr">
        <is>
          <t>Сметная стоимость в ценах на 01.01.2000 (руб.)</t>
        </is>
      </c>
      <c r="G10" s="230" t="n"/>
      <c r="H10" s="203" t="inlineStr">
        <is>
          <t>Удельный вес, %</t>
        </is>
      </c>
      <c r="I10" s="203" t="inlineStr">
        <is>
          <t>Сметная стоимость в ценах на 01.01.2023 (руб.)</t>
        </is>
      </c>
      <c r="J10" s="230" t="n"/>
      <c r="K10" s="163" t="n"/>
      <c r="L10" s="163" t="n"/>
      <c r="M10" s="163" t="n"/>
      <c r="N10" s="163" t="n"/>
    </row>
    <row r="11" ht="28.5" customHeight="1" s="165">
      <c r="A11" s="232" t="n"/>
      <c r="B11" s="232" t="n"/>
      <c r="C11" s="232" t="n"/>
      <c r="D11" s="232" t="n"/>
      <c r="E11" s="232" t="n"/>
      <c r="F11" s="203" t="inlineStr">
        <is>
          <t>на ед. изм.</t>
        </is>
      </c>
      <c r="G11" s="203" t="inlineStr">
        <is>
          <t>общая</t>
        </is>
      </c>
      <c r="H11" s="232" t="n"/>
      <c r="I11" s="203" t="inlineStr">
        <is>
          <t>на ед. изм.</t>
        </is>
      </c>
      <c r="J11" s="203" t="inlineStr">
        <is>
          <t>общая</t>
        </is>
      </c>
      <c r="K11" s="163" t="n"/>
      <c r="L11" s="163" t="n"/>
      <c r="M11" s="163" t="n"/>
      <c r="N11" s="163" t="n"/>
    </row>
    <row r="12" s="165">
      <c r="A12" s="203" t="n">
        <v>1</v>
      </c>
      <c r="B12" s="203" t="n">
        <v>2</v>
      </c>
      <c r="C12" s="203" t="n">
        <v>3</v>
      </c>
      <c r="D12" s="203" t="n">
        <v>4</v>
      </c>
      <c r="E12" s="203" t="n">
        <v>5</v>
      </c>
      <c r="F12" s="203" t="n">
        <v>6</v>
      </c>
      <c r="G12" s="203" t="n">
        <v>7</v>
      </c>
      <c r="H12" s="203" t="n">
        <v>8</v>
      </c>
      <c r="I12" s="210" t="n">
        <v>9</v>
      </c>
      <c r="J12" s="210" t="n">
        <v>10</v>
      </c>
      <c r="K12" s="163" t="n"/>
      <c r="L12" s="163" t="n"/>
      <c r="M12" s="163" t="n"/>
      <c r="N12" s="163" t="n"/>
    </row>
    <row r="13">
      <c r="A13" s="203" t="n"/>
      <c r="B13" s="201" t="inlineStr">
        <is>
          <t>Затраты труда рабочих-строителей</t>
        </is>
      </c>
      <c r="C13" s="229" t="n"/>
      <c r="D13" s="229" t="n"/>
      <c r="E13" s="229" t="n"/>
      <c r="F13" s="229" t="n"/>
      <c r="G13" s="229" t="n"/>
      <c r="H13" s="230" t="n"/>
      <c r="I13" s="91" t="n"/>
      <c r="J13" s="91" t="n"/>
    </row>
    <row r="14" ht="25.5" customHeight="1" s="165">
      <c r="A14" s="203" t="n">
        <v>1</v>
      </c>
      <c r="B14" s="77" t="inlineStr">
        <is>
          <t>1-4-3</t>
        </is>
      </c>
      <c r="C14" s="202" t="inlineStr">
        <is>
          <t>Затраты труда рабочих-строителей среднего разряда (4,3)</t>
        </is>
      </c>
      <c r="D14" s="203" t="inlineStr">
        <is>
          <t>чел.-ч.</t>
        </is>
      </c>
      <c r="E14" s="235">
        <f>G14/F14</f>
        <v/>
      </c>
      <c r="F14" s="144" t="n">
        <v>10.06</v>
      </c>
      <c r="G14" s="144" t="n">
        <v>4315.22</v>
      </c>
      <c r="H14" s="85">
        <f>G14/G15</f>
        <v/>
      </c>
      <c r="I14" s="144">
        <f>ФОТр.тек.!E13</f>
        <v/>
      </c>
      <c r="J14" s="144">
        <f>ROUND(I14*E14,2)</f>
        <v/>
      </c>
    </row>
    <row r="15" ht="25.5" customFormat="1" customHeight="1" s="163">
      <c r="A15" s="203" t="n"/>
      <c r="B15" s="203" t="n"/>
      <c r="C15" s="201" t="inlineStr">
        <is>
          <t>Итого по разделу "Затраты труда рабочих-строителей"</t>
        </is>
      </c>
      <c r="D15" s="203" t="inlineStr">
        <is>
          <t>чел.-ч.</t>
        </is>
      </c>
      <c r="E15" s="235">
        <f>SUM(E14:E14)</f>
        <v/>
      </c>
      <c r="F15" s="144" t="n"/>
      <c r="G15" s="144">
        <f>SUM(G14:G14)</f>
        <v/>
      </c>
      <c r="H15" s="206" t="n">
        <v>1</v>
      </c>
      <c r="I15" s="91" t="n"/>
      <c r="J15" s="144">
        <f>SUM(J14:J14)</f>
        <v/>
      </c>
    </row>
    <row r="16" ht="14.25" customFormat="1" customHeight="1" s="163">
      <c r="A16" s="203" t="n"/>
      <c r="B16" s="202" t="inlineStr">
        <is>
          <t>Затраты труда машинистов</t>
        </is>
      </c>
      <c r="C16" s="229" t="n"/>
      <c r="D16" s="229" t="n"/>
      <c r="E16" s="229" t="n"/>
      <c r="F16" s="229" t="n"/>
      <c r="G16" s="229" t="n"/>
      <c r="H16" s="230" t="n"/>
      <c r="I16" s="91" t="n"/>
      <c r="J16" s="91" t="n"/>
    </row>
    <row r="17" ht="14.25" customFormat="1" customHeight="1" s="163">
      <c r="A17" s="203" t="n">
        <v>2</v>
      </c>
      <c r="B17" s="203" t="n">
        <v>2</v>
      </c>
      <c r="C17" s="202" t="inlineStr">
        <is>
          <t>Затраты труда машинистов</t>
        </is>
      </c>
      <c r="D17" s="203" t="inlineStr">
        <is>
          <t>чел.-ч.</t>
        </is>
      </c>
      <c r="E17" s="235" t="n">
        <v>112.586856</v>
      </c>
      <c r="F17" s="144">
        <f>G17/E17</f>
        <v/>
      </c>
      <c r="G17" s="144" t="n">
        <v>1599.43</v>
      </c>
      <c r="H17" s="206" t="n">
        <v>1</v>
      </c>
      <c r="I17" s="144">
        <f>ROUND(F17*'Прил. 10'!D11,2)</f>
        <v/>
      </c>
      <c r="J17" s="144">
        <f>ROUND(I17*E17,2)</f>
        <v/>
      </c>
    </row>
    <row r="18" ht="14.25" customFormat="1" customHeight="1" s="163">
      <c r="A18" s="203" t="n"/>
      <c r="B18" s="201" t="inlineStr">
        <is>
          <t>Машины и механизмы</t>
        </is>
      </c>
      <c r="C18" s="229" t="n"/>
      <c r="D18" s="229" t="n"/>
      <c r="E18" s="229" t="n"/>
      <c r="F18" s="229" t="n"/>
      <c r="G18" s="229" t="n"/>
      <c r="H18" s="230" t="n"/>
      <c r="I18" s="91" t="n"/>
      <c r="J18" s="91" t="n"/>
    </row>
    <row r="19" ht="14.25" customFormat="1" customHeight="1" s="163">
      <c r="A19" s="203" t="n"/>
      <c r="B19" s="202" t="inlineStr">
        <is>
          <t>Основные машины и механизмы</t>
        </is>
      </c>
      <c r="C19" s="229" t="n"/>
      <c r="D19" s="229" t="n"/>
      <c r="E19" s="229" t="n"/>
      <c r="F19" s="229" t="n"/>
      <c r="G19" s="229" t="n"/>
      <c r="H19" s="230" t="n"/>
      <c r="I19" s="91" t="n"/>
      <c r="J19" s="91" t="n"/>
    </row>
    <row r="20" ht="25.5" customFormat="1" customHeight="1" s="163">
      <c r="A20" s="203" t="n">
        <v>3</v>
      </c>
      <c r="B20" s="77" t="inlineStr">
        <is>
          <t>91.05.05-015</t>
        </is>
      </c>
      <c r="C20" s="202" t="inlineStr">
        <is>
          <t>Краны на автомобильном ходу, грузоподъемность 16 т</t>
        </is>
      </c>
      <c r="D20" s="203" t="inlineStr">
        <is>
          <t>маш.час</t>
        </is>
      </c>
      <c r="E20" s="235" t="n">
        <v>59.5104</v>
      </c>
      <c r="F20" s="205" t="n">
        <v>115.4</v>
      </c>
      <c r="G20" s="144">
        <f>ROUND(E20*F20,2)</f>
        <v/>
      </c>
      <c r="H20" s="85">
        <f>G20/$G$32</f>
        <v/>
      </c>
      <c r="I20" s="144">
        <f>ROUND(F20*'Прил. 10'!$D$12,2)</f>
        <v/>
      </c>
      <c r="J20" s="144">
        <f>ROUND(I20*E20,2)</f>
        <v/>
      </c>
    </row>
    <row r="21" ht="25.5" customFormat="1" customHeight="1" s="163">
      <c r="A21" s="203" t="n">
        <v>4</v>
      </c>
      <c r="B21" s="77" t="inlineStr">
        <is>
          <t>91.06.06-014</t>
        </is>
      </c>
      <c r="C21" s="202" t="inlineStr">
        <is>
          <t>Автогидроподъемники, высота подъема 28 м</t>
        </is>
      </c>
      <c r="D21" s="203" t="inlineStr">
        <is>
          <t>маш.час</t>
        </is>
      </c>
      <c r="E21" s="235" t="n">
        <v>17.47008</v>
      </c>
      <c r="F21" s="205" t="n">
        <v>243.49</v>
      </c>
      <c r="G21" s="144">
        <f>ROUND(E21*F21,2)</f>
        <v/>
      </c>
      <c r="H21" s="85">
        <f>G21/$G$32</f>
        <v/>
      </c>
      <c r="I21" s="144">
        <f>ROUND(F21*'Прил. 10'!D12,2)</f>
        <v/>
      </c>
      <c r="J21" s="144">
        <f>ROUND(I21*E21,2)</f>
        <v/>
      </c>
    </row>
    <row r="22" ht="25.5" customFormat="1" customHeight="1" s="163">
      <c r="A22" s="203" t="n">
        <v>5</v>
      </c>
      <c r="B22" s="77" t="inlineStr">
        <is>
          <t>91.05.08-007</t>
        </is>
      </c>
      <c r="C22" s="202" t="inlineStr">
        <is>
          <t>Краны на пневмоколесном ходу, грузоподъемность 25 т</t>
        </is>
      </c>
      <c r="D22" s="203" t="inlineStr">
        <is>
          <t>маш.час</t>
        </is>
      </c>
      <c r="E22" s="235" t="n">
        <v>25.344832</v>
      </c>
      <c r="F22" s="205" t="n">
        <v>102.51</v>
      </c>
      <c r="G22" s="144">
        <f>ROUND(E22*F22,2)</f>
        <v/>
      </c>
      <c r="H22" s="85">
        <f>G22/$G$32</f>
        <v/>
      </c>
      <c r="I22" s="144">
        <f>ROUND(F22*'Прил. 10'!$D$12,2)</f>
        <v/>
      </c>
      <c r="J22" s="144">
        <f>ROUND(I22*E22,2)</f>
        <v/>
      </c>
    </row>
    <row r="23" ht="14.25" customFormat="1" customHeight="1" s="163">
      <c r="A23" s="203" t="n"/>
      <c r="B23" s="203" t="n"/>
      <c r="C23" s="202" t="inlineStr">
        <is>
          <t>Итого основные машины и механизмы</t>
        </is>
      </c>
      <c r="D23" s="203" t="n"/>
      <c r="E23" s="235" t="n"/>
      <c r="F23" s="144" t="n"/>
      <c r="G23" s="144">
        <f>SUM(G20:G22)</f>
        <v/>
      </c>
      <c r="H23" s="206">
        <f>G23/G32</f>
        <v/>
      </c>
      <c r="I23" s="97" t="n"/>
      <c r="J23" s="144">
        <f>SUM(J20:J22)</f>
        <v/>
      </c>
    </row>
    <row r="24" outlineLevel="1" ht="38.25" customFormat="1" customHeight="1" s="163">
      <c r="A24" s="203" t="n">
        <v>6</v>
      </c>
      <c r="B24" s="77" t="inlineStr">
        <is>
          <t>91.17.04-036</t>
        </is>
      </c>
      <c r="C24" s="202" t="inlineStr">
        <is>
          <t>Агрегаты сварочные передвижные с дизельным двигателем, номинальный сварочный ток 250-400 А</t>
        </is>
      </c>
      <c r="D24" s="203" t="inlineStr">
        <is>
          <t>маш.час</t>
        </is>
      </c>
      <c r="E24" s="235" t="n">
        <v>57.0858</v>
      </c>
      <c r="F24" s="205" t="n">
        <v>14</v>
      </c>
      <c r="G24" s="144">
        <f>ROUND(E24*F24,2)</f>
        <v/>
      </c>
      <c r="H24" s="85">
        <f>G24/$G$32</f>
        <v/>
      </c>
      <c r="I24" s="144">
        <f>ROUND(F24*'Прил. 10'!$D$12,2)</f>
        <v/>
      </c>
      <c r="J24" s="144">
        <f>ROUND(I24*E24,2)</f>
        <v/>
      </c>
    </row>
    <row r="25" outlineLevel="1" ht="25.5" customFormat="1" customHeight="1" s="163">
      <c r="A25" s="203" t="n">
        <v>7</v>
      </c>
      <c r="B25" s="77" t="inlineStr">
        <is>
          <t>91.01.05-088</t>
        </is>
      </c>
      <c r="C25" s="202" t="inlineStr">
        <is>
          <t>Экскаваторы одноковшовые дизельные на гусеничном ходу, емкость ковша 1,6 м3</t>
        </is>
      </c>
      <c r="D25" s="203" t="inlineStr">
        <is>
          <t>маш.час</t>
        </is>
      </c>
      <c r="E25" s="235" t="n">
        <v>2.26368</v>
      </c>
      <c r="F25" s="205" t="n">
        <v>198.4</v>
      </c>
      <c r="G25" s="144">
        <f>ROUND(E25*F25,2)</f>
        <v/>
      </c>
      <c r="H25" s="85">
        <f>G25/$G$32</f>
        <v/>
      </c>
      <c r="I25" s="144">
        <f>ROUND(F25*'Прил. 10'!$D$12,2)</f>
        <v/>
      </c>
      <c r="J25" s="144">
        <f>ROUND(I25*E25,2)</f>
        <v/>
      </c>
    </row>
    <row r="26" outlineLevel="1" ht="25.5" customFormat="1" customHeight="1" s="163">
      <c r="A26" s="203" t="n">
        <v>8</v>
      </c>
      <c r="B26" s="77" t="inlineStr">
        <is>
          <t>91.14.03-002</t>
        </is>
      </c>
      <c r="C26" s="202" t="inlineStr">
        <is>
          <t>Автомобили-самосвалы, грузоподъемность до 10 т</t>
        </is>
      </c>
      <c r="D26" s="203" t="inlineStr">
        <is>
          <t>маш.-ч</t>
        </is>
      </c>
      <c r="E26" s="235" t="n">
        <v>4.59</v>
      </c>
      <c r="F26" s="205" t="n">
        <v>87.48999999999999</v>
      </c>
      <c r="G26" s="144">
        <f>ROUND(E26*F26,2)</f>
        <v/>
      </c>
      <c r="H26" s="85">
        <f>G26/$G$32</f>
        <v/>
      </c>
      <c r="I26" s="144">
        <f>ROUND(F26*'Прил. 10'!$D$12,2)</f>
        <v/>
      </c>
      <c r="J26" s="144">
        <f>ROUND(I26*E26,2)</f>
        <v/>
      </c>
    </row>
    <row r="27" outlineLevel="1" ht="14.25" customFormat="1" customHeight="1" s="163">
      <c r="A27" s="203" t="n">
        <v>9</v>
      </c>
      <c r="B27" s="77" t="inlineStr">
        <is>
          <t>91.01.01-035</t>
        </is>
      </c>
      <c r="C27" s="202" t="inlineStr">
        <is>
          <t>Бульдозеры, мощность 79 кВт (108 л.с.)</t>
        </is>
      </c>
      <c r="D27" s="203" t="inlineStr">
        <is>
          <t>маш.час</t>
        </is>
      </c>
      <c r="E27" s="235" t="n">
        <v>3.04629</v>
      </c>
      <c r="F27" s="205" t="n">
        <v>79.06999999999999</v>
      </c>
      <c r="G27" s="144">
        <f>ROUND(E27*F27,2)</f>
        <v/>
      </c>
      <c r="H27" s="85">
        <f>G27/$G$32</f>
        <v/>
      </c>
      <c r="I27" s="144">
        <f>ROUND(F27*'Прил. 10'!$D$12,2)</f>
        <v/>
      </c>
      <c r="J27" s="144">
        <f>ROUND(I27*E27,2)</f>
        <v/>
      </c>
    </row>
    <row r="28" outlineLevel="1" ht="25.5" customFormat="1" customHeight="1" s="163">
      <c r="A28" s="203" t="n">
        <v>10</v>
      </c>
      <c r="B28" s="77" t="inlineStr">
        <is>
          <t>91.14.02-002</t>
        </is>
      </c>
      <c r="C28" s="202" t="inlineStr">
        <is>
          <t>Автомобили бортовые, грузоподъемность до 8 т</t>
        </is>
      </c>
      <c r="D28" s="203" t="inlineStr">
        <is>
          <t>маш.час</t>
        </is>
      </c>
      <c r="E28" s="235" t="n">
        <v>1.355248</v>
      </c>
      <c r="F28" s="205" t="n">
        <v>85.84</v>
      </c>
      <c r="G28" s="144">
        <f>ROUND(E28*F28,2)</f>
        <v/>
      </c>
      <c r="H28" s="85">
        <f>G28/$G$32</f>
        <v/>
      </c>
      <c r="I28" s="144">
        <f>ROUND(F28*'Прил. 10'!$D$12,2)</f>
        <v/>
      </c>
      <c r="J28" s="144">
        <f>ROUND(I28*E28,2)</f>
        <v/>
      </c>
    </row>
    <row r="29" outlineLevel="1" ht="25.5" customFormat="1" customHeight="1" s="163">
      <c r="A29" s="203" t="n">
        <v>11</v>
      </c>
      <c r="B29" s="77" t="inlineStr">
        <is>
          <t>91.08.03-009</t>
        </is>
      </c>
      <c r="C29" s="202" t="inlineStr">
        <is>
          <t>Катки самоходные гладкие вибрационные, масса 2,2 т</t>
        </is>
      </c>
      <c r="D29" s="203" t="inlineStr">
        <is>
          <t>маш.час</t>
        </is>
      </c>
      <c r="E29" s="235" t="n">
        <v>0.786996</v>
      </c>
      <c r="F29" s="205" t="n">
        <v>103.16</v>
      </c>
      <c r="G29" s="144">
        <f>ROUND(E29*F29,2)</f>
        <v/>
      </c>
      <c r="H29" s="85">
        <f>G29/$G$32</f>
        <v/>
      </c>
      <c r="I29" s="144">
        <f>ROUND(F29*'Прил. 10'!$D$12,2)</f>
        <v/>
      </c>
      <c r="J29" s="144">
        <f>ROUND(I29*E29,2)</f>
        <v/>
      </c>
    </row>
    <row r="30" outlineLevel="1" ht="14.25" customFormat="1" customHeight="1" s="163">
      <c r="A30" s="203" t="n">
        <v>12</v>
      </c>
      <c r="B30" s="77" t="inlineStr">
        <is>
          <t>91.01.01-038</t>
        </is>
      </c>
      <c r="C30" s="202" t="inlineStr">
        <is>
          <t>Бульдозеры, мощность 121 кВт (165 л.с.)</t>
        </is>
      </c>
      <c r="D30" s="203" t="inlineStr">
        <is>
          <t>маш.час</t>
        </is>
      </c>
      <c r="E30" s="235" t="n">
        <v>0.54565</v>
      </c>
      <c r="F30" s="205" t="n">
        <v>122.4</v>
      </c>
      <c r="G30" s="144">
        <f>ROUND(E30*F30,2)</f>
        <v/>
      </c>
      <c r="H30" s="85">
        <f>G30/$G$32</f>
        <v/>
      </c>
      <c r="I30" s="144">
        <f>ROUND(F30*'Прил. 10'!$D$12,2)</f>
        <v/>
      </c>
      <c r="J30" s="144">
        <f>ROUND(I30*E30,2)</f>
        <v/>
      </c>
    </row>
    <row r="31" ht="14.25" customFormat="1" customHeight="1" s="163">
      <c r="A31" s="203" t="n"/>
      <c r="B31" s="203" t="n"/>
      <c r="C31" s="202" t="inlineStr">
        <is>
          <t>Итого прочие машины и механизмы</t>
        </is>
      </c>
      <c r="D31" s="203" t="n"/>
      <c r="E31" s="204" t="n"/>
      <c r="F31" s="144" t="n"/>
      <c r="G31" s="97">
        <f>SUM(G24:G30)</f>
        <v/>
      </c>
      <c r="H31" s="85">
        <f>G31/G32</f>
        <v/>
      </c>
      <c r="I31" s="144" t="n"/>
      <c r="J31" s="144">
        <f>SUM(J24:J30)</f>
        <v/>
      </c>
    </row>
    <row r="32" ht="25.5" customFormat="1" customHeight="1" s="163">
      <c r="A32" s="203" t="n"/>
      <c r="B32" s="203" t="n"/>
      <c r="C32" s="201" t="inlineStr">
        <is>
          <t>Итого по разделу «Машины и механизмы»</t>
        </is>
      </c>
      <c r="D32" s="203" t="n"/>
      <c r="E32" s="204" t="n"/>
      <c r="F32" s="144" t="n"/>
      <c r="G32" s="144">
        <f>G31+G23</f>
        <v/>
      </c>
      <c r="H32" s="87" t="n">
        <v>1</v>
      </c>
      <c r="I32" s="88" t="n"/>
      <c r="J32" s="110">
        <f>J31+J23</f>
        <v/>
      </c>
    </row>
    <row r="33" ht="14.25" customFormat="1" customHeight="1" s="163">
      <c r="A33" s="203" t="n"/>
      <c r="B33" s="201" t="inlineStr">
        <is>
          <t>Оборудование</t>
        </is>
      </c>
      <c r="C33" s="229" t="n"/>
      <c r="D33" s="229" t="n"/>
      <c r="E33" s="229" t="n"/>
      <c r="F33" s="229" t="n"/>
      <c r="G33" s="229" t="n"/>
      <c r="H33" s="230" t="n"/>
      <c r="I33" s="91" t="n"/>
      <c r="J33" s="91" t="n"/>
    </row>
    <row r="34" s="165">
      <c r="A34" s="203" t="n"/>
      <c r="B34" s="202" t="inlineStr">
        <is>
          <t>Основное оборудование</t>
        </is>
      </c>
      <c r="C34" s="229" t="n"/>
      <c r="D34" s="229" t="n"/>
      <c r="E34" s="229" t="n"/>
      <c r="F34" s="229" t="n"/>
      <c r="G34" s="229" t="n"/>
      <c r="H34" s="230" t="n"/>
      <c r="I34" s="91" t="n"/>
      <c r="J34" s="91" t="n"/>
      <c r="K34" s="163" t="n"/>
      <c r="L34" s="163" t="n"/>
    </row>
    <row r="35" s="165">
      <c r="A35" s="203" t="n"/>
      <c r="B35" s="203" t="n"/>
      <c r="C35" s="202" t="inlineStr">
        <is>
          <t>Итого основное оборудование</t>
        </is>
      </c>
      <c r="D35" s="203" t="n"/>
      <c r="E35" s="235" t="n"/>
      <c r="F35" s="205" t="n"/>
      <c r="G35" s="144" t="n">
        <v>0</v>
      </c>
      <c r="H35" s="206" t="n">
        <v>0</v>
      </c>
      <c r="I35" s="97" t="n"/>
      <c r="J35" s="144" t="n">
        <v>0</v>
      </c>
      <c r="K35" s="163" t="n"/>
      <c r="L35" s="163" t="n"/>
    </row>
    <row r="36" s="165">
      <c r="A36" s="203" t="n"/>
      <c r="B36" s="203" t="n"/>
      <c r="C36" s="202" t="inlineStr">
        <is>
          <t>Итого прочее оборудование</t>
        </is>
      </c>
      <c r="D36" s="203" t="n"/>
      <c r="E36" s="235" t="n"/>
      <c r="F36" s="205" t="n"/>
      <c r="G36" s="144" t="n">
        <v>0</v>
      </c>
      <c r="H36" s="206" t="n">
        <v>0</v>
      </c>
      <c r="I36" s="97" t="n"/>
      <c r="J36" s="144" t="n">
        <v>0</v>
      </c>
      <c r="K36" s="163" t="n"/>
      <c r="L36" s="163" t="n"/>
    </row>
    <row r="37" s="165">
      <c r="A37" s="203" t="n"/>
      <c r="B37" s="203" t="n"/>
      <c r="C37" s="201" t="inlineStr">
        <is>
          <t>Итого по разделу «Оборудование»</t>
        </is>
      </c>
      <c r="D37" s="203" t="n"/>
      <c r="E37" s="204" t="n"/>
      <c r="F37" s="205" t="n"/>
      <c r="G37" s="144">
        <f>G35+G36</f>
        <v/>
      </c>
      <c r="H37" s="206" t="n">
        <v>0</v>
      </c>
      <c r="I37" s="97" t="n"/>
      <c r="J37" s="144">
        <f>J36+J35</f>
        <v/>
      </c>
      <c r="K37" s="163" t="n"/>
      <c r="L37" s="163" t="n"/>
    </row>
    <row r="38" ht="25.5" customHeight="1" s="165">
      <c r="A38" s="203" t="n"/>
      <c r="B38" s="203" t="n"/>
      <c r="C38" s="202" t="inlineStr">
        <is>
          <t>в том числе технологическое оборудование</t>
        </is>
      </c>
      <c r="D38" s="203" t="n"/>
      <c r="E38" s="236" t="n"/>
      <c r="F38" s="205" t="n"/>
      <c r="G38" s="144">
        <f>G37</f>
        <v/>
      </c>
      <c r="H38" s="206" t="n"/>
      <c r="I38" s="97" t="n"/>
      <c r="J38" s="144">
        <f>J37</f>
        <v/>
      </c>
      <c r="K38" s="163" t="n"/>
      <c r="L38" s="163" t="n"/>
    </row>
    <row r="39" ht="14.25" customFormat="1" customHeight="1" s="163">
      <c r="A39" s="203" t="n"/>
      <c r="B39" s="201" t="inlineStr">
        <is>
          <t>Материалы</t>
        </is>
      </c>
      <c r="C39" s="229" t="n"/>
      <c r="D39" s="229" t="n"/>
      <c r="E39" s="229" t="n"/>
      <c r="F39" s="229" t="n"/>
      <c r="G39" s="229" t="n"/>
      <c r="H39" s="230" t="n"/>
      <c r="I39" s="91" t="n"/>
      <c r="J39" s="91" t="n"/>
    </row>
    <row r="40" ht="14.25" customFormat="1" customHeight="1" s="163">
      <c r="A40" s="210" t="n"/>
      <c r="B40" s="218" t="inlineStr">
        <is>
          <t>Основные материалы</t>
        </is>
      </c>
      <c r="C40" s="237" t="n"/>
      <c r="D40" s="237" t="n"/>
      <c r="E40" s="237" t="n"/>
      <c r="F40" s="237" t="n"/>
      <c r="G40" s="237" t="n"/>
      <c r="H40" s="238" t="n"/>
      <c r="I40" s="103" t="n"/>
      <c r="J40" s="103" t="n"/>
    </row>
    <row r="41" ht="14.25" customFormat="1" customHeight="1" s="163">
      <c r="A41" s="203" t="n">
        <v>13</v>
      </c>
      <c r="B41" s="203" t="inlineStr">
        <is>
          <t>22.2.02.07-0003</t>
        </is>
      </c>
      <c r="C41" s="202" t="inlineStr">
        <is>
          <t>Конструкции стальные: порталов ОРУ</t>
        </is>
      </c>
      <c r="D41" s="203" t="inlineStr">
        <is>
          <t>т</t>
        </is>
      </c>
      <c r="E41" s="204" t="n">
        <v>17.1186</v>
      </c>
      <c r="F41" s="205" t="n">
        <v>12500</v>
      </c>
      <c r="G41" s="144">
        <f>ROUND(E41*F41,2)</f>
        <v/>
      </c>
      <c r="H41" s="85">
        <f>G41/G48</f>
        <v/>
      </c>
      <c r="I41" s="144">
        <f>ROUND(F41*'Прил. 10'!$D$13,2)</f>
        <v/>
      </c>
      <c r="J41" s="144">
        <f>ROUND(I41*E41,2)</f>
        <v/>
      </c>
    </row>
    <row r="42" ht="38.25" customFormat="1" customHeight="1" s="163">
      <c r="A42" s="203" t="n">
        <v>14</v>
      </c>
      <c r="B42" s="77" t="inlineStr">
        <is>
          <t>05.1.05.15-0021</t>
        </is>
      </c>
      <c r="C42" s="202" t="inlineStr">
        <is>
          <t>Фундаменты стаканного типа Ф12.9.2а (1200х1200х900 мм), бетон B25, объем 0,83 м3, расход арматуры 107,32 кг</t>
        </is>
      </c>
      <c r="D42" s="203" t="inlineStr">
        <is>
          <t>шт</t>
        </is>
      </c>
      <c r="E42" s="145" t="n">
        <v>16</v>
      </c>
      <c r="F42" s="144" t="n">
        <v>2817.22</v>
      </c>
      <c r="G42" s="144">
        <f>ROUND(E42*F42,2)</f>
        <v/>
      </c>
      <c r="H42" s="85">
        <f>G42/G49</f>
        <v/>
      </c>
      <c r="I42" s="144">
        <f>ROUND(F42*'Прил. 10'!$D$13,2)</f>
        <v/>
      </c>
      <c r="J42" s="144">
        <f>ROUND(I42*E42,2)</f>
        <v/>
      </c>
    </row>
    <row r="43" ht="14.25" customFormat="1" customHeight="1" s="163">
      <c r="A43" s="211" t="n"/>
      <c r="B43" s="134" t="n"/>
      <c r="C43" s="135" t="inlineStr">
        <is>
          <t>Итого основные материалы</t>
        </is>
      </c>
      <c r="D43" s="136" t="n"/>
      <c r="E43" s="239" t="n"/>
      <c r="F43" s="139" t="n"/>
      <c r="G43" s="139">
        <f>G41+G42</f>
        <v/>
      </c>
      <c r="H43" s="109">
        <f>G43/G48</f>
        <v/>
      </c>
      <c r="I43" s="110" t="n"/>
      <c r="J43" s="110">
        <f>J41</f>
        <v/>
      </c>
    </row>
    <row r="44" ht="14.25" customFormat="1" customHeight="1" s="163">
      <c r="A44" s="133" t="n">
        <v>15</v>
      </c>
      <c r="B44" s="77" t="inlineStr">
        <is>
          <t>01.7.11.07-0032</t>
        </is>
      </c>
      <c r="C44" s="202" t="inlineStr">
        <is>
          <t>Электроды сварочные Э42, диаметр 4 мм</t>
        </is>
      </c>
      <c r="D44" s="203" t="inlineStr">
        <is>
          <t>т</t>
        </is>
      </c>
      <c r="E44" s="235" t="n">
        <v>0.162808</v>
      </c>
      <c r="F44" s="144" t="n">
        <v>10315.01</v>
      </c>
      <c r="G44" s="144">
        <f>ROUND(E44*F44,2)</f>
        <v/>
      </c>
      <c r="H44" s="85">
        <f>G44/$G$48</f>
        <v/>
      </c>
      <c r="I44" s="144">
        <f>ROUND(F44*'Прил. 10'!$D$13,2)</f>
        <v/>
      </c>
      <c r="J44" s="144">
        <f>ROUND(I44*E44,2)</f>
        <v/>
      </c>
    </row>
    <row r="45" ht="14.25" customFormat="1" customHeight="1" s="163">
      <c r="A45" s="133" t="n">
        <v>16</v>
      </c>
      <c r="B45" s="77" t="inlineStr">
        <is>
          <t>01.7.15.03-0042</t>
        </is>
      </c>
      <c r="C45" s="202" t="inlineStr">
        <is>
          <t>Болты с гайками и шайбами строительные</t>
        </is>
      </c>
      <c r="D45" s="203" t="inlineStr">
        <is>
          <t>кг</t>
        </is>
      </c>
      <c r="E45" s="235" t="n">
        <v>112</v>
      </c>
      <c r="F45" s="144" t="n">
        <v>9.039999999999999</v>
      </c>
      <c r="G45" s="144">
        <f>ROUND(E45*F45,2)</f>
        <v/>
      </c>
      <c r="H45" s="85">
        <f>G45/$G$48</f>
        <v/>
      </c>
      <c r="I45" s="144">
        <f>ROUND(F45*'Прил. 10'!$D$13,2)</f>
        <v/>
      </c>
      <c r="J45" s="144">
        <f>ROUND(I45*E45,2)</f>
        <v/>
      </c>
    </row>
    <row r="46" ht="25.5" customFormat="1" customHeight="1" s="163">
      <c r="A46" s="133" t="n">
        <v>17</v>
      </c>
      <c r="B46" s="77" t="inlineStr">
        <is>
          <t>02.2.05.04-1777</t>
        </is>
      </c>
      <c r="C46" s="202" t="inlineStr">
        <is>
          <t>Щебень М 800, фракция 20-40 мм, группа 2</t>
        </is>
      </c>
      <c r="D46" s="203" t="inlineStr">
        <is>
          <t>м3</t>
        </is>
      </c>
      <c r="E46" s="235" t="n">
        <v>0.006288</v>
      </c>
      <c r="F46" s="144" t="n">
        <v>108.4</v>
      </c>
      <c r="G46" s="144">
        <f>ROUND(E46*F46,2)</f>
        <v/>
      </c>
      <c r="H46" s="85">
        <f>G46/$G$48</f>
        <v/>
      </c>
      <c r="I46" s="144">
        <f>ROUND(F46*'Прил. 10'!$D$13,2)</f>
        <v/>
      </c>
      <c r="J46" s="144">
        <f>ROUND(I46*E46,2)</f>
        <v/>
      </c>
    </row>
    <row r="47" ht="14.25" customFormat="1" customHeight="1" s="163">
      <c r="A47" s="203" t="n"/>
      <c r="B47" s="211" t="n"/>
      <c r="C47" s="140" t="inlineStr">
        <is>
          <t>Итого прочие материалы</t>
        </is>
      </c>
      <c r="D47" s="211" t="n"/>
      <c r="E47" s="141" t="n"/>
      <c r="F47" s="142" t="n"/>
      <c r="G47" s="110">
        <f>SUM(G44:G46)</f>
        <v/>
      </c>
      <c r="H47" s="206">
        <f>G47/G48</f>
        <v/>
      </c>
      <c r="I47" s="144" t="n"/>
      <c r="J47" s="144">
        <f>SUM(J44:J46)</f>
        <v/>
      </c>
    </row>
    <row r="48" ht="14.25" customFormat="1" customHeight="1" s="163">
      <c r="A48" s="203" t="n"/>
      <c r="B48" s="203" t="n"/>
      <c r="C48" s="201" t="inlineStr">
        <is>
          <t>Итого по разделу «Материалы»</t>
        </is>
      </c>
      <c r="D48" s="203" t="n"/>
      <c r="E48" s="204" t="n"/>
      <c r="F48" s="205" t="n"/>
      <c r="G48" s="144">
        <f>G43+G47</f>
        <v/>
      </c>
      <c r="H48" s="206">
        <f>H47+H43</f>
        <v/>
      </c>
      <c r="I48" s="144" t="n"/>
      <c r="J48" s="144">
        <f>J43+J47</f>
        <v/>
      </c>
    </row>
    <row r="49" ht="14.25" customFormat="1" customHeight="1" s="163">
      <c r="A49" s="203" t="n"/>
      <c r="B49" s="203" t="n"/>
      <c r="C49" s="202" t="inlineStr">
        <is>
          <t>ИТОГО ПО РМ</t>
        </is>
      </c>
      <c r="D49" s="203" t="n"/>
      <c r="E49" s="204" t="n"/>
      <c r="F49" s="205" t="n"/>
      <c r="G49" s="144">
        <f>G15+G32+G48</f>
        <v/>
      </c>
      <c r="H49" s="206" t="n"/>
      <c r="I49" s="144" t="n"/>
      <c r="J49" s="144">
        <f>J15+J32+J48</f>
        <v/>
      </c>
    </row>
    <row r="50" ht="14.25" customFormat="1" customHeight="1" s="163">
      <c r="A50" s="203" t="n"/>
      <c r="B50" s="203" t="n"/>
      <c r="C50" s="202" t="inlineStr">
        <is>
          <t>Накладные расходы</t>
        </is>
      </c>
      <c r="D50" s="112">
        <f>ROUND(G50/(G$17+$G$15),2)</f>
        <v/>
      </c>
      <c r="E50" s="204" t="n"/>
      <c r="F50" s="205" t="n"/>
      <c r="G50" s="144" t="n">
        <v>6072.58</v>
      </c>
      <c r="H50" s="206" t="n"/>
      <c r="I50" s="144" t="n"/>
      <c r="J50" s="144">
        <f>ROUND(D50*(J15+J17),2)</f>
        <v/>
      </c>
    </row>
    <row r="51" ht="14.25" customFormat="1" customHeight="1" s="163">
      <c r="A51" s="203" t="n"/>
      <c r="B51" s="203" t="n"/>
      <c r="C51" s="202" t="inlineStr">
        <is>
          <t>Сметная прибыль</t>
        </is>
      </c>
      <c r="D51" s="112">
        <f>ROUND(G51/(G$15+G$17),2)</f>
        <v/>
      </c>
      <c r="E51" s="204" t="n"/>
      <c r="F51" s="205" t="n"/>
      <c r="G51" s="144" t="n">
        <v>3531.73</v>
      </c>
      <c r="H51" s="206" t="n"/>
      <c r="I51" s="144" t="n"/>
      <c r="J51" s="144">
        <f>ROUND(D51*(J15+J17),2)</f>
        <v/>
      </c>
    </row>
    <row r="52" ht="14.25" customFormat="1" customHeight="1" s="163">
      <c r="A52" s="203" t="n"/>
      <c r="B52" s="203" t="n"/>
      <c r="C52" s="202" t="inlineStr">
        <is>
          <t>Итого СМР (с НР и СП)</t>
        </is>
      </c>
      <c r="D52" s="203" t="n"/>
      <c r="E52" s="204" t="n"/>
      <c r="F52" s="205" t="n"/>
      <c r="G52" s="144">
        <f>G15+G32+G48+G50+G51</f>
        <v/>
      </c>
      <c r="H52" s="206" t="n"/>
      <c r="I52" s="144" t="n"/>
      <c r="J52" s="144">
        <f>J15+J32+J48+J50+J51</f>
        <v/>
      </c>
    </row>
    <row r="53" ht="14.25" customFormat="1" customHeight="1" s="163">
      <c r="A53" s="203" t="n"/>
      <c r="B53" s="203" t="n"/>
      <c r="C53" s="202" t="inlineStr">
        <is>
          <t>ВСЕГО СМР + ОБОРУДОВАНИЕ</t>
        </is>
      </c>
      <c r="D53" s="203" t="n"/>
      <c r="E53" s="204" t="n"/>
      <c r="F53" s="205" t="n"/>
      <c r="G53" s="144">
        <f>G52+G37</f>
        <v/>
      </c>
      <c r="H53" s="206" t="n"/>
      <c r="I53" s="144" t="n"/>
      <c r="J53" s="144">
        <f>J52+J37</f>
        <v/>
      </c>
    </row>
    <row r="54" ht="34.5" customFormat="1" customHeight="1" s="163">
      <c r="A54" s="203" t="n"/>
      <c r="B54" s="203" t="n"/>
      <c r="C54" s="202" t="inlineStr">
        <is>
          <t>ИТОГО ПОКАЗАТЕЛЬ НА ЕД. ИЗМ.</t>
        </is>
      </c>
      <c r="D54" s="203" t="inlineStr">
        <is>
          <t>ед.</t>
        </is>
      </c>
      <c r="E54" s="204" t="n">
        <v>2</v>
      </c>
      <c r="F54" s="205" t="n"/>
      <c r="G54" s="144">
        <f>G53/E54</f>
        <v/>
      </c>
      <c r="H54" s="206" t="n"/>
      <c r="I54" s="144" t="n"/>
      <c r="J54" s="144">
        <f>J53/E54</f>
        <v/>
      </c>
    </row>
    <row r="56" ht="14.25" customFormat="1" customHeight="1" s="163">
      <c r="A56" s="153" t="inlineStr">
        <is>
          <t>Составил ______________________    Р.Р. Шагеева</t>
        </is>
      </c>
    </row>
    <row r="57" ht="14.25" customFormat="1" customHeight="1" s="163">
      <c r="A57" s="162" t="inlineStr">
        <is>
          <t xml:space="preserve">                         (подпись, инициалы, фамилия)</t>
        </is>
      </c>
    </row>
    <row r="58" ht="14.25" customFormat="1" customHeight="1" s="163">
      <c r="A58" s="153" t="n"/>
    </row>
    <row r="59" ht="14.25" customFormat="1" customHeight="1" s="163">
      <c r="A59" s="153" t="inlineStr">
        <is>
          <t>Проверил ______________________        А.В. Костянецкая</t>
        </is>
      </c>
    </row>
    <row r="60" ht="14.25" customFormat="1" customHeight="1" s="163">
      <c r="A60" s="16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7" sqref="C27"/>
    </sheetView>
  </sheetViews>
  <sheetFormatPr baseColWidth="8" defaultRowHeight="14.4"/>
  <cols>
    <col width="5.6640625" customWidth="1" style="165" min="1" max="1"/>
    <col width="17.5546875" customWidth="1" style="165" min="2" max="2"/>
    <col width="39.109375" customWidth="1" style="165" min="3" max="3"/>
    <col width="10.6640625" customWidth="1" style="165" min="4" max="4"/>
    <col width="13.88671875" customWidth="1" style="165" min="5" max="5"/>
    <col width="13.33203125" customWidth="1" style="165" min="6" max="6"/>
    <col width="14.109375" customWidth="1" style="165" min="7" max="7"/>
    <col width="9.109375" customWidth="1" style="165" min="8" max="8"/>
  </cols>
  <sheetData>
    <row r="1">
      <c r="A1" s="226" t="inlineStr">
        <is>
          <t>Приложение №6</t>
        </is>
      </c>
    </row>
    <row r="2" ht="21.75" customHeight="1" s="165">
      <c r="A2" s="226" t="n"/>
      <c r="B2" s="226" t="n"/>
      <c r="C2" s="226" t="n"/>
      <c r="D2" s="226" t="n"/>
      <c r="E2" s="226" t="n"/>
      <c r="F2" s="226" t="n"/>
      <c r="G2" s="226" t="n"/>
    </row>
    <row r="3">
      <c r="A3" s="198" t="inlineStr">
        <is>
          <t>Расчет стоимости оборудования</t>
        </is>
      </c>
    </row>
    <row r="4" ht="25.5" customHeight="1" s="165">
      <c r="A4" s="209" t="inlineStr">
        <is>
          <t>Наименование разрабатываемого показателя УНЦ — Устройство порталов и ошиновки ОРУ 220 кВ</t>
        </is>
      </c>
    </row>
    <row r="5">
      <c r="A5" s="153" t="n"/>
      <c r="B5" s="153" t="n"/>
      <c r="C5" s="153" t="n"/>
      <c r="D5" s="153" t="n"/>
      <c r="E5" s="153" t="n"/>
      <c r="F5" s="153" t="n"/>
      <c r="G5" s="153" t="n"/>
    </row>
    <row r="6" ht="30" customHeight="1" s="165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03" t="inlineStr">
        <is>
          <t>Кол-во единиц по проектным данным</t>
        </is>
      </c>
      <c r="F6" s="227" t="inlineStr">
        <is>
          <t>Сметная стоимость в ценах на 01.01.2000 (руб.)</t>
        </is>
      </c>
      <c r="G6" s="230" t="n"/>
    </row>
    <row r="7">
      <c r="A7" s="232" t="n"/>
      <c r="B7" s="232" t="n"/>
      <c r="C7" s="232" t="n"/>
      <c r="D7" s="232" t="n"/>
      <c r="E7" s="232" t="n"/>
      <c r="F7" s="203" t="inlineStr">
        <is>
          <t>на ед. изм.</t>
        </is>
      </c>
      <c r="G7" s="203" t="inlineStr">
        <is>
          <t>общая</t>
        </is>
      </c>
    </row>
    <row r="8">
      <c r="A8" s="203" t="n">
        <v>1</v>
      </c>
      <c r="B8" s="203" t="n">
        <v>2</v>
      </c>
      <c r="C8" s="203" t="n">
        <v>3</v>
      </c>
      <c r="D8" s="203" t="n">
        <v>4</v>
      </c>
      <c r="E8" s="203" t="n">
        <v>5</v>
      </c>
      <c r="F8" s="203" t="n">
        <v>6</v>
      </c>
      <c r="G8" s="203" t="n">
        <v>7</v>
      </c>
    </row>
    <row r="9" ht="15" customHeight="1" s="165">
      <c r="A9" s="116" t="n"/>
      <c r="B9" s="202" t="inlineStr">
        <is>
          <t>ИНЖЕНЕРНОЕ ОБОРУДОВАНИЕ</t>
        </is>
      </c>
      <c r="C9" s="229" t="n"/>
      <c r="D9" s="229" t="n"/>
      <c r="E9" s="229" t="n"/>
      <c r="F9" s="229" t="n"/>
      <c r="G9" s="230" t="n"/>
    </row>
    <row r="10" ht="27" customHeight="1" s="165">
      <c r="A10" s="203" t="n"/>
      <c r="B10" s="201" t="n"/>
      <c r="C10" s="202" t="inlineStr">
        <is>
          <t>ИТОГО ИНЖЕНЕРНОЕ ОБОРУДОВАНИЕ</t>
        </is>
      </c>
      <c r="D10" s="201" t="n"/>
      <c r="E10" s="117" t="n"/>
      <c r="F10" s="205" t="n"/>
      <c r="G10" s="205" t="n">
        <v>0</v>
      </c>
    </row>
    <row r="11">
      <c r="A11" s="203" t="n"/>
      <c r="B11" s="202" t="inlineStr">
        <is>
          <t>ТЕХНОЛОГИЧЕСКОЕ ОБОРУДОВАНИЕ</t>
        </is>
      </c>
      <c r="C11" s="229" t="n"/>
      <c r="D11" s="229" t="n"/>
      <c r="E11" s="229" t="n"/>
      <c r="F11" s="229" t="n"/>
      <c r="G11" s="230" t="n"/>
    </row>
    <row r="12">
      <c r="A12" s="203" t="n">
        <v>1</v>
      </c>
      <c r="B12" s="202" t="n"/>
      <c r="C12" s="202" t="n"/>
      <c r="D12" s="203" t="n"/>
      <c r="E12" s="203" t="n"/>
      <c r="F12" s="205" t="n"/>
      <c r="G12" s="144" t="n"/>
    </row>
    <row r="13" ht="25.5" customHeight="1" s="165">
      <c r="A13" s="203" t="n"/>
      <c r="B13" s="202" t="n"/>
      <c r="C13" s="202" t="inlineStr">
        <is>
          <t>ИТОГО ТЕХНОЛОГИЧЕСКОЕ ОБОРУДОВАНИЕ</t>
        </is>
      </c>
      <c r="D13" s="202" t="n"/>
      <c r="E13" s="225" t="n"/>
      <c r="F13" s="205" t="n"/>
      <c r="G13" s="144">
        <f>SUM(G12:G12)</f>
        <v/>
      </c>
    </row>
    <row r="14" ht="19.5" customHeight="1" s="165">
      <c r="A14" s="203" t="n"/>
      <c r="B14" s="202" t="n"/>
      <c r="C14" s="202" t="inlineStr">
        <is>
          <t>Всего по разделу «Оборудование»</t>
        </is>
      </c>
      <c r="D14" s="202" t="n"/>
      <c r="E14" s="225" t="n"/>
      <c r="F14" s="205" t="n"/>
      <c r="G14" s="144">
        <f>G10+G13</f>
        <v/>
      </c>
    </row>
    <row r="15">
      <c r="A15" s="164" t="n"/>
      <c r="B15" s="159" t="n"/>
      <c r="C15" s="164" t="n"/>
      <c r="D15" s="164" t="n"/>
      <c r="E15" s="164" t="n"/>
      <c r="F15" s="164" t="n"/>
      <c r="G15" s="164" t="n"/>
    </row>
    <row r="16">
      <c r="A16" s="153" t="inlineStr">
        <is>
          <t>Составил ______________________    Р.Р. Шагеева</t>
        </is>
      </c>
      <c r="B16" s="163" t="n"/>
      <c r="C16" s="163" t="n"/>
      <c r="D16" s="164" t="n"/>
      <c r="E16" s="164" t="n"/>
      <c r="F16" s="164" t="n"/>
      <c r="G16" s="164" t="n"/>
    </row>
    <row r="17">
      <c r="A17" s="162" t="inlineStr">
        <is>
          <t xml:space="preserve">                         (подпись, инициалы, фамилия)</t>
        </is>
      </c>
      <c r="B17" s="163" t="n"/>
      <c r="C17" s="163" t="n"/>
      <c r="D17" s="164" t="n"/>
      <c r="E17" s="164" t="n"/>
      <c r="F17" s="164" t="n"/>
      <c r="G17" s="164" t="n"/>
    </row>
    <row r="18">
      <c r="A18" s="153" t="n"/>
      <c r="B18" s="163" t="n"/>
      <c r="C18" s="163" t="n"/>
      <c r="D18" s="164" t="n"/>
      <c r="E18" s="164" t="n"/>
      <c r="F18" s="164" t="n"/>
      <c r="G18" s="164" t="n"/>
    </row>
    <row r="19">
      <c r="A19" s="153" t="inlineStr">
        <is>
          <t>Проверил ______________________        А.В. Костянецкая</t>
        </is>
      </c>
      <c r="B19" s="163" t="n"/>
      <c r="C19" s="163" t="n"/>
      <c r="D19" s="164" t="n"/>
      <c r="E19" s="164" t="n"/>
      <c r="F19" s="164" t="n"/>
      <c r="G19" s="164" t="n"/>
    </row>
    <row r="20">
      <c r="A20" s="162" t="inlineStr">
        <is>
          <t xml:space="preserve">                        (подпись, инициалы, фамилия)</t>
        </is>
      </c>
      <c r="B20" s="163" t="n"/>
      <c r="C20" s="163" t="n"/>
      <c r="D20" s="164" t="n"/>
      <c r="E20" s="164" t="n"/>
      <c r="F20" s="164" t="n"/>
      <c r="G20" s="16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165" min="1" max="1"/>
    <col width="29.6640625" customWidth="1" style="165" min="2" max="2"/>
    <col width="39.109375" customWidth="1" style="165" min="3" max="3"/>
    <col width="24.5546875" customWidth="1" style="165" min="4" max="4"/>
    <col width="8.88671875" customWidth="1" style="165" min="5" max="5"/>
  </cols>
  <sheetData>
    <row r="1">
      <c r="B1" s="153" t="n"/>
      <c r="C1" s="153" t="n"/>
      <c r="D1" s="226" t="inlineStr">
        <is>
          <t>Приложение №7</t>
        </is>
      </c>
    </row>
    <row r="2">
      <c r="A2" s="226" t="n"/>
      <c r="B2" s="226" t="n"/>
      <c r="C2" s="226" t="n"/>
      <c r="D2" s="226" t="n"/>
    </row>
    <row r="3" ht="24.75" customHeight="1" s="165">
      <c r="A3" s="198" t="inlineStr">
        <is>
          <t>Расчет показателя УНЦ</t>
        </is>
      </c>
    </row>
    <row r="4" ht="24.75" customHeight="1" s="165">
      <c r="A4" s="198" t="n"/>
      <c r="B4" s="198" t="n"/>
      <c r="C4" s="198" t="n"/>
      <c r="D4" s="198" t="n"/>
    </row>
    <row r="5" ht="24.6" customHeight="1" s="165">
      <c r="A5" s="209" t="inlineStr">
        <is>
          <t xml:space="preserve">Наименование разрабатываемого показателя УНЦ - </t>
        </is>
      </c>
      <c r="D5" s="209">
        <f>'Прил.5 Расчет СМР и ОБ'!D6:J6</f>
        <v/>
      </c>
    </row>
    <row r="6" ht="19.95" customHeight="1" s="165">
      <c r="A6" s="209" t="inlineStr">
        <is>
          <t>Единица измерения  — 1 ед</t>
        </is>
      </c>
      <c r="D6" s="209" t="n"/>
    </row>
    <row r="7">
      <c r="A7" s="153" t="n"/>
      <c r="B7" s="153" t="n"/>
      <c r="C7" s="153" t="n"/>
      <c r="D7" s="153" t="n"/>
    </row>
    <row r="8" ht="14.4" customHeight="1" s="165">
      <c r="A8" s="193" t="inlineStr">
        <is>
          <t>Код показателя</t>
        </is>
      </c>
      <c r="B8" s="193" t="inlineStr">
        <is>
          <t>Наименование показателя</t>
        </is>
      </c>
      <c r="C8" s="193" t="inlineStr">
        <is>
          <t>Наименование РМ, входящих в состав показателя</t>
        </is>
      </c>
      <c r="D8" s="193" t="inlineStr">
        <is>
          <t>Норматив цены на 01.01.2023, тыс.руб.</t>
        </is>
      </c>
    </row>
    <row r="9" ht="15" customHeight="1" s="165">
      <c r="A9" s="232" t="n"/>
      <c r="B9" s="232" t="n"/>
      <c r="C9" s="232" t="n"/>
      <c r="D9" s="232" t="n"/>
    </row>
    <row r="10">
      <c r="A10" s="203" t="n">
        <v>1</v>
      </c>
      <c r="B10" s="203" t="n">
        <v>2</v>
      </c>
      <c r="C10" s="203" t="n">
        <v>3</v>
      </c>
      <c r="D10" s="203" t="n">
        <v>4</v>
      </c>
    </row>
    <row r="11" ht="41.4" customHeight="1" s="165">
      <c r="A11" s="203" t="inlineStr">
        <is>
          <t>И5-10-4</t>
        </is>
      </c>
      <c r="B11" s="203" t="inlineStr">
        <is>
          <t xml:space="preserve">УНЦ элементов ПС 6-750 кВ с устройством фундаментов </t>
        </is>
      </c>
      <c r="C11" s="155">
        <f>D5</f>
        <v/>
      </c>
      <c r="D11" s="156">
        <f>'Прил.4 РМ'!C41/1000</f>
        <v/>
      </c>
      <c r="E11" s="157" t="n"/>
    </row>
    <row r="12">
      <c r="A12" s="164" t="n"/>
      <c r="B12" s="159" t="n"/>
      <c r="C12" s="164" t="n"/>
      <c r="D12" s="164" t="n"/>
    </row>
    <row r="13">
      <c r="A13" s="153" t="inlineStr">
        <is>
          <t>Составил ______________________      Р.Р. Шагеева</t>
        </is>
      </c>
      <c r="B13" s="163" t="n"/>
      <c r="C13" s="163" t="n"/>
      <c r="D13" s="164" t="n"/>
    </row>
    <row r="14">
      <c r="A14" s="162" t="inlineStr">
        <is>
          <t xml:space="preserve">                         (подпись, инициалы, фамилия)</t>
        </is>
      </c>
      <c r="B14" s="163" t="n"/>
      <c r="C14" s="163" t="n"/>
      <c r="D14" s="164" t="n"/>
    </row>
    <row r="15">
      <c r="A15" s="153" t="n"/>
      <c r="B15" s="163" t="n"/>
      <c r="C15" s="163" t="n"/>
      <c r="D15" s="164" t="n"/>
    </row>
    <row r="16">
      <c r="A16" s="153" t="inlineStr">
        <is>
          <t>Проверил ______________________        А.В. Костянецкая</t>
        </is>
      </c>
      <c r="B16" s="163" t="n"/>
      <c r="C16" s="163" t="n"/>
      <c r="D16" s="164" t="n"/>
    </row>
    <row r="17">
      <c r="A17" s="162" t="inlineStr">
        <is>
          <t xml:space="preserve">                        (подпись, инициалы, фамилия)</t>
        </is>
      </c>
      <c r="B17" s="163" t="n"/>
      <c r="C17" s="163" t="n"/>
      <c r="D17" s="16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4:E27"/>
  <sheetViews>
    <sheetView view="pageBreakPreview" zoomScale="60" zoomScaleNormal="85" workbookViewId="0">
      <selection activeCell="C33" sqref="C33"/>
    </sheetView>
  </sheetViews>
  <sheetFormatPr baseColWidth="8" defaultRowHeight="14.4"/>
  <cols>
    <col width="9.109375" customWidth="1" style="165" min="1" max="1"/>
    <col width="40.6640625" customWidth="1" style="165" min="2" max="2"/>
    <col width="37" customWidth="1" style="165" min="3" max="3"/>
    <col width="32" customWidth="1" style="165" min="4" max="4"/>
    <col width="9.109375" customWidth="1" style="165" min="5" max="5"/>
  </cols>
  <sheetData>
    <row r="4" ht="15.75" customHeight="1" s="165">
      <c r="B4" s="189" t="inlineStr">
        <is>
          <t>Приложение № 10</t>
        </is>
      </c>
    </row>
    <row r="5" ht="18.75" customHeight="1" s="165">
      <c r="B5" s="123" t="n"/>
    </row>
    <row r="6" ht="15.75" customHeight="1" s="165">
      <c r="B6" s="190" t="inlineStr">
        <is>
          <t>Используемые индексы изменений сметной стоимости и нормы сопутствующих затрат</t>
        </is>
      </c>
    </row>
    <row r="7">
      <c r="B7" s="228" t="n"/>
    </row>
    <row r="8">
      <c r="B8" s="228" t="n"/>
      <c r="C8" s="228" t="n"/>
      <c r="D8" s="228" t="n"/>
      <c r="E8" s="228" t="n"/>
    </row>
    <row r="9" ht="47.25" customHeight="1" s="165">
      <c r="B9" s="193" t="inlineStr">
        <is>
          <t>Наименование индекса / норм сопутствующих затрат</t>
        </is>
      </c>
      <c r="C9" s="193" t="inlineStr">
        <is>
          <t>Дата применения и обоснование индекса / норм сопутствующих затрат</t>
        </is>
      </c>
      <c r="D9" s="193" t="inlineStr">
        <is>
          <t>Размер индекса / норма сопутствующих затрат</t>
        </is>
      </c>
    </row>
    <row r="10" ht="15.75" customHeight="1" s="165">
      <c r="B10" s="193" t="n">
        <v>1</v>
      </c>
      <c r="C10" s="193" t="n">
        <v>2</v>
      </c>
      <c r="D10" s="193" t="n">
        <v>3</v>
      </c>
    </row>
    <row r="11" ht="45" customHeight="1" s="165">
      <c r="B11" s="193" t="inlineStr">
        <is>
          <t xml:space="preserve">Индекс изменения сметной стоимости на 1 квартал 2023 года. ОЗП </t>
        </is>
      </c>
      <c r="C11" s="193" t="inlineStr">
        <is>
          <t>Письмо Минстроя России от 30.03.2023г. №17106-ИФ/09  прил.1</t>
        </is>
      </c>
      <c r="D11" s="193" t="n">
        <v>44.29</v>
      </c>
    </row>
    <row r="12" ht="29.25" customHeight="1" s="165">
      <c r="B12" s="193" t="inlineStr">
        <is>
          <t>Индекс изменения сметной стоимости на 1 квартал 2023 года. ЭМ</t>
        </is>
      </c>
      <c r="C12" s="193" t="inlineStr">
        <is>
          <t>Письмо Минстроя России от 30.03.2023г. №17106-ИФ/09  прил.1</t>
        </is>
      </c>
      <c r="D12" s="193" t="n">
        <v>13.47</v>
      </c>
    </row>
    <row r="13" ht="29.25" customHeight="1" s="165">
      <c r="B13" s="193" t="inlineStr">
        <is>
          <t>Индекс изменения сметной стоимости на 1 квартал 2023 года. МАТ</t>
        </is>
      </c>
      <c r="C13" s="193" t="inlineStr">
        <is>
          <t>Письмо Минстроя России от 30.03.2023г. №17106-ИФ/09  прил.1</t>
        </is>
      </c>
      <c r="D13" s="193" t="n">
        <v>8.039999999999999</v>
      </c>
    </row>
    <row r="14" ht="30.75" customHeight="1" s="165">
      <c r="B14" s="193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93" t="n">
        <v>6.26</v>
      </c>
    </row>
    <row r="15" ht="89.25" customHeight="1" s="165">
      <c r="B15" s="193" t="inlineStr">
        <is>
          <t>Временные здания и сооружения</t>
        </is>
      </c>
      <c r="C15" s="1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7" t="n">
        <v>0.039</v>
      </c>
    </row>
    <row r="16" ht="78.75" customHeight="1" s="165">
      <c r="B16" s="193" t="inlineStr">
        <is>
          <t>Дополнительные затраты при производстве строительно-монтажных работ в зимнее время</t>
        </is>
      </c>
      <c r="C16" s="1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4.5" customHeight="1" s="165">
      <c r="B17" s="193" t="inlineStr">
        <is>
          <t>Пусконаладочные работы</t>
        </is>
      </c>
      <c r="C17" s="193" t="n"/>
      <c r="D17" s="193" t="n"/>
    </row>
    <row r="18" ht="31.5" customHeight="1" s="165">
      <c r="B18" s="193" t="inlineStr">
        <is>
          <t>Строительный контроль</t>
        </is>
      </c>
      <c r="C18" s="193" t="inlineStr">
        <is>
          <t>Постановление Правительства РФ от 21.06.10 г. № 468</t>
        </is>
      </c>
      <c r="D18" s="127" t="n">
        <v>0.0214</v>
      </c>
    </row>
    <row r="19" ht="31.5" customHeight="1" s="165">
      <c r="B19" s="193" t="inlineStr">
        <is>
          <t>Авторский надзор - 0,2%</t>
        </is>
      </c>
      <c r="C19" s="193" t="inlineStr">
        <is>
          <t>Приказ от 4.08.2020 № 421/пр п.173</t>
        </is>
      </c>
      <c r="D19" s="127" t="n">
        <v>0.002</v>
      </c>
    </row>
    <row r="20" ht="24" customHeight="1" s="165">
      <c r="B20" s="193" t="inlineStr">
        <is>
          <t>Непредвиденные расходы</t>
        </is>
      </c>
      <c r="C20" s="193" t="inlineStr">
        <is>
          <t>Приказ от 4.08.2020 № 421/пр п.179</t>
        </is>
      </c>
      <c r="D20" s="127" t="n">
        <v>0.03</v>
      </c>
    </row>
    <row r="21" ht="18.75" customHeight="1" s="165">
      <c r="B21" s="128" t="n"/>
    </row>
    <row r="23" s="165">
      <c r="B23" s="153" t="inlineStr">
        <is>
          <t>Составил ______________________      Р.Р. Шагеева</t>
        </is>
      </c>
      <c r="C23" s="163" t="n"/>
      <c r="D23" s="164" t="n"/>
    </row>
    <row r="24" s="165">
      <c r="A24" s="162" t="inlineStr">
        <is>
          <t xml:space="preserve">                         (подпись, инициалы, фамилия)</t>
        </is>
      </c>
      <c r="B24" s="188" t="n"/>
      <c r="C24" s="163" t="n"/>
      <c r="D24" s="164" t="n"/>
    </row>
    <row r="25" s="165">
      <c r="A25" s="153" t="n"/>
      <c r="B25" s="163" t="n"/>
      <c r="C25" s="163" t="n"/>
      <c r="D25" s="164" t="n"/>
    </row>
    <row r="26" s="165">
      <c r="B26" s="153" t="inlineStr">
        <is>
          <t>Проверил ______________________        А.В. Костянецкая</t>
        </is>
      </c>
      <c r="C26" s="163" t="n"/>
      <c r="D26" s="164" t="n"/>
    </row>
    <row r="27" s="165">
      <c r="A27" s="162" t="inlineStr">
        <is>
          <t xml:space="preserve">                        (подпись, инициалы, фамилия)</t>
        </is>
      </c>
      <c r="B27" s="188" t="n"/>
      <c r="C27" s="163" t="n"/>
      <c r="D27" s="16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31" sqref="H31"/>
    </sheetView>
  </sheetViews>
  <sheetFormatPr baseColWidth="8" defaultColWidth="9.109375" defaultRowHeight="14.4"/>
  <cols>
    <col width="44.88671875" customWidth="1" style="165" min="2" max="2"/>
    <col width="13" customWidth="1" style="165" min="3" max="3"/>
    <col width="22.88671875" customWidth="1" style="165" min="4" max="4"/>
    <col width="21.5546875" customWidth="1" style="165" min="5" max="5"/>
    <col width="43.88671875" customWidth="1" style="165" min="6" max="6"/>
  </cols>
  <sheetData>
    <row r="1" s="165"/>
    <row r="2" ht="17.25" customHeight="1" s="165">
      <c r="A2" s="190" t="inlineStr">
        <is>
          <t>Расчет размера средств на оплату труда рабочих-строителей в текущем уровне цен (ФОТр.тек.)</t>
        </is>
      </c>
    </row>
    <row r="3" s="165"/>
    <row r="4" ht="18" customHeight="1" s="165">
      <c r="A4" s="166" t="inlineStr">
        <is>
          <t>Составлен в уровне цен на 01.01.2023 г.</t>
        </is>
      </c>
      <c r="B4" s="167" t="n"/>
      <c r="C4" s="167" t="n"/>
      <c r="D4" s="167" t="n"/>
      <c r="E4" s="167" t="n"/>
      <c r="F4" s="167" t="n"/>
      <c r="G4" s="167" t="n"/>
    </row>
    <row r="5" ht="15.75" customHeight="1" s="165">
      <c r="A5" s="168" t="inlineStr">
        <is>
          <t>№ пп.</t>
        </is>
      </c>
      <c r="B5" s="168" t="inlineStr">
        <is>
          <t>Наименование элемента</t>
        </is>
      </c>
      <c r="C5" s="168" t="inlineStr">
        <is>
          <t>Обозначение</t>
        </is>
      </c>
      <c r="D5" s="168" t="inlineStr">
        <is>
          <t>Формула</t>
        </is>
      </c>
      <c r="E5" s="168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67" t="n"/>
    </row>
    <row r="6" ht="15.75" customHeight="1" s="165">
      <c r="A6" s="168" t="n">
        <v>1</v>
      </c>
      <c r="B6" s="168" t="n">
        <v>2</v>
      </c>
      <c r="C6" s="168" t="n">
        <v>3</v>
      </c>
      <c r="D6" s="168" t="n">
        <v>4</v>
      </c>
      <c r="E6" s="168" t="n">
        <v>5</v>
      </c>
      <c r="F6" s="168" t="n">
        <v>6</v>
      </c>
      <c r="G6" s="167" t="n"/>
    </row>
    <row r="7" ht="110.25" customHeight="1" s="165">
      <c r="A7" s="169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3" t="inlineStr">
        <is>
          <t>С1ср</t>
        </is>
      </c>
      <c r="D7" s="193" t="inlineStr">
        <is>
          <t>-</t>
        </is>
      </c>
      <c r="E7" s="172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7" t="n"/>
    </row>
    <row r="8" ht="31.5" customHeight="1" s="165">
      <c r="A8" s="169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193" t="inlineStr">
        <is>
          <t>tср</t>
        </is>
      </c>
      <c r="D8" s="193" t="inlineStr">
        <is>
          <t>1973ч/12мес.</t>
        </is>
      </c>
      <c r="E8" s="173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165">
      <c r="A9" s="169" t="inlineStr">
        <is>
          <t>1.3</t>
        </is>
      </c>
      <c r="B9" s="174" t="inlineStr">
        <is>
          <t>Коэффициент увеличения</t>
        </is>
      </c>
      <c r="C9" s="193" t="inlineStr">
        <is>
          <t>Кув</t>
        </is>
      </c>
      <c r="D9" s="193" t="inlineStr">
        <is>
          <t>-</t>
        </is>
      </c>
      <c r="E9" s="173" t="n">
        <v>1</v>
      </c>
      <c r="F9" s="174" t="n"/>
      <c r="G9" s="176" t="n"/>
    </row>
    <row r="10" ht="15.75" customHeight="1" s="165">
      <c r="A10" s="169" t="inlineStr">
        <is>
          <t>1.4</t>
        </is>
      </c>
      <c r="B10" s="174" t="inlineStr">
        <is>
          <t>Средний разряд работ</t>
        </is>
      </c>
      <c r="C10" s="193" t="n"/>
      <c r="D10" s="193" t="n"/>
      <c r="E10" s="177" t="n">
        <v>4.3</v>
      </c>
      <c r="F10" s="174" t="inlineStr">
        <is>
          <t>РТМ</t>
        </is>
      </c>
      <c r="G10" s="176" t="n"/>
    </row>
    <row r="11" ht="78.75" customHeight="1" s="165">
      <c r="A11" s="169" t="inlineStr">
        <is>
          <t>1.5</t>
        </is>
      </c>
      <c r="B11" s="174" t="inlineStr">
        <is>
          <t>Тарифный коэффициент среднего разряда работ</t>
        </is>
      </c>
      <c r="C11" s="193" t="inlineStr">
        <is>
          <t>КТ</t>
        </is>
      </c>
      <c r="D11" s="193" t="inlineStr">
        <is>
          <t>-</t>
        </is>
      </c>
      <c r="E11" s="178" t="n">
        <v>1.4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7" t="n"/>
    </row>
    <row r="12" ht="78.75" customHeight="1" s="165">
      <c r="A12" s="169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93" t="inlineStr">
        <is>
          <t>Кинф</t>
        </is>
      </c>
      <c r="D12" s="193" t="inlineStr">
        <is>
          <t>-</t>
        </is>
      </c>
      <c r="E12" s="24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5">
      <c r="A13" s="182" t="inlineStr">
        <is>
          <t>1.7</t>
        </is>
      </c>
      <c r="B13" s="183" t="inlineStr">
        <is>
          <t>Размер средств на оплату труда рабочих-строителей в текущем уровне цен (ФОТр.тек.), руб/чел.-ч</t>
        </is>
      </c>
      <c r="C13" s="184" t="inlineStr">
        <is>
          <t>ФОТр.тек.</t>
        </is>
      </c>
      <c r="D13" s="184" t="inlineStr">
        <is>
          <t>(С1ср/tср*КТ*Т*Кув)*Кинф</t>
        </is>
      </c>
      <c r="E13" s="185">
        <f>((E7*E9/E8)*E11)*E12</f>
        <v/>
      </c>
      <c r="F13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2023-05-17T16:22:43Z</dcterms:created>
  <dcterms:modified xsi:type="dcterms:W3CDTF">2025-01-24T12:02:30Z</dcterms:modified>
  <cp:lastModifiedBy>user1</cp:lastModifiedBy>
  <cp:lastPrinted>2023-12-21T11:48:33Z</cp:lastPrinted>
</cp:coreProperties>
</file>