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785" windowHeight="11805" tabRatio="85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0.0000"/>
    <numFmt numFmtId="166" formatCode="_-* #,##0.00\ _₽_-;\-* #,##0.00\ _₽_-;_-* &quot;-&quot;??\ _₽_-;_-@_-"/>
    <numFmt numFmtId="167" formatCode="0.000"/>
    <numFmt numFmtId="168" formatCode="#,##0.0"/>
    <numFmt numFmtId="169" formatCode="#,##0.000"/>
  </numFmts>
  <fonts count="14">
    <font>
      <name val="Calibri"/>
      <color rgb="FF000000"/>
      <sz val="11"/>
    </font>
    <font>
      <name val="Times New Roman"/>
      <charset val="204"/>
      <family val="1"/>
      <color rgb="FF000000"/>
      <sz val="12"/>
    </font>
    <font>
      <name val="Arial"/>
      <charset val="204"/>
      <family val="2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Arial"/>
      <charset val="204"/>
      <family val="2"/>
      <color rgb="FF000000"/>
      <sz val="11"/>
    </font>
    <font>
      <name val="Arial"/>
      <charset val="204"/>
      <family val="2"/>
      <b val="1"/>
      <color rgb="FF000000"/>
      <sz val="10"/>
    </font>
    <font>
      <name val="Times New Roman"/>
      <charset val="204"/>
      <family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9"/>
    </font>
    <font>
      <name val="Times New Roman"/>
      <charset val="204"/>
      <family val="1"/>
      <color rgb="FF000000"/>
      <sz val="14"/>
    </font>
    <font>
      <name val="Arial"/>
      <charset val="204"/>
      <family val="2"/>
      <color rgb="FF000000"/>
      <sz val="10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36">
    <xf numFmtId="0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3" applyAlignment="1" pivotButton="0" quotePrefix="0" xfId="0">
      <alignment vertical="center" wrapText="1"/>
    </xf>
    <xf numFmtId="0" fontId="1" fillId="0" borderId="3" applyAlignment="1" pivotButton="0" quotePrefix="0" xfId="0">
      <alignment horizontal="justify" vertical="center" wrapText="1"/>
    </xf>
    <xf numFmtId="0" fontId="1" fillId="0" borderId="0" pivotButton="0" quotePrefix="0" xfId="0"/>
    <xf numFmtId="0" fontId="3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3" fontId="0" fillId="0" borderId="0" pivotButton="0" quotePrefix="0" xfId="0"/>
    <xf numFmtId="4" fontId="4" fillId="0" borderId="1" applyAlignment="1" pivotButton="0" quotePrefix="0" xfId="0">
      <alignment vertical="top"/>
    </xf>
    <xf numFmtId="0" fontId="4" fillId="0" borderId="0" pivotButton="0" quotePrefix="0" xfId="0"/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0" fontId="1" fillId="0" borderId="1" pivotButton="0" quotePrefix="0" xfId="0"/>
    <xf numFmtId="0" fontId="4" fillId="0" borderId="1" applyAlignment="1" pivotButton="0" quotePrefix="0" xfId="0">
      <alignment vertical="top"/>
    </xf>
    <xf numFmtId="0" fontId="1" fillId="0" borderId="0" applyAlignment="1" pivotButton="0" quotePrefix="0" xfId="0">
      <alignment horizontal="left" vertical="center"/>
    </xf>
    <xf numFmtId="49" fontId="1" fillId="0" borderId="1" applyAlignment="1" pivotButton="0" quotePrefix="0" xfId="0">
      <alignment horizontal="center" vertical="top" wrapText="1"/>
    </xf>
    <xf numFmtId="0" fontId="3" fillId="0" borderId="0" applyAlignment="1" pivotButton="0" quotePrefix="0" xfId="0">
      <alignment wrapText="1"/>
    </xf>
    <xf numFmtId="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vertical="top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vertical="center"/>
    </xf>
    <xf numFmtId="10" fontId="2" fillId="0" borderId="1" applyAlignment="1" pivotButton="0" quotePrefix="0" xfId="0">
      <alignment horizontal="right" vertical="center"/>
    </xf>
    <xf numFmtId="4" fontId="2" fillId="0" borderId="1" applyAlignment="1" pivotButton="0" quotePrefix="0" xfId="0">
      <alignment horizontal="right" vertical="center"/>
    </xf>
    <xf numFmtId="0" fontId="5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5" fillId="0" borderId="1" pivotButton="0" quotePrefix="0" xfId="0"/>
    <xf numFmtId="0" fontId="5" fillId="0" borderId="0" pivotButton="0" quotePrefix="0" xfId="0"/>
    <xf numFmtId="0" fontId="0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" fontId="2" fillId="0" borderId="3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4" fontId="2" fillId="0" borderId="4" applyAlignment="1" pivotButton="0" quotePrefix="0" xfId="0">
      <alignment horizontal="right" vertical="center" wrapText="1"/>
    </xf>
    <xf numFmtId="4" fontId="2" fillId="0" borderId="5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5" fillId="0" borderId="1" pivotButton="0" quotePrefix="0" xfId="0"/>
    <xf numFmtId="0" fontId="5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3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center" vertical="center" wrapText="1"/>
    </xf>
    <xf numFmtId="0" fontId="5" fillId="0" borderId="2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10" fontId="2" fillId="0" borderId="5" applyAlignment="1" pivotButton="0" quotePrefix="0" xfId="0">
      <alignment horizontal="right" vertical="center" wrapText="1"/>
    </xf>
    <xf numFmtId="4" fontId="2" fillId="0" borderId="5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1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justify" vertical="center" wrapText="1"/>
    </xf>
    <xf numFmtId="10" fontId="1" fillId="0" borderId="1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justify" vertical="center"/>
    </xf>
    <xf numFmtId="166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2" fillId="0" borderId="5" applyAlignment="1" pivotButton="0" quotePrefix="0" xfId="0">
      <alignment horizontal="center" vertical="center" wrapText="1"/>
    </xf>
    <xf numFmtId="2" fontId="2" fillId="0" borderId="5" applyAlignment="1" pivotButton="0" quotePrefix="0" xfId="0">
      <alignment horizontal="right" vertical="center" wrapText="1"/>
    </xf>
    <xf numFmtId="49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2" fillId="0" borderId="6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right" vertical="center" wrapText="1"/>
    </xf>
    <xf numFmtId="49" fontId="2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164" fontId="2" fillId="0" borderId="5" applyAlignment="1" pivotButton="0" quotePrefix="0" xfId="0">
      <alignment horizontal="center" vertical="center" wrapText="1"/>
    </xf>
    <xf numFmtId="2" fontId="2" fillId="0" borderId="5" applyAlignment="1" pivotButton="0" quotePrefix="0" xfId="0">
      <alignment horizontal="right" vertical="center" wrapText="1"/>
    </xf>
    <xf numFmtId="49" fontId="2" fillId="0" borderId="5" applyAlignment="1" pivotButton="0" quotePrefix="0" xfId="0">
      <alignment horizontal="center" vertical="center" wrapText="1"/>
    </xf>
    <xf numFmtId="164" fontId="2" fillId="0" borderId="5" applyAlignment="1" pivotButton="0" quotePrefix="0" xfId="0">
      <alignment horizontal="center" vertical="center" wrapText="1"/>
    </xf>
    <xf numFmtId="4" fontId="2" fillId="0" borderId="5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5" fillId="0" borderId="0" pivotButton="0" quotePrefix="0" xfId="0"/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5" fillId="0" borderId="0" pivotButton="0" quotePrefix="0" xfId="0"/>
    <xf numFmtId="0" fontId="9" fillId="0" borderId="0" pivotButton="0" quotePrefix="0" xfId="0"/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/>
    </xf>
    <xf numFmtId="16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wrapText="1"/>
    </xf>
    <xf numFmtId="49" fontId="1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wrapText="1"/>
    </xf>
    <xf numFmtId="0" fontId="1" fillId="0" borderId="2" applyAlignment="1" pivotButton="0" quotePrefix="0" xfId="0">
      <alignment horizontal="center" vertical="center" wrapText="1"/>
    </xf>
    <xf numFmtId="4" fontId="4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right" vertical="center" wrapText="1"/>
    </xf>
    <xf numFmtId="10" fontId="6" fillId="0" borderId="3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2" fontId="2" fillId="0" borderId="2" applyAlignment="1" pivotButton="0" quotePrefix="0" xfId="0">
      <alignment horizontal="center" vertical="center" wrapText="1"/>
    </xf>
    <xf numFmtId="2" fontId="2" fillId="0" borderId="2" applyAlignment="1" pivotButton="0" quotePrefix="0" xfId="0">
      <alignment horizontal="right" vertical="center" wrapText="1"/>
    </xf>
    <xf numFmtId="10" fontId="2" fillId="0" borderId="7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2" fillId="0" borderId="0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0" fillId="0" borderId="8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5" pivotButton="0" quotePrefix="0" xfId="0"/>
    <xf numFmtId="166" fontId="4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64" fontId="2" fillId="0" borderId="5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abSelected="1" view="pageBreakPreview" topLeftCell="A22" zoomScale="55" zoomScaleNormal="55" workbookViewId="0">
      <selection activeCell="C27" sqref="C27"/>
    </sheetView>
  </sheetViews>
  <sheetFormatPr baseColWidth="8" defaultColWidth="9.140625" defaultRowHeight="15.75"/>
  <cols>
    <col width="9.140625" customWidth="1" style="166" min="1" max="2"/>
    <col width="36.85546875" customWidth="1" style="166" min="3" max="3"/>
    <col width="36.5703125" customWidth="1" style="166" min="4" max="6"/>
    <col width="37.42578125" customWidth="1" style="166" min="7" max="7"/>
    <col width="9.140625" customWidth="1" style="166" min="8" max="8"/>
  </cols>
  <sheetData>
    <row r="3">
      <c r="B3" s="184" t="inlineStr">
        <is>
          <t>Приложение № 1</t>
        </is>
      </c>
    </row>
    <row r="4">
      <c r="B4" s="185" t="inlineStr">
        <is>
          <t>Сравнительная таблица отбора объекта-представителя</t>
        </is>
      </c>
    </row>
    <row r="5">
      <c r="B5" s="7" t="n"/>
      <c r="C5" s="7" t="n"/>
      <c r="D5" s="7" t="n"/>
      <c r="E5" s="7" t="n"/>
      <c r="F5" s="7" t="n"/>
    </row>
    <row r="6">
      <c r="B6" s="7" t="n"/>
      <c r="C6" s="7" t="n"/>
      <c r="D6" s="7" t="n"/>
      <c r="E6" s="7" t="n"/>
      <c r="F6" s="7" t="n"/>
    </row>
    <row r="7">
      <c r="B7" s="186" t="inlineStr">
        <is>
          <t>Наименование разрабатываемого показателя УНЦ —   Устройство порталов и ошиновки ОРУ 330 кВ</t>
        </is>
      </c>
      <c r="G7" s="20" t="n"/>
    </row>
    <row r="8" ht="31.5" customHeight="1" s="164">
      <c r="B8" s="186" t="inlineStr">
        <is>
          <t>Сопоставимый уровень цен: 2 кв. 2018</t>
        </is>
      </c>
    </row>
    <row r="9">
      <c r="B9" s="186" t="inlineStr">
        <is>
          <t>Единица измерения  — 1 ед</t>
        </is>
      </c>
      <c r="G9" s="20" t="n"/>
    </row>
    <row r="10">
      <c r="B10" s="186" t="n"/>
    </row>
    <row r="11">
      <c r="B11" s="189" t="inlineStr">
        <is>
          <t>№ п/п</t>
        </is>
      </c>
      <c r="C11" s="189" t="inlineStr">
        <is>
          <t>Параметр</t>
        </is>
      </c>
      <c r="D11" s="174" t="inlineStr">
        <is>
          <t>Объект-представитель 1</t>
        </is>
      </c>
      <c r="E11" s="174" t="inlineStr">
        <is>
          <t>Объект-представитель 2</t>
        </is>
      </c>
      <c r="F11" s="174" t="inlineStr">
        <is>
          <t>Объект-представитель 3</t>
        </is>
      </c>
      <c r="G11" s="20" t="n"/>
    </row>
    <row r="12" ht="98.25" customHeight="1" s="164">
      <c r="B12" s="189" t="n">
        <v>1</v>
      </c>
      <c r="C12" s="174" t="inlineStr">
        <is>
          <t>Наименование объекта-представителя</t>
        </is>
      </c>
      <c r="D12" s="174" t="inlineStr">
        <is>
          <t>ПС 330 кВ Юго-Западаня (замена АТ-1, замена панели РЗ ОВ-110 кВ)</t>
        </is>
      </c>
      <c r="E12" s="174" t="inlineStr">
        <is>
          <t>Установка на ПС 330 кВ Северная четвертого АТ 330/110/10 кВ
мощностью 200 МВА, оснащенного устройством РПН, расшире-
ние РУ 330 кВ на одну трансформаторную ячейку и
РУ 110 кВ на одну трансформаторную ячейку для присоедине-
ния четвертого АТ 330/110/10 кВ, связанное с технологическим
присоединением новой ПС 110/10 кВ
ООО «Простор» двумя ЛЭП 110 кВ</t>
        </is>
      </c>
      <c r="F12" s="174" t="n"/>
    </row>
    <row r="13" ht="31.5" customHeight="1" s="164">
      <c r="B13" s="189" t="n">
        <v>2</v>
      </c>
      <c r="C13" s="174" t="inlineStr">
        <is>
          <t>Наименование субъекта Российской Федерации</t>
        </is>
      </c>
      <c r="D13" s="174" t="inlineStr">
        <is>
          <t>Новогородская область</t>
        </is>
      </c>
      <c r="E13" s="174" t="inlineStr">
        <is>
          <t>Ленинградская область</t>
        </is>
      </c>
      <c r="F13" s="174" t="n"/>
    </row>
    <row r="14">
      <c r="B14" s="189" t="n">
        <v>3</v>
      </c>
      <c r="C14" s="174" t="inlineStr">
        <is>
          <t>Климатический район и подрайон</t>
        </is>
      </c>
      <c r="D14" s="174" t="inlineStr">
        <is>
          <t>IД</t>
        </is>
      </c>
      <c r="E14" s="174" t="inlineStr">
        <is>
          <t>IIВ</t>
        </is>
      </c>
      <c r="F14" s="174" t="n"/>
    </row>
    <row r="15">
      <c r="B15" s="189" t="n">
        <v>4</v>
      </c>
      <c r="C15" s="174" t="inlineStr">
        <is>
          <t>Мощность объекта</t>
        </is>
      </c>
      <c r="D15" s="174" t="inlineStr">
        <is>
          <t>1 шт</t>
        </is>
      </c>
      <c r="E15" s="174" t="inlineStr">
        <is>
          <t>5 шт</t>
        </is>
      </c>
      <c r="F15" s="174" t="n"/>
    </row>
    <row r="16" ht="270.75" customHeight="1" s="164">
      <c r="B16" s="189" t="n">
        <v>5</v>
      </c>
      <c r="C16" s="12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4" t="inlineStr">
        <is>
          <t>ПС-330 Т1
грибовидный фундамент</t>
        </is>
      </c>
      <c r="E16" s="174" t="inlineStr">
        <is>
          <t>ПС-330-я3
ПС-330-я5
грибовидный фундамент</t>
        </is>
      </c>
      <c r="F16" s="174" t="n"/>
    </row>
    <row r="17" ht="78.75" customHeight="1" s="164">
      <c r="B17" s="189" t="n">
        <v>6</v>
      </c>
      <c r="C17" s="12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6">
        <f>D18+D19+D20+D21</f>
        <v/>
      </c>
      <c r="E17" s="132">
        <f>E18+E19+E20+E21</f>
        <v/>
      </c>
      <c r="F17" s="189" t="n"/>
      <c r="G17" s="36" t="n"/>
    </row>
    <row r="18">
      <c r="B18" s="5" t="inlineStr">
        <is>
          <t>6.1</t>
        </is>
      </c>
      <c r="C18" s="174" t="inlineStr">
        <is>
          <t>строительно-монтажные работы</t>
        </is>
      </c>
      <c r="D18" s="126" t="n">
        <v>1547.271</v>
      </c>
      <c r="E18" s="132">
        <f>(172.032+910.736)*7.14</f>
        <v/>
      </c>
      <c r="F18" s="189" t="n"/>
    </row>
    <row r="19" ht="15.75" customHeight="1" s="164">
      <c r="B19" s="5" t="inlineStr">
        <is>
          <t>6.2</t>
        </is>
      </c>
      <c r="C19" s="174" t="inlineStr">
        <is>
          <t>оборудование и инвентарь</t>
        </is>
      </c>
      <c r="D19" s="174" t="n"/>
      <c r="E19" s="174" t="n"/>
      <c r="F19" s="174" t="n"/>
    </row>
    <row r="20" ht="16.5" customHeight="1" s="164">
      <c r="B20" s="5" t="inlineStr">
        <is>
          <t>6.3</t>
        </is>
      </c>
      <c r="C20" s="174" t="inlineStr">
        <is>
          <t>пусконаладочные работы</t>
        </is>
      </c>
      <c r="D20" s="174" t="n"/>
      <c r="E20" s="174" t="n"/>
      <c r="F20" s="174" t="n"/>
    </row>
    <row r="21" ht="35.25" customHeight="1" s="164">
      <c r="B21" s="5" t="inlineStr">
        <is>
          <t>6.4</t>
        </is>
      </c>
      <c r="C21" s="17" t="inlineStr">
        <is>
          <t>прочие и лимитированные затраты</t>
        </is>
      </c>
      <c r="D21" s="145">
        <f>D18*3.9%*0.8+ (D18+D18*3.9%*0.8)*2.1%</f>
        <v/>
      </c>
      <c r="E21" s="145">
        <f>E18*3.9%*0.8+ (E18+E18*3.9%*0.8)*(2.1%)</f>
        <v/>
      </c>
      <c r="F21" s="174" t="n"/>
    </row>
    <row r="22">
      <c r="B22" s="189" t="n">
        <v>7</v>
      </c>
      <c r="C22" s="17" t="inlineStr">
        <is>
          <t>Сопоставимый уровень цен</t>
        </is>
      </c>
      <c r="D22" s="189" t="inlineStr">
        <is>
          <t>2 кв 2018</t>
        </is>
      </c>
      <c r="E22" s="189" t="inlineStr">
        <is>
          <t>2 кв 2018</t>
        </is>
      </c>
      <c r="F22" s="189" t="n"/>
      <c r="G22" s="36" t="n"/>
    </row>
    <row r="23" ht="123" customHeight="1" s="164">
      <c r="B23" s="189" t="n">
        <v>8</v>
      </c>
      <c r="C23" s="1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6">
        <f>D17/7.46*7.83</f>
        <v/>
      </c>
      <c r="E23" s="132">
        <f>E17/7.14*7.83</f>
        <v/>
      </c>
      <c r="F23" s="132" t="n"/>
    </row>
    <row r="24" ht="60.75" customHeight="1" s="164">
      <c r="B24" s="189" t="n">
        <v>9</v>
      </c>
      <c r="C24" s="121" t="inlineStr">
        <is>
          <t>Приведенная сметная стоимость на единицу мощности, тыс. руб. (строка 8/строку 4)</t>
        </is>
      </c>
      <c r="D24" s="126">
        <f>D23/1</f>
        <v/>
      </c>
      <c r="E24" s="126">
        <f>E23/5</f>
        <v/>
      </c>
      <c r="F24" s="126" t="n"/>
      <c r="G24" s="36" t="n"/>
    </row>
    <row r="25" ht="164.25" customHeight="1" s="164">
      <c r="B25" s="189" t="n">
        <v>10</v>
      </c>
      <c r="C25" s="174" t="inlineStr">
        <is>
          <t>Примечание</t>
        </is>
      </c>
      <c r="D25" s="174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 Исключены затраты на корректровку по транспортировке  свыше 30 км.
 Рекомендуемая расчетная единица  УНЦ - 1 ед.</t>
        </is>
      </c>
      <c r="E25" s="174" t="inlineStr">
        <is>
          <t>Исключены затраты на корректровку по транспортировке  свыше 30 км.</t>
        </is>
      </c>
      <c r="F25" s="174" t="n"/>
    </row>
    <row r="26">
      <c r="B26" s="16" t="n"/>
      <c r="C26" s="15" t="n"/>
      <c r="D26" s="15" t="n"/>
      <c r="E26" s="15" t="n"/>
      <c r="F26" s="15" t="n"/>
    </row>
    <row r="27" ht="37.5" customHeight="1" s="164">
      <c r="B27" s="22" t="n"/>
    </row>
    <row r="28">
      <c r="B28" s="166" t="inlineStr">
        <is>
          <t>Составил ______________________        Р.Р. Шагеева</t>
        </is>
      </c>
      <c r="C28" s="166" t="n"/>
    </row>
    <row r="29">
      <c r="B29" s="22" t="inlineStr">
        <is>
          <t xml:space="preserve">                         (подпись, инициалы, фамилия)</t>
        </is>
      </c>
      <c r="C29" s="166" t="n"/>
    </row>
    <row r="30">
      <c r="B30" s="166" t="n"/>
      <c r="C30" s="166" t="n"/>
    </row>
    <row r="31">
      <c r="B31" s="166" t="inlineStr">
        <is>
          <t>Проверил ______________________        А.В. Костянецкая</t>
        </is>
      </c>
      <c r="C31" s="166" t="n"/>
    </row>
    <row r="32">
      <c r="B32" s="22" t="inlineStr">
        <is>
          <t xml:space="preserve">                        (подпись, инициалы, фамилия)</t>
        </is>
      </c>
      <c r="C32" s="166" t="n"/>
    </row>
  </sheetData>
  <mergeCells count="5">
    <mergeCell ref="B4:F4"/>
    <mergeCell ref="B7:F7"/>
    <mergeCell ref="B3:F3"/>
    <mergeCell ref="B8:F8"/>
    <mergeCell ref="B9:F9"/>
  </mergeCells>
  <pageMargins left="0.7" right="0.7" top="0.75" bottom="0.75" header="0.3" footer="0.3"/>
  <pageSetup orientation="portrait" paperSize="9" scale="5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26"/>
  <sheetViews>
    <sheetView view="pageBreakPreview" zoomScale="55" zoomScaleNormal="70" workbookViewId="0">
      <selection activeCell="G58" sqref="G58"/>
    </sheetView>
  </sheetViews>
  <sheetFormatPr baseColWidth="8" defaultColWidth="9.140625" defaultRowHeight="15.75"/>
  <cols>
    <col width="5.5703125" customWidth="1" style="166" min="1" max="1"/>
    <col width="9.140625" customWidth="1" style="166" min="2" max="2"/>
    <col width="35.28515625" customWidth="1" style="166" min="3" max="3"/>
    <col width="13.85546875" customWidth="1" style="166" min="4" max="4"/>
    <col width="24.85546875" customWidth="1" style="166" min="5" max="5"/>
    <col width="19.5703125" customWidth="1" style="166" min="6" max="6"/>
    <col width="14.85546875" customWidth="1" style="166" min="7" max="7"/>
    <col width="16.7109375" customWidth="1" style="166" min="8" max="8"/>
    <col width="13" customWidth="1" style="166" min="9" max="10"/>
    <col width="18" customWidth="1" style="166" min="11" max="11"/>
    <col width="9.140625" customWidth="1" style="166" min="12" max="12"/>
  </cols>
  <sheetData>
    <row r="3">
      <c r="B3" s="184" t="inlineStr">
        <is>
          <t>Приложение № 2</t>
        </is>
      </c>
      <c r="K3" s="22" t="n"/>
    </row>
    <row r="4">
      <c r="B4" s="185" t="inlineStr">
        <is>
          <t>Расчет стоимости основных видов работ для выбора объекта-представителя</t>
        </is>
      </c>
    </row>
    <row r="5">
      <c r="B5" s="7" t="n"/>
      <c r="C5" s="7" t="n"/>
      <c r="D5" s="7" t="n"/>
      <c r="E5" s="7" t="n"/>
      <c r="F5" s="7" t="n"/>
      <c r="G5" s="7" t="n"/>
      <c r="H5" s="7" t="n"/>
      <c r="I5" s="7" t="n"/>
      <c r="J5" s="7" t="n"/>
      <c r="K5" s="7" t="n"/>
    </row>
    <row r="6" ht="15.75" customHeight="1" s="164">
      <c r="B6" s="188" t="inlineStr">
        <is>
          <t>Наименование разрабатываемого показателя УНЦ —   Устройство порталов и ошиновки ОРУ 330 кВ</t>
        </is>
      </c>
      <c r="K6" s="22" t="n"/>
      <c r="L6" s="20" t="n"/>
    </row>
    <row r="7">
      <c r="B7" s="186" t="inlineStr">
        <is>
          <t>Единица измерения  — 1 ед.</t>
        </is>
      </c>
      <c r="L7" s="20" t="n"/>
    </row>
    <row r="8">
      <c r="B8" s="186" t="n"/>
    </row>
    <row r="9">
      <c r="B9" s="189" t="inlineStr">
        <is>
          <t>№ п/п</t>
        </is>
      </c>
      <c r="C9" s="18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89" t="inlineStr">
        <is>
          <t>Объект-представитель 1*</t>
        </is>
      </c>
      <c r="E9" s="224" t="n"/>
      <c r="F9" s="224" t="n"/>
      <c r="G9" s="224" t="n"/>
      <c r="H9" s="224" t="n"/>
      <c r="I9" s="224" t="n"/>
      <c r="J9" s="225" t="n"/>
    </row>
    <row r="10">
      <c r="B10" s="226" t="n"/>
      <c r="C10" s="226" t="n"/>
      <c r="D10" s="189" t="inlineStr">
        <is>
          <t>Номер сметы</t>
        </is>
      </c>
      <c r="E10" s="189" t="inlineStr">
        <is>
          <t>Наименование сметы</t>
        </is>
      </c>
      <c r="F10" s="189" t="inlineStr">
        <is>
          <t>Сметная стоимость в уровне цен 2 кв. 2018 г., тыс. руб.</t>
        </is>
      </c>
      <c r="G10" s="224" t="n"/>
      <c r="H10" s="224" t="n"/>
      <c r="I10" s="224" t="n"/>
      <c r="J10" s="225" t="n"/>
    </row>
    <row r="11" ht="31.5" customHeight="1" s="164">
      <c r="B11" s="227" t="n"/>
      <c r="C11" s="227" t="n"/>
      <c r="D11" s="227" t="n"/>
      <c r="E11" s="227" t="n"/>
      <c r="F11" s="189" t="inlineStr">
        <is>
          <t>Строительные работы</t>
        </is>
      </c>
      <c r="G11" s="189" t="inlineStr">
        <is>
          <t>Монтажные работы</t>
        </is>
      </c>
      <c r="H11" s="189" t="inlineStr">
        <is>
          <t>Оборудование</t>
        </is>
      </c>
      <c r="I11" s="189" t="inlineStr">
        <is>
          <t>Прочее</t>
        </is>
      </c>
      <c r="J11" s="189" t="inlineStr">
        <is>
          <t>Всего</t>
        </is>
      </c>
    </row>
    <row r="12" ht="63" customHeight="1" s="164">
      <c r="B12" s="189" t="n"/>
      <c r="C12" s="174" t="inlineStr">
        <is>
          <t>ПС-330 Т1</t>
        </is>
      </c>
      <c r="D12" s="41" t="inlineStr">
        <is>
          <t>02-01.030-04</t>
        </is>
      </c>
      <c r="E12" s="174" t="inlineStr">
        <is>
          <t>Устройство портала ПС-330Т1</t>
        </is>
      </c>
      <c r="F12" s="125" t="n">
        <v>872.753</v>
      </c>
      <c r="G12" s="189" t="n"/>
      <c r="H12" s="189" t="n"/>
      <c r="I12" s="189" t="n"/>
      <c r="J12" s="125">
        <f>SUM(F12:I12)</f>
        <v/>
      </c>
    </row>
    <row r="13" ht="66" customHeight="1" s="164">
      <c r="B13" s="32" t="n"/>
      <c r="C13" s="174" t="inlineStr">
        <is>
          <t>грибовидный фудамент</t>
        </is>
      </c>
      <c r="D13" s="131" t="inlineStr">
        <is>
          <t>02-01.030-04</t>
        </is>
      </c>
      <c r="E13" s="174" t="inlineStr">
        <is>
          <t>Устройство портала ПС-330Т1</t>
        </is>
      </c>
      <c r="F13" s="39" t="n">
        <v>674.526</v>
      </c>
      <c r="G13" s="39" t="n"/>
      <c r="H13" s="39" t="n"/>
      <c r="I13" s="39" t="n"/>
      <c r="J13" s="125">
        <f>SUM(F13:I13)</f>
        <v/>
      </c>
    </row>
    <row r="14">
      <c r="B14" s="187" t="inlineStr">
        <is>
          <t>Всего по объекту:</t>
        </is>
      </c>
      <c r="C14" s="224" t="n"/>
      <c r="D14" s="224" t="n"/>
      <c r="E14" s="225" t="n"/>
      <c r="F14" s="228">
        <f>F13+F12</f>
        <v/>
      </c>
      <c r="G14" s="24" t="n"/>
      <c r="H14" s="24" t="n"/>
      <c r="I14" s="24" t="n"/>
      <c r="J14" s="174">
        <f>SUM(F14:I14)</f>
        <v/>
      </c>
    </row>
    <row r="15" ht="28.5" customHeight="1" s="164">
      <c r="B15" s="187" t="inlineStr">
        <is>
          <t>Всего по объекту в сопоставимом уровне цен 2 кв. 2018г:</t>
        </is>
      </c>
      <c r="C15" s="224" t="n"/>
      <c r="D15" s="224" t="n"/>
      <c r="E15" s="225" t="n"/>
      <c r="F15" s="228">
        <f>F14</f>
        <v/>
      </c>
      <c r="G15" s="24" t="n"/>
      <c r="H15" s="24" t="n"/>
      <c r="I15" s="24" t="n"/>
      <c r="J15" s="174">
        <f>SUM(F15:I15)</f>
        <v/>
      </c>
    </row>
    <row r="16">
      <c r="B16" s="186" t="n"/>
    </row>
    <row r="18">
      <c r="B18" s="211" t="inlineStr">
        <is>
          <t>*</t>
        </is>
      </c>
      <c r="C18" s="166" t="inlineStr">
        <is>
          <t xml:space="preserve"> - стоимость с учетом исключения затрат на корректровку по транспортировке  свыше 30 км.</t>
        </is>
      </c>
    </row>
    <row r="22">
      <c r="B22" s="166" t="inlineStr">
        <is>
          <t>Составил ______________________        Р.Р. Шагеева</t>
        </is>
      </c>
      <c r="C22" s="166" t="n"/>
    </row>
    <row r="23">
      <c r="B23" s="22" t="inlineStr">
        <is>
          <t xml:space="preserve">                         (подпись, инициалы, фамилия)</t>
        </is>
      </c>
      <c r="C23" s="166" t="n"/>
    </row>
    <row r="24">
      <c r="B24" s="166" t="n"/>
      <c r="C24" s="166" t="n"/>
    </row>
    <row r="25">
      <c r="B25" s="166" t="inlineStr">
        <is>
          <t>Проверил ______________________        А.В. Костянецкая</t>
        </is>
      </c>
      <c r="C25" s="166" t="n"/>
    </row>
    <row r="26">
      <c r="B26" s="22" t="inlineStr">
        <is>
          <t xml:space="preserve">                        (подпись, инициалы, фамилия)</t>
        </is>
      </c>
      <c r="C26" s="166" t="n"/>
    </row>
  </sheetData>
  <mergeCells count="12">
    <mergeCell ref="B3:J3"/>
    <mergeCell ref="D10:D11"/>
    <mergeCell ref="B4:K4"/>
    <mergeCell ref="D9:J9"/>
    <mergeCell ref="F10:J10"/>
    <mergeCell ref="B15:E15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J59"/>
  <sheetViews>
    <sheetView view="pageBreakPreview" topLeftCell="A22" zoomScale="55" workbookViewId="0">
      <selection activeCell="C56" sqref="C56"/>
    </sheetView>
  </sheetViews>
  <sheetFormatPr baseColWidth="8" defaultColWidth="9.140625" defaultRowHeight="15.75"/>
  <cols>
    <col width="9.140625" customWidth="1" style="166" min="1" max="1"/>
    <col width="15.42578125" customWidth="1" style="166" min="2" max="2"/>
    <col width="22.42578125" customWidth="1" style="166" min="3" max="3"/>
    <col width="49.7109375" customWidth="1" style="166" min="4" max="4"/>
    <col width="10.140625" customWidth="1" style="166" min="5" max="5"/>
    <col width="20.7109375" customWidth="1" style="166" min="6" max="6"/>
    <col width="16.140625" customWidth="1" style="166" min="7" max="7"/>
    <col width="16.7109375" customWidth="1" style="166" min="8" max="8"/>
    <col width="9.140625" customWidth="1" style="166" min="9" max="9"/>
  </cols>
  <sheetData>
    <row r="2">
      <c r="A2" s="184" t="inlineStr">
        <is>
          <t xml:space="preserve">Приложение № 3 </t>
        </is>
      </c>
    </row>
    <row r="3">
      <c r="A3" s="185" t="inlineStr">
        <is>
          <t>Объектная ресурсная ведомость</t>
        </is>
      </c>
    </row>
    <row r="4">
      <c r="A4" s="186" t="n"/>
    </row>
    <row r="5">
      <c r="A5" s="188" t="inlineStr">
        <is>
          <t>Наименование разрабатываемого показателя УНЦ -  Устройство порталов и ошиновки ОРУ 330 кВ</t>
        </is>
      </c>
    </row>
    <row r="6" s="164">
      <c r="A6" s="188" t="n"/>
      <c r="B6" s="188" t="n"/>
      <c r="C6" s="188" t="n"/>
      <c r="D6" s="188" t="n"/>
      <c r="E6" s="188" t="n"/>
      <c r="F6" s="188" t="n"/>
      <c r="G6" s="188" t="n"/>
      <c r="H6" s="188" t="n"/>
      <c r="I6" s="166" t="n"/>
    </row>
    <row r="7" s="164">
      <c r="A7" s="188" t="n"/>
      <c r="B7" s="188" t="n"/>
      <c r="C7" s="188" t="n"/>
      <c r="D7" s="188" t="n"/>
      <c r="E7" s="188" t="n"/>
      <c r="F7" s="188" t="n"/>
      <c r="G7" s="188" t="n"/>
      <c r="H7" s="188" t="n"/>
      <c r="I7" s="166" t="n"/>
    </row>
    <row r="8">
      <c r="A8" s="188" t="n"/>
      <c r="B8" s="188" t="n"/>
      <c r="C8" s="188" t="n"/>
      <c r="D8" s="188" t="n"/>
      <c r="E8" s="188" t="n"/>
      <c r="F8" s="188" t="n"/>
      <c r="G8" s="188" t="n"/>
      <c r="H8" s="188" t="n"/>
    </row>
    <row r="9" ht="38.25" customHeight="1" s="164">
      <c r="A9" s="189" t="inlineStr">
        <is>
          <t>п/п</t>
        </is>
      </c>
      <c r="B9" s="189" t="inlineStr">
        <is>
          <t>№ЛСР</t>
        </is>
      </c>
      <c r="C9" s="189" t="inlineStr">
        <is>
          <t>Код ресурса</t>
        </is>
      </c>
      <c r="D9" s="189" t="inlineStr">
        <is>
          <t>Наименование ресурса</t>
        </is>
      </c>
      <c r="E9" s="189" t="inlineStr">
        <is>
          <t>Ед. изм.</t>
        </is>
      </c>
      <c r="F9" s="189" t="inlineStr">
        <is>
          <t>Кол-во единиц по данным объекта-представителя</t>
        </is>
      </c>
      <c r="G9" s="189" t="inlineStr">
        <is>
          <t>Сметная стоимость в ценах на 01.01.2000 (руб.)</t>
        </is>
      </c>
      <c r="H9" s="225" t="n"/>
    </row>
    <row r="10" ht="40.5" customHeight="1" s="164">
      <c r="A10" s="227" t="n"/>
      <c r="B10" s="227" t="n"/>
      <c r="C10" s="227" t="n"/>
      <c r="D10" s="227" t="n"/>
      <c r="E10" s="227" t="n"/>
      <c r="F10" s="227" t="n"/>
      <c r="G10" s="189" t="inlineStr">
        <is>
          <t>на ед.изм.</t>
        </is>
      </c>
      <c r="H10" s="189" t="inlineStr">
        <is>
          <t>общая</t>
        </is>
      </c>
    </row>
    <row r="11">
      <c r="A11" s="179" t="n">
        <v>1</v>
      </c>
      <c r="B11" s="179" t="n"/>
      <c r="C11" s="179" t="n">
        <v>2</v>
      </c>
      <c r="D11" s="179" t="inlineStr">
        <is>
          <t>З</t>
        </is>
      </c>
      <c r="E11" s="179" t="n">
        <v>4</v>
      </c>
      <c r="F11" s="179" t="n">
        <v>5</v>
      </c>
      <c r="G11" s="179" t="n">
        <v>6</v>
      </c>
      <c r="H11" s="179" t="n">
        <v>7</v>
      </c>
    </row>
    <row r="12" customFormat="1" s="27">
      <c r="A12" s="190" t="inlineStr">
        <is>
          <t>Затраты труда рабочих</t>
        </is>
      </c>
      <c r="B12" s="224" t="n"/>
      <c r="C12" s="224" t="n"/>
      <c r="D12" s="224" t="n"/>
      <c r="E12" s="225" t="n"/>
      <c r="F12" s="26" t="n">
        <v>502.456112</v>
      </c>
      <c r="G12" s="26" t="n"/>
      <c r="H12" s="26">
        <f>SUM(H13:H20)</f>
        <v/>
      </c>
    </row>
    <row r="13">
      <c r="A13" s="191" t="n">
        <v>1</v>
      </c>
      <c r="B13" s="42" t="inlineStr">
        <is>
          <t>02-01.030-04</t>
        </is>
      </c>
      <c r="C13" s="35" t="inlineStr">
        <is>
          <t>1-1-5</t>
        </is>
      </c>
      <c r="D13" s="192" t="inlineStr">
        <is>
          <t>Затраты труда рабочих (ср 1,5)</t>
        </is>
      </c>
      <c r="E13" s="191" t="inlineStr">
        <is>
          <t>чел.-ч</t>
        </is>
      </c>
      <c r="F13" s="191" t="n">
        <v>262.92204</v>
      </c>
      <c r="G13" s="30" t="n">
        <v>7.5</v>
      </c>
      <c r="H13" s="30">
        <f>ROUND(F13*G13,2)</f>
        <v/>
      </c>
      <c r="J13" s="166" t="n"/>
    </row>
    <row r="14">
      <c r="A14" s="191">
        <f>A13+1</f>
        <v/>
      </c>
      <c r="B14" s="42" t="inlineStr">
        <is>
          <t>02-01.030-04</t>
        </is>
      </c>
      <c r="C14" s="35" t="inlineStr">
        <is>
          <t>1-4-3</t>
        </is>
      </c>
      <c r="D14" s="192" t="inlineStr">
        <is>
          <t>Затраты труда рабочих (ср 4,3)</t>
        </is>
      </c>
      <c r="E14" s="191" t="inlineStr">
        <is>
          <t>чел.-ч</t>
        </is>
      </c>
      <c r="F14" s="191" t="n">
        <v>176.675</v>
      </c>
      <c r="G14" s="30" t="n">
        <v>10.06</v>
      </c>
      <c r="H14" s="30">
        <f>ROUND(F14*G14,2)</f>
        <v/>
      </c>
      <c r="J14" s="166" t="n"/>
    </row>
    <row r="15">
      <c r="A15" s="191">
        <f>A14+1</f>
        <v/>
      </c>
      <c r="B15" s="42" t="inlineStr">
        <is>
          <t>02-01.030-04</t>
        </is>
      </c>
      <c r="C15" s="35" t="inlineStr">
        <is>
          <t>1-4-2</t>
        </is>
      </c>
      <c r="D15" s="192" t="inlineStr">
        <is>
          <t>Затраты труда рабочих (ср 4,2)</t>
        </is>
      </c>
      <c r="E15" s="191" t="inlineStr">
        <is>
          <t>чел.-ч</t>
        </is>
      </c>
      <c r="F15" s="191" t="n">
        <v>62.859072</v>
      </c>
      <c r="G15" s="30" t="n">
        <v>9.92</v>
      </c>
      <c r="H15" s="30">
        <f>ROUND(F15*G15,2)</f>
        <v/>
      </c>
      <c r="J15" s="166" t="n"/>
    </row>
    <row r="16">
      <c r="A16" s="191">
        <f>A15+1</f>
        <v/>
      </c>
      <c r="B16" s="42" t="inlineStr">
        <is>
          <t>02-01.030-04</t>
        </is>
      </c>
      <c r="C16" s="35" t="inlineStr">
        <is>
          <t>1-2-8</t>
        </is>
      </c>
      <c r="D16" s="192" t="inlineStr">
        <is>
          <t>Затраты труда рабочих (ср 2,8)</t>
        </is>
      </c>
      <c r="E16" s="191" t="inlineStr">
        <is>
          <t>чел.-ч</t>
        </is>
      </c>
      <c r="F16" s="191" t="n">
        <v>45.40704</v>
      </c>
      <c r="G16" s="30" t="n">
        <v>8.380000000000001</v>
      </c>
      <c r="H16" s="30">
        <f>ROUND(F16*G16,2)</f>
        <v/>
      </c>
      <c r="J16" s="166" t="n"/>
    </row>
    <row r="17">
      <c r="A17" s="191">
        <f>A16+1</f>
        <v/>
      </c>
      <c r="B17" s="42" t="inlineStr">
        <is>
          <t>02-01.030-04</t>
        </is>
      </c>
      <c r="C17" s="35" t="inlineStr">
        <is>
          <t>1-3-0</t>
        </is>
      </c>
      <c r="D17" s="192" t="inlineStr">
        <is>
          <t>Затраты труда рабочих (ср 3)</t>
        </is>
      </c>
      <c r="E17" s="191" t="inlineStr">
        <is>
          <t>чел.-ч</t>
        </is>
      </c>
      <c r="F17" s="191" t="n">
        <v>16.109821</v>
      </c>
      <c r="G17" s="30" t="n">
        <v>8.529999999999999</v>
      </c>
      <c r="H17" s="30">
        <f>ROUND(F17*G17,2)</f>
        <v/>
      </c>
      <c r="J17" s="166" t="n"/>
    </row>
    <row r="18">
      <c r="A18" s="191">
        <f>A17+1</f>
        <v/>
      </c>
      <c r="B18" s="42" t="inlineStr">
        <is>
          <t>02-01.030-04</t>
        </is>
      </c>
      <c r="C18" s="35" t="inlineStr">
        <is>
          <t>1-3-9</t>
        </is>
      </c>
      <c r="D18" s="192" t="inlineStr">
        <is>
          <t>Затраты труда рабочих (ср 3,9)</t>
        </is>
      </c>
      <c r="E18" s="191" t="inlineStr">
        <is>
          <t>чел.-ч</t>
        </is>
      </c>
      <c r="F18" s="191" t="n">
        <v>13.144</v>
      </c>
      <c r="G18" s="30" t="n">
        <v>9.51</v>
      </c>
      <c r="H18" s="30">
        <f>ROUND(F18*G18,2)</f>
        <v/>
      </c>
      <c r="J18" s="166" t="n"/>
    </row>
    <row r="19">
      <c r="A19" s="191">
        <f>A18+1</f>
        <v/>
      </c>
      <c r="B19" s="42" t="inlineStr">
        <is>
          <t>02-01.030-04</t>
        </is>
      </c>
      <c r="C19" s="35" t="inlineStr">
        <is>
          <t>1-2-0</t>
        </is>
      </c>
      <c r="D19" s="192" t="inlineStr">
        <is>
          <t>Затраты труда рабочих (ср 2)</t>
        </is>
      </c>
      <c r="E19" s="191" t="inlineStr">
        <is>
          <t>чел.-ч</t>
        </is>
      </c>
      <c r="F19" s="191" t="n">
        <v>2.9785</v>
      </c>
      <c r="G19" s="30" t="n">
        <v>7.8</v>
      </c>
      <c r="H19" s="30">
        <f>ROUND(F19*G19,2)</f>
        <v/>
      </c>
      <c r="J19" s="166" t="n"/>
    </row>
    <row r="20">
      <c r="A20" s="191">
        <f>A19+1</f>
        <v/>
      </c>
      <c r="B20" s="42" t="inlineStr">
        <is>
          <t>02-01.030-04</t>
        </is>
      </c>
      <c r="C20" s="35" t="inlineStr">
        <is>
          <t>1-2-3</t>
        </is>
      </c>
      <c r="D20" s="192" t="inlineStr">
        <is>
          <t>Затраты труда рабочих (ср 2,3)</t>
        </is>
      </c>
      <c r="E20" s="191" t="inlineStr">
        <is>
          <t>чел.-ч</t>
        </is>
      </c>
      <c r="F20" s="191" t="n">
        <v>1.5552</v>
      </c>
      <c r="G20" s="30" t="n">
        <v>8.02</v>
      </c>
      <c r="H20" s="30">
        <f>ROUND(F20*G20,2)</f>
        <v/>
      </c>
      <c r="J20" s="166" t="n"/>
    </row>
    <row r="21">
      <c r="A21" s="190" t="inlineStr">
        <is>
          <t>Затраты труда машинистов</t>
        </is>
      </c>
      <c r="B21" s="224" t="n"/>
      <c r="C21" s="224" t="n"/>
      <c r="D21" s="224" t="n"/>
      <c r="E21" s="225" t="n"/>
      <c r="F21" s="190" t="n">
        <v>59.604764</v>
      </c>
      <c r="G21" s="26" t="n"/>
      <c r="H21" s="26">
        <f>H22</f>
        <v/>
      </c>
    </row>
    <row r="22">
      <c r="A22" s="191">
        <f>A20+1</f>
        <v/>
      </c>
      <c r="B22" s="42" t="inlineStr">
        <is>
          <t>02-06-01</t>
        </is>
      </c>
      <c r="C22" s="192" t="n">
        <v>2</v>
      </c>
      <c r="D22" s="192" t="inlineStr">
        <is>
          <t>Затраты труда машинистов</t>
        </is>
      </c>
      <c r="E22" s="191" t="inlineStr">
        <is>
          <t>чел.-ч</t>
        </is>
      </c>
      <c r="F22" s="191" t="n">
        <v>59.604764</v>
      </c>
      <c r="G22" s="30" t="n">
        <v>0</v>
      </c>
      <c r="H22" s="30" t="n">
        <v>1888.53</v>
      </c>
      <c r="J22" s="166" t="n"/>
    </row>
    <row r="23" customFormat="1" s="27">
      <c r="A23" s="190" t="inlineStr">
        <is>
          <t>Машины и механизмы</t>
        </is>
      </c>
      <c r="B23" s="224" t="n"/>
      <c r="C23" s="224" t="n"/>
      <c r="D23" s="224" t="n"/>
      <c r="E23" s="225" t="n"/>
      <c r="F23" s="190" t="n"/>
      <c r="G23" s="26" t="n"/>
      <c r="H23" s="26">
        <f>SUM(H24:H40)</f>
        <v/>
      </c>
    </row>
    <row r="24" ht="31.5" customHeight="1" s="164">
      <c r="A24" s="191">
        <f>A22+1</f>
        <v/>
      </c>
      <c r="B24" s="42" t="inlineStr">
        <is>
          <t>02-01.030-04</t>
        </is>
      </c>
      <c r="C24" s="192" t="inlineStr">
        <is>
          <t>91.14.03-002</t>
        </is>
      </c>
      <c r="D24" s="192" t="inlineStr">
        <is>
          <t>Автомобили-самосвалы, грузоподъемность до 10 т</t>
        </is>
      </c>
      <c r="E24" s="191" t="inlineStr">
        <is>
          <t>маш.-ч</t>
        </is>
      </c>
      <c r="F24" s="191" t="n">
        <v>80.18000000000001</v>
      </c>
      <c r="G24" s="30" t="n">
        <v>87.48999999999999</v>
      </c>
      <c r="H24" s="30">
        <f>ROUND(F24*G24,2)</f>
        <v/>
      </c>
      <c r="J24" s="166" t="n"/>
    </row>
    <row r="25" ht="31.5" customFormat="1" customHeight="1" s="27">
      <c r="A25" s="191">
        <f>A24+1</f>
        <v/>
      </c>
      <c r="B25" s="42" t="inlineStr">
        <is>
          <t>02-01.030-04</t>
        </is>
      </c>
      <c r="C25" s="192" t="inlineStr">
        <is>
          <t>91.05.05-015</t>
        </is>
      </c>
      <c r="D25" s="192" t="inlineStr">
        <is>
          <t>Краны на автомобильном ходу, грузоподъемность 16 т</t>
        </is>
      </c>
      <c r="E25" s="191" t="inlineStr">
        <is>
          <t>маш.час</t>
        </is>
      </c>
      <c r="F25" s="191" t="n">
        <v>21.5713</v>
      </c>
      <c r="G25" s="30" t="n">
        <v>115.4</v>
      </c>
      <c r="H25" s="30">
        <f>ROUND(F25*G25,2)</f>
        <v/>
      </c>
    </row>
    <row r="26">
      <c r="A26" s="191">
        <f>A25+1</f>
        <v/>
      </c>
      <c r="B26" s="42" t="inlineStr">
        <is>
          <t>02-01.030-04</t>
        </is>
      </c>
      <c r="C26" s="192" t="inlineStr">
        <is>
          <t>91.06.06-014</t>
        </is>
      </c>
      <c r="D26" s="192" t="inlineStr">
        <is>
          <t>Автогидроподъемники, высота подъема 28 м</t>
        </is>
      </c>
      <c r="E26" s="191" t="inlineStr">
        <is>
          <t>маш.час</t>
        </is>
      </c>
      <c r="F26" s="191" t="n">
        <v>7.743</v>
      </c>
      <c r="G26" s="30" t="n">
        <v>243.49</v>
      </c>
      <c r="H26" s="30">
        <f>ROUND(F26*G26,2)</f>
        <v/>
      </c>
    </row>
    <row r="27" ht="31.5" customHeight="1" s="164">
      <c r="A27" s="191">
        <f>A26+1</f>
        <v/>
      </c>
      <c r="B27" s="42" t="inlineStr">
        <is>
          <t>02-01.030-04</t>
        </is>
      </c>
      <c r="C27" s="192" t="inlineStr">
        <is>
          <t>91.05.08-007</t>
        </is>
      </c>
      <c r="D27" s="192" t="inlineStr">
        <is>
          <t>Краны на пневмоколесном ходу, грузоподъемность 25 т</t>
        </is>
      </c>
      <c r="E27" s="191" t="inlineStr">
        <is>
          <t>маш.час</t>
        </is>
      </c>
      <c r="F27" s="191" t="n">
        <v>17.315744</v>
      </c>
      <c r="G27" s="30" t="n">
        <v>102.51</v>
      </c>
      <c r="H27" s="30">
        <f>ROUND(F27*G27,2)</f>
        <v/>
      </c>
    </row>
    <row r="28" ht="31.5" customHeight="1" s="164">
      <c r="A28" s="191">
        <f>A27+1</f>
        <v/>
      </c>
      <c r="B28" s="42" t="inlineStr">
        <is>
          <t>02-01.030-04</t>
        </is>
      </c>
      <c r="C28" s="192" t="inlineStr">
        <is>
          <t>91.01.05-085</t>
        </is>
      </c>
      <c r="D28" s="192" t="inlineStr">
        <is>
          <t>Экскаваторы одноковшовые дизельные на гусеничном ходу, емкость ковша 0,5 м3</t>
        </is>
      </c>
      <c r="E28" s="191" t="inlineStr">
        <is>
          <t>маш.час</t>
        </is>
      </c>
      <c r="F28" s="191" t="n">
        <v>6.475</v>
      </c>
      <c r="G28" s="30" t="n">
        <v>100</v>
      </c>
      <c r="H28" s="30">
        <f>ROUND(F28*G28,2)</f>
        <v/>
      </c>
    </row>
    <row r="29" ht="31.5" customHeight="1" s="164">
      <c r="A29" s="191">
        <f>A28+1</f>
        <v/>
      </c>
      <c r="B29" s="42" t="inlineStr">
        <is>
          <t>02-01.030-04</t>
        </is>
      </c>
      <c r="C29" s="192" t="inlineStr">
        <is>
          <t>91.08.03-030</t>
        </is>
      </c>
      <c r="D29" s="192" t="inlineStr">
        <is>
          <t>Катки самоходные пневмоколесные статические, масса 30 т</t>
        </is>
      </c>
      <c r="E29" s="191" t="inlineStr">
        <is>
          <t>маш.час</t>
        </is>
      </c>
      <c r="F29" s="191" t="n">
        <v>0.87912</v>
      </c>
      <c r="G29" s="30" t="n">
        <v>364.07</v>
      </c>
      <c r="H29" s="30">
        <f>ROUND(F29*G29,2)</f>
        <v/>
      </c>
    </row>
    <row r="30" ht="47.25" customHeight="1" s="164">
      <c r="A30" s="191">
        <f>A29+1</f>
        <v/>
      </c>
      <c r="B30" s="42" t="inlineStr">
        <is>
          <t>02-01.030-04</t>
        </is>
      </c>
      <c r="C30" s="192" t="inlineStr">
        <is>
          <t>91.18.01-007</t>
        </is>
      </c>
      <c r="D30" s="19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0" s="191" t="inlineStr">
        <is>
          <t>маш.час</t>
        </is>
      </c>
      <c r="F30" s="191" t="n">
        <v>3.368534</v>
      </c>
      <c r="G30" s="30" t="n">
        <v>90</v>
      </c>
      <c r="H30" s="30">
        <f>ROUND(F30*G30,2)</f>
        <v/>
      </c>
    </row>
    <row r="31" ht="33" customHeight="1" s="164">
      <c r="A31" s="191">
        <f>A30+1</f>
        <v/>
      </c>
      <c r="B31" s="42" t="inlineStr">
        <is>
          <t>02-01.030-04</t>
        </is>
      </c>
      <c r="C31" s="192" t="inlineStr">
        <is>
          <t>91.17.04-036</t>
        </is>
      </c>
      <c r="D31" s="192" t="inlineStr">
        <is>
          <t>Агрегаты сварочные передвижные с дизельным двигателем, номинальный сварочный ток 250-400 А</t>
        </is>
      </c>
      <c r="E31" s="191" t="inlineStr">
        <is>
          <t>маш.час</t>
        </is>
      </c>
      <c r="F31" s="191" t="n">
        <v>9.79345</v>
      </c>
      <c r="G31" s="30" t="n">
        <v>14</v>
      </c>
      <c r="H31" s="30">
        <f>ROUND(F31*G31,2)</f>
        <v/>
      </c>
    </row>
    <row r="32" ht="31.5" customHeight="1" s="164">
      <c r="A32" s="191">
        <f>A31+1</f>
        <v/>
      </c>
      <c r="B32" s="42" t="inlineStr">
        <is>
          <t>02-01.030-04</t>
        </is>
      </c>
      <c r="C32" s="192" t="inlineStr">
        <is>
          <t>91.14.02-002</t>
        </is>
      </c>
      <c r="D32" s="192" t="inlineStr">
        <is>
          <t>Автомобили бортовые, грузоподъемность до 8 т</t>
        </is>
      </c>
      <c r="E32" s="191" t="inlineStr">
        <is>
          <t>маш.час</t>
        </is>
      </c>
      <c r="F32" s="191" t="n">
        <v>0.831256</v>
      </c>
      <c r="G32" s="30" t="n">
        <v>85.84</v>
      </c>
      <c r="H32" s="30">
        <f>ROUND(F32*G32,2)</f>
        <v/>
      </c>
    </row>
    <row r="33">
      <c r="A33" s="191">
        <f>A32+1</f>
        <v/>
      </c>
      <c r="B33" s="42" t="inlineStr">
        <is>
          <t>02-01.030-04</t>
        </is>
      </c>
      <c r="C33" s="192" t="inlineStr">
        <is>
          <t>91.01.01-036</t>
        </is>
      </c>
      <c r="D33" s="192" t="inlineStr">
        <is>
          <t>Бульдозеры, мощность 96 кВт (130 л.с.)</t>
        </is>
      </c>
      <c r="E33" s="191" t="inlineStr">
        <is>
          <t>маш.час</t>
        </is>
      </c>
      <c r="F33" s="191" t="n">
        <v>0.69273</v>
      </c>
      <c r="G33" s="30" t="n">
        <v>94.05</v>
      </c>
      <c r="H33" s="30">
        <f>ROUND(F33*G33,2)</f>
        <v/>
      </c>
    </row>
    <row r="34">
      <c r="A34" s="191">
        <f>A33+1</f>
        <v/>
      </c>
      <c r="B34" s="42" t="inlineStr">
        <is>
          <t>02-01.030-04</t>
        </is>
      </c>
      <c r="C34" s="192" t="inlineStr">
        <is>
          <t>91.08.04-021</t>
        </is>
      </c>
      <c r="D34" s="192" t="inlineStr">
        <is>
          <t>Котлы битумные передвижные 400 л</t>
        </is>
      </c>
      <c r="E34" s="191" t="inlineStr">
        <is>
          <t>маш.час</t>
        </is>
      </c>
      <c r="F34" s="191" t="n">
        <v>1.209</v>
      </c>
      <c r="G34" s="30" t="n">
        <v>30</v>
      </c>
      <c r="H34" s="30">
        <f>ROUND(F34*G34,2)</f>
        <v/>
      </c>
    </row>
    <row r="35" ht="31.5" customHeight="1" s="164">
      <c r="A35" s="191">
        <f>A34+1</f>
        <v/>
      </c>
      <c r="B35" s="42" t="inlineStr">
        <is>
          <t>02-01.030-04</t>
        </is>
      </c>
      <c r="C35" s="192" t="inlineStr">
        <is>
          <t>91.01.02-004</t>
        </is>
      </c>
      <c r="D35" s="192" t="inlineStr">
        <is>
          <t>Автогрейдеры среднего типа, мощность 99 кВт (135 л.с.)</t>
        </is>
      </c>
      <c r="E35" s="191" t="inlineStr">
        <is>
          <t>маш.час</t>
        </is>
      </c>
      <c r="F35" s="191" t="n">
        <v>0.1656</v>
      </c>
      <c r="G35" s="30" t="n">
        <v>123</v>
      </c>
      <c r="H35" s="30">
        <f>ROUND(F35*G35,2)</f>
        <v/>
      </c>
    </row>
    <row r="36">
      <c r="A36" s="191">
        <f>A35+1</f>
        <v/>
      </c>
      <c r="B36" s="42" t="inlineStr">
        <is>
          <t>02-01.030-04</t>
        </is>
      </c>
      <c r="C36" s="192" t="inlineStr">
        <is>
          <t>91.06.05-011</t>
        </is>
      </c>
      <c r="D36" s="192" t="inlineStr">
        <is>
          <t>Погрузчики, грузоподъемность 5 т</t>
        </is>
      </c>
      <c r="E36" s="191" t="inlineStr">
        <is>
          <t>маш.час</t>
        </is>
      </c>
      <c r="F36" s="191" t="n">
        <v>0.17712</v>
      </c>
      <c r="G36" s="30" t="n">
        <v>89.98999999999999</v>
      </c>
      <c r="H36" s="30">
        <f>ROUND(F36*G36,2)</f>
        <v/>
      </c>
    </row>
    <row r="37">
      <c r="A37" s="191">
        <f>A36+1</f>
        <v/>
      </c>
      <c r="B37" s="42" t="inlineStr">
        <is>
          <t>02-01.030-04</t>
        </is>
      </c>
      <c r="C37" s="192" t="inlineStr">
        <is>
          <t>91.01.01-035</t>
        </is>
      </c>
      <c r="D37" s="192" t="inlineStr">
        <is>
          <t>Бульдозеры, мощность 79 кВт (108 л.с.)</t>
        </is>
      </c>
      <c r="E37" s="191" t="inlineStr">
        <is>
          <t>маш.час</t>
        </is>
      </c>
      <c r="F37" s="191" t="n">
        <v>0.18648</v>
      </c>
      <c r="G37" s="30" t="n">
        <v>79.06999999999999</v>
      </c>
      <c r="H37" s="30">
        <f>ROUND(F37*G37,2)</f>
        <v/>
      </c>
    </row>
    <row r="38">
      <c r="A38" s="191">
        <f>A37+1</f>
        <v/>
      </c>
      <c r="B38" s="42" t="inlineStr">
        <is>
          <t>02-01.030-04</t>
        </is>
      </c>
      <c r="C38" s="192" t="inlineStr">
        <is>
          <t>91.13.01-038</t>
        </is>
      </c>
      <c r="D38" s="192" t="inlineStr">
        <is>
          <t>Машины поливомоечные 6000 л</t>
        </is>
      </c>
      <c r="E38" s="191" t="inlineStr">
        <is>
          <t>маш.час</t>
        </is>
      </c>
      <c r="F38" s="191" t="n">
        <v>0.07488</v>
      </c>
      <c r="G38" s="30" t="n">
        <v>110</v>
      </c>
      <c r="H38" s="30">
        <f>ROUND(F38*G38,2)</f>
        <v/>
      </c>
    </row>
    <row r="39" ht="32.25" customHeight="1" s="164">
      <c r="A39" s="191">
        <f>A38+1</f>
        <v/>
      </c>
      <c r="B39" s="42" t="inlineStr">
        <is>
          <t>02-01.030-04</t>
        </is>
      </c>
      <c r="C39" s="192" t="inlineStr">
        <is>
          <t>91.14.02-001</t>
        </is>
      </c>
      <c r="D39" s="192" t="inlineStr">
        <is>
          <t>Автомобили бортовые, грузоподъемность до 5 т</t>
        </is>
      </c>
      <c r="E39" s="191" t="inlineStr">
        <is>
          <t>маш.час</t>
        </is>
      </c>
      <c r="F39" s="191" t="n">
        <v>0.124</v>
      </c>
      <c r="G39" s="30" t="n">
        <v>65.70999999999999</v>
      </c>
      <c r="H39" s="30">
        <f>ROUND(F39*G39,2)</f>
        <v/>
      </c>
    </row>
    <row r="40" ht="31.5" customHeight="1" s="164">
      <c r="A40" s="191">
        <f>A39+1</f>
        <v/>
      </c>
      <c r="B40" s="42" t="inlineStr">
        <is>
          <t>02-01.030-04</t>
        </is>
      </c>
      <c r="C40" s="192" t="inlineStr">
        <is>
          <t>91.08.09-023</t>
        </is>
      </c>
      <c r="D40" s="192" t="inlineStr">
        <is>
          <t>Трамбовки пневматические при работе от передвижных компрессорных станций</t>
        </is>
      </c>
      <c r="E40" s="191" t="inlineStr">
        <is>
          <t>маш.час</t>
        </is>
      </c>
      <c r="F40" s="191" t="n">
        <v>13.49985</v>
      </c>
      <c r="G40" s="30" t="n">
        <v>0.55</v>
      </c>
      <c r="H40" s="30">
        <f>ROUND(F40*G40,2)</f>
        <v/>
      </c>
    </row>
    <row r="41">
      <c r="A41" s="190" t="inlineStr">
        <is>
          <t>Материалы</t>
        </is>
      </c>
      <c r="B41" s="224" t="n"/>
      <c r="C41" s="224" t="n"/>
      <c r="D41" s="224" t="n"/>
      <c r="E41" s="225" t="n"/>
      <c r="F41" s="190" t="n"/>
      <c r="G41" s="26" t="n"/>
      <c r="H41" s="26">
        <f>SUM(H42:H52)</f>
        <v/>
      </c>
    </row>
    <row r="42" ht="31.5" customHeight="1" s="164">
      <c r="A42" s="191">
        <f>A40+1</f>
        <v/>
      </c>
      <c r="B42" s="42" t="inlineStr">
        <is>
          <t>02-01.030-04</t>
        </is>
      </c>
      <c r="C42" s="192" t="inlineStr">
        <is>
          <t>07.2.07.13-0211</t>
        </is>
      </c>
      <c r="D42" s="192" t="inlineStr">
        <is>
          <t>Тяги, распорки, связи, стойки стальные оцинкованные</t>
        </is>
      </c>
      <c r="E42" s="191" t="inlineStr">
        <is>
          <t>т</t>
        </is>
      </c>
      <c r="F42" s="191" t="n">
        <v>4.397</v>
      </c>
      <c r="G42" s="30" t="n">
        <v>22977.81</v>
      </c>
      <c r="H42" s="30">
        <f>ROUND(F42*G42,2)</f>
        <v/>
      </c>
    </row>
    <row r="43" ht="47.25" customHeight="1" s="164">
      <c r="A43" s="191">
        <f>A42+1</f>
        <v/>
      </c>
      <c r="B43" s="42" t="inlineStr">
        <is>
          <t>02-01.030-04</t>
        </is>
      </c>
      <c r="C43" s="192" t="inlineStr">
        <is>
          <t>05.1.05.14-0019</t>
        </is>
      </c>
      <c r="D43" s="192" t="inlineStr">
        <is>
          <t>Фундаменты под опоры ВЛ: Ф5-4 /бетон В30 (М400), расход арматуры 182 кг/ (серия 3.407- 115 выпуск 2)</t>
        </is>
      </c>
      <c r="E43" s="191" t="inlineStr">
        <is>
          <t>м3</t>
        </is>
      </c>
      <c r="F43" s="191" t="n">
        <v>14.46</v>
      </c>
      <c r="G43" s="133" t="n">
        <v>3309.84</v>
      </c>
      <c r="H43" s="30">
        <f>ROUND(F43*G43,2)</f>
        <v/>
      </c>
    </row>
    <row r="44" ht="31.5" customHeight="1" s="164">
      <c r="A44" s="191">
        <f>A43+1</f>
        <v/>
      </c>
      <c r="B44" s="42" t="inlineStr">
        <is>
          <t>02-01.030-04</t>
        </is>
      </c>
      <c r="C44" s="192" t="inlineStr">
        <is>
          <t>02.3.01.02-1020</t>
        </is>
      </c>
      <c r="D44" s="192" t="inlineStr">
        <is>
          <t>Песок природный II класс, повышенной крупности, круглые сита</t>
        </is>
      </c>
      <c r="E44" s="191" t="inlineStr">
        <is>
          <t>м3</t>
        </is>
      </c>
      <c r="F44" s="191" t="n">
        <v>287.9968</v>
      </c>
      <c r="G44" s="133" t="n">
        <v>59.99</v>
      </c>
      <c r="H44" s="30">
        <f>ROUND(F44*G44,2)</f>
        <v/>
      </c>
    </row>
    <row r="45" ht="31.5" customHeight="1" s="164">
      <c r="A45" s="191">
        <f>A44+1</f>
        <v/>
      </c>
      <c r="B45" s="42" t="inlineStr">
        <is>
          <t>02-01.030-04</t>
        </is>
      </c>
      <c r="C45" s="192" t="inlineStr">
        <is>
          <t>01.7.15.03-0036</t>
        </is>
      </c>
      <c r="D45" s="192" t="inlineStr">
        <is>
          <t>Болты с гайками и шайбами оцинкованные, диаметр: 24 мм</t>
        </is>
      </c>
      <c r="E45" s="191" t="inlineStr">
        <is>
          <t>кг</t>
        </is>
      </c>
      <c r="F45" s="191" t="n">
        <v>79</v>
      </c>
      <c r="G45" s="133" t="n">
        <v>24.79</v>
      </c>
      <c r="H45" s="30">
        <f>ROUND(F45*G45,2)</f>
        <v/>
      </c>
    </row>
    <row r="46">
      <c r="A46" s="191">
        <f>A45+1</f>
        <v/>
      </c>
      <c r="B46" s="42" t="inlineStr">
        <is>
          <t>02-01.030-04</t>
        </is>
      </c>
      <c r="C46" s="192" t="inlineStr">
        <is>
          <t>02.2.05.04-1777</t>
        </is>
      </c>
      <c r="D46" s="192" t="inlineStr">
        <is>
          <t>Щебень М 800, фракция 20-40 мм, группа 2</t>
        </is>
      </c>
      <c r="E46" s="191" t="inlineStr">
        <is>
          <t>м3</t>
        </is>
      </c>
      <c r="F46" s="191" t="n">
        <v>9.071999999999999</v>
      </c>
      <c r="G46" s="133" t="n">
        <v>108.4</v>
      </c>
      <c r="H46" s="30">
        <f>ROUND(F46*G46,2)</f>
        <v/>
      </c>
    </row>
    <row r="47">
      <c r="A47" s="191">
        <f>A46+1</f>
        <v/>
      </c>
      <c r="B47" s="42" t="inlineStr">
        <is>
          <t>02-01.030-04</t>
        </is>
      </c>
      <c r="C47" s="192" t="inlineStr">
        <is>
          <t>01.7.11.07-0032</t>
        </is>
      </c>
      <c r="D47" s="192" t="inlineStr">
        <is>
          <t>Электроды сварочные Э42, диаметр 4 мм</t>
        </is>
      </c>
      <c r="E47" s="191" t="inlineStr">
        <is>
          <t>т</t>
        </is>
      </c>
      <c r="F47" s="191" t="n">
        <v>0.025114</v>
      </c>
      <c r="G47" s="133" t="n">
        <v>10315.01</v>
      </c>
      <c r="H47" s="30">
        <f>ROUND(F47*G47,2)</f>
        <v/>
      </c>
    </row>
    <row r="48" ht="31.5" customHeight="1" s="164">
      <c r="A48" s="191">
        <f>A47+1</f>
        <v/>
      </c>
      <c r="B48" s="42" t="inlineStr">
        <is>
          <t>02-01.030-04</t>
        </is>
      </c>
      <c r="C48" s="192" t="inlineStr">
        <is>
          <t>01.7.15.03-0035</t>
        </is>
      </c>
      <c r="D48" s="192" t="inlineStr">
        <is>
          <t>Болты с гайками и шайбами оцинкованные, диаметр: 20 мм</t>
        </is>
      </c>
      <c r="E48" s="191" t="inlineStr">
        <is>
          <t>кг</t>
        </is>
      </c>
      <c r="F48" s="191" t="n">
        <v>7</v>
      </c>
      <c r="G48" s="133" t="n">
        <v>24.97</v>
      </c>
      <c r="H48" s="30">
        <f>ROUND(F48*G48,2)</f>
        <v/>
      </c>
    </row>
    <row r="49" ht="31.5" customHeight="1" s="164">
      <c r="A49" s="191">
        <f>A48+1</f>
        <v/>
      </c>
      <c r="B49" s="42" t="inlineStr">
        <is>
          <t>02-01.030-04</t>
        </is>
      </c>
      <c r="C49" s="192" t="inlineStr">
        <is>
          <t>01.7.15.02-0065</t>
        </is>
      </c>
      <c r="D49" s="192" t="inlineStr">
        <is>
          <t>Болты оцинкованные диаметром резьбы: 16 (18) мм</t>
        </is>
      </c>
      <c r="E49" s="191" t="inlineStr">
        <is>
          <t>т</t>
        </is>
      </c>
      <c r="F49" s="191" t="n">
        <v>0.007</v>
      </c>
      <c r="G49" s="133" t="n">
        <v>15441.79</v>
      </c>
      <c r="H49" s="30">
        <f>ROUND(F49*G49,2)</f>
        <v/>
      </c>
    </row>
    <row r="50">
      <c r="A50" s="191">
        <f>A49+1</f>
        <v/>
      </c>
      <c r="B50" s="42" t="inlineStr">
        <is>
          <t>02-01.030-04</t>
        </is>
      </c>
      <c r="C50" s="192" t="inlineStr">
        <is>
          <t>01.3.01.03-0002</t>
        </is>
      </c>
      <c r="D50" s="192" t="inlineStr">
        <is>
          <t>Керосин для технических целей</t>
        </is>
      </c>
      <c r="E50" s="191" t="inlineStr">
        <is>
          <t>т</t>
        </is>
      </c>
      <c r="F50" s="191" t="n">
        <v>0.01488</v>
      </c>
      <c r="G50" s="30" t="n">
        <v>2606.9</v>
      </c>
      <c r="H50" s="30">
        <f>ROUND(F50*G50,2)</f>
        <v/>
      </c>
    </row>
    <row r="51">
      <c r="A51" s="191">
        <f>A50+1</f>
        <v/>
      </c>
      <c r="B51" s="42" t="inlineStr">
        <is>
          <t>02-01.030-04</t>
        </is>
      </c>
      <c r="C51" s="192" t="inlineStr">
        <is>
          <t>01.7.03.01-0001</t>
        </is>
      </c>
      <c r="D51" s="192" t="inlineStr">
        <is>
          <t>Вода</t>
        </is>
      </c>
      <c r="E51" s="191" t="inlineStr">
        <is>
          <t>м3</t>
        </is>
      </c>
      <c r="F51" s="191" t="n">
        <v>0.504</v>
      </c>
      <c r="G51" s="30" t="n">
        <v>2.44</v>
      </c>
      <c r="H51" s="30">
        <f>ROUND(F51*G51,2)</f>
        <v/>
      </c>
    </row>
    <row r="52">
      <c r="A52" s="191">
        <f>A51+1</f>
        <v/>
      </c>
      <c r="B52" s="42" t="inlineStr">
        <is>
          <t>02-01.030-04</t>
        </is>
      </c>
      <c r="C52" s="192" t="inlineStr">
        <is>
          <t>01.7.20.08-0051</t>
        </is>
      </c>
      <c r="D52" s="192" t="inlineStr">
        <is>
          <t>Ветошь</t>
        </is>
      </c>
      <c r="E52" s="191" t="inlineStr">
        <is>
          <t>кг</t>
        </is>
      </c>
      <c r="F52" s="191" t="n">
        <v>0.062</v>
      </c>
      <c r="G52" s="30" t="n">
        <v>1.82</v>
      </c>
      <c r="H52" s="30">
        <f>ROUND(F52*G52,2)</f>
        <v/>
      </c>
    </row>
    <row r="55">
      <c r="B55" s="166" t="inlineStr">
        <is>
          <t xml:space="preserve">Составил ______________________        Р.Р. Шагеева </t>
        </is>
      </c>
      <c r="C55" s="166" t="n"/>
    </row>
    <row r="56">
      <c r="B56" s="22" t="inlineStr">
        <is>
          <t xml:space="preserve">                         (подпись, инициалы, фамилия)</t>
        </is>
      </c>
      <c r="C56" s="166" t="n"/>
    </row>
    <row r="57">
      <c r="B57" s="166" t="n"/>
      <c r="C57" s="166" t="n"/>
    </row>
    <row r="58">
      <c r="B58" s="166" t="inlineStr">
        <is>
          <t>Проверил ______________________        А.В. Костянецкая</t>
        </is>
      </c>
      <c r="C58" s="166" t="n"/>
    </row>
    <row r="59">
      <c r="B59" s="22" t="inlineStr">
        <is>
          <t xml:space="preserve">                        (подпись, инициалы, фамилия)</t>
        </is>
      </c>
      <c r="C59" s="166" t="n"/>
    </row>
  </sheetData>
  <mergeCells count="14">
    <mergeCell ref="A21:E21"/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41:E41"/>
    <mergeCell ref="A23:E23"/>
    <mergeCell ref="A5:H5"/>
    <mergeCell ref="G9:H9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E63" sqref="E63"/>
    </sheetView>
  </sheetViews>
  <sheetFormatPr baseColWidth="8" defaultRowHeight="15"/>
  <cols>
    <col width="4.140625" customWidth="1" style="164" min="1" max="1"/>
    <col width="36.28515625" customWidth="1" style="164" min="2" max="2"/>
    <col width="18.85546875" customWidth="1" style="164" min="3" max="3"/>
    <col width="18.28515625" customWidth="1" style="164" min="4" max="4"/>
    <col width="18.85546875" customWidth="1" style="164" min="5" max="5"/>
    <col width="9.140625" customWidth="1" style="164" min="6" max="6"/>
    <col width="12.85546875" customWidth="1" style="164" min="7" max="7"/>
    <col width="9.140625" customWidth="1" style="164" min="8" max="11"/>
    <col width="13.5703125" customWidth="1" style="164" min="12" max="12"/>
    <col width="9.140625" customWidth="1" style="164" min="13" max="13"/>
  </cols>
  <sheetData>
    <row r="1">
      <c r="B1" s="152" t="n"/>
      <c r="C1" s="152" t="n"/>
      <c r="D1" s="152" t="n"/>
      <c r="E1" s="152" t="n"/>
    </row>
    <row r="2">
      <c r="B2" s="152" t="n"/>
      <c r="C2" s="152" t="n"/>
      <c r="D2" s="152" t="n"/>
      <c r="E2" s="221" t="inlineStr">
        <is>
          <t>Приложение № 4</t>
        </is>
      </c>
    </row>
    <row r="3">
      <c r="B3" s="152" t="n"/>
      <c r="C3" s="152" t="n"/>
      <c r="D3" s="152" t="n"/>
      <c r="E3" s="152" t="n"/>
    </row>
    <row r="4">
      <c r="B4" s="152" t="n"/>
      <c r="C4" s="152" t="n"/>
      <c r="D4" s="152" t="n"/>
      <c r="E4" s="152" t="n"/>
    </row>
    <row r="5">
      <c r="B5" s="193" t="inlineStr">
        <is>
          <t>Ресурсная модель</t>
        </is>
      </c>
    </row>
    <row r="6">
      <c r="B6" s="12" t="n"/>
      <c r="C6" s="152" t="n"/>
      <c r="D6" s="152" t="n"/>
      <c r="E6" s="152" t="n"/>
    </row>
    <row r="7" ht="25.5" customHeight="1" s="164">
      <c r="B7" s="194" t="inlineStr">
        <is>
          <t>Наименование разрабатываемого показателя УНЦ — Устройство порталов и ошиновки ОРУ 330 кВ</t>
        </is>
      </c>
    </row>
    <row r="8">
      <c r="B8" s="195" t="inlineStr">
        <is>
          <t>Единица измерения  — 1 ед</t>
        </is>
      </c>
    </row>
    <row r="9">
      <c r="B9" s="12" t="n"/>
      <c r="C9" s="152" t="n"/>
      <c r="D9" s="152" t="n"/>
      <c r="E9" s="152" t="n"/>
    </row>
    <row r="10" ht="51" customHeight="1" s="164">
      <c r="B10" s="197" t="inlineStr">
        <is>
          <t>Наименование</t>
        </is>
      </c>
      <c r="C10" s="197" t="inlineStr">
        <is>
          <t>Сметная стоимость в ценах на 01.01.2023
 (руб.)</t>
        </is>
      </c>
      <c r="D10" s="197" t="inlineStr">
        <is>
          <t>Удельный вес, 
(в СМР)</t>
        </is>
      </c>
      <c r="E10" s="197" t="inlineStr">
        <is>
          <t>Удельный вес, % 
(от всего по РМ)</t>
        </is>
      </c>
    </row>
    <row r="11">
      <c r="B11" s="111" t="inlineStr">
        <is>
          <t>Оплата труда рабочих</t>
        </is>
      </c>
      <c r="C11" s="154">
        <f>'Прил.5 Расчет СМР и ОБ'!J14</f>
        <v/>
      </c>
      <c r="D11" s="46">
        <f>C11/$C$24</f>
        <v/>
      </c>
      <c r="E11" s="46">
        <f>C11/$C$40</f>
        <v/>
      </c>
    </row>
    <row r="12">
      <c r="B12" s="111" t="inlineStr">
        <is>
          <t>Эксплуатация машин основных</t>
        </is>
      </c>
      <c r="C12" s="154">
        <f>'Прил.5 Расчет СМР и ОБ'!J23</f>
        <v/>
      </c>
      <c r="D12" s="46">
        <f>C12/$C$24</f>
        <v/>
      </c>
      <c r="E12" s="46">
        <f>C12/$C$40</f>
        <v/>
      </c>
    </row>
    <row r="13">
      <c r="B13" s="111" t="inlineStr">
        <is>
          <t>Эксплуатация машин прочих</t>
        </is>
      </c>
      <c r="C13" s="154">
        <f>'Прил.5 Расчет СМР и ОБ'!J37</f>
        <v/>
      </c>
      <c r="D13" s="46">
        <f>C13/$C$24</f>
        <v/>
      </c>
      <c r="E13" s="46">
        <f>C13/$C$40</f>
        <v/>
      </c>
    </row>
    <row r="14">
      <c r="B14" s="111" t="inlineStr">
        <is>
          <t>ЭКСПЛУАТАЦИЯ МАШИН, ВСЕГО:</t>
        </is>
      </c>
      <c r="C14" s="154">
        <f>C13+C12</f>
        <v/>
      </c>
      <c r="D14" s="46">
        <f>C14/$C$24</f>
        <v/>
      </c>
      <c r="E14" s="46">
        <f>C14/$C$40</f>
        <v/>
      </c>
    </row>
    <row r="15">
      <c r="B15" s="111" t="inlineStr">
        <is>
          <t>в том числе зарплата машинистов</t>
        </is>
      </c>
      <c r="C15" s="154">
        <f>'Прил.5 Расчет СМР и ОБ'!J16</f>
        <v/>
      </c>
      <c r="D15" s="46">
        <f>C15/$C$24</f>
        <v/>
      </c>
      <c r="E15" s="46">
        <f>C15/$C$40</f>
        <v/>
      </c>
    </row>
    <row r="16">
      <c r="B16" s="111" t="inlineStr">
        <is>
          <t>Материалы основные</t>
        </is>
      </c>
      <c r="C16" s="154">
        <f>'Прил.5 Расчет СМР и ОБ'!J49</f>
        <v/>
      </c>
      <c r="D16" s="46">
        <f>C16/$C$24</f>
        <v/>
      </c>
      <c r="E16" s="46">
        <f>C16/$C$40</f>
        <v/>
      </c>
    </row>
    <row r="17">
      <c r="B17" s="111" t="inlineStr">
        <is>
          <t>Материалы прочие</t>
        </is>
      </c>
      <c r="C17" s="154">
        <f>'Прил.5 Расчет СМР и ОБ'!J59</f>
        <v/>
      </c>
      <c r="D17" s="46">
        <f>C17/$C$24</f>
        <v/>
      </c>
      <c r="E17" s="46">
        <f>C17/$C$40</f>
        <v/>
      </c>
      <c r="G17" s="229" t="n"/>
    </row>
    <row r="18">
      <c r="B18" s="111" t="inlineStr">
        <is>
          <t>МАТЕРИАЛЫ, ВСЕГО:</t>
        </is>
      </c>
      <c r="C18" s="154">
        <f>C17+C16</f>
        <v/>
      </c>
      <c r="D18" s="46">
        <f>C18/$C$24</f>
        <v/>
      </c>
      <c r="E18" s="46">
        <f>C18/$C$40</f>
        <v/>
      </c>
    </row>
    <row r="19">
      <c r="B19" s="111" t="inlineStr">
        <is>
          <t>ИТОГО</t>
        </is>
      </c>
      <c r="C19" s="154">
        <f>C18+C14+C11</f>
        <v/>
      </c>
      <c r="D19" s="46" t="n"/>
      <c r="E19" s="111" t="n"/>
    </row>
    <row r="20">
      <c r="B20" s="111" t="inlineStr">
        <is>
          <t>Сметная прибыль, руб.</t>
        </is>
      </c>
      <c r="C20" s="154">
        <f>ROUND(C21*(C11+C15),2)</f>
        <v/>
      </c>
      <c r="D20" s="46">
        <f>C20/$C$24</f>
        <v/>
      </c>
      <c r="E20" s="46">
        <f>C20/$C$40</f>
        <v/>
      </c>
    </row>
    <row r="21">
      <c r="B21" s="111" t="inlineStr">
        <is>
          <t>Сметная прибыль, %</t>
        </is>
      </c>
      <c r="C21" s="47">
        <f>'Прил.5 Расчет СМР и ОБ'!D63</f>
        <v/>
      </c>
      <c r="D21" s="46" t="n"/>
      <c r="E21" s="111" t="n"/>
    </row>
    <row r="22">
      <c r="B22" s="111" t="inlineStr">
        <is>
          <t>Накладные расходы, руб.</t>
        </is>
      </c>
      <c r="C22" s="154">
        <f>ROUND(C23*(C11+C15),2)</f>
        <v/>
      </c>
      <c r="D22" s="46">
        <f>C22/$C$24</f>
        <v/>
      </c>
      <c r="E22" s="46">
        <f>C22/$C$40</f>
        <v/>
      </c>
    </row>
    <row r="23">
      <c r="B23" s="111" t="inlineStr">
        <is>
          <t>Накладные расходы, %</t>
        </is>
      </c>
      <c r="C23" s="47">
        <f>'Прил.5 Расчет СМР и ОБ'!D62</f>
        <v/>
      </c>
      <c r="D23" s="46" t="n"/>
      <c r="E23" s="111" t="n"/>
    </row>
    <row r="24">
      <c r="B24" s="111" t="inlineStr">
        <is>
          <t>ВСЕГО СМР с НР и СП</t>
        </is>
      </c>
      <c r="C24" s="154">
        <f>C19+C20+C22</f>
        <v/>
      </c>
      <c r="D24" s="46">
        <f>C24/$C$24</f>
        <v/>
      </c>
      <c r="E24" s="46">
        <f>C24/$C$40</f>
        <v/>
      </c>
    </row>
    <row r="25" ht="25.5" customHeight="1" s="164">
      <c r="B25" s="111" t="inlineStr">
        <is>
          <t>ВСЕГО стоимость оборудования, в том числе</t>
        </is>
      </c>
      <c r="C25" s="154">
        <f>'Прил.5 Расчет СМР и ОБ'!J43</f>
        <v/>
      </c>
      <c r="D25" s="46" t="n"/>
      <c r="E25" s="46">
        <f>C25/$C$40</f>
        <v/>
      </c>
    </row>
    <row r="26" ht="25.5" customHeight="1" s="164">
      <c r="B26" s="111" t="inlineStr">
        <is>
          <t>стоимость оборудования технологического</t>
        </is>
      </c>
      <c r="C26" s="154">
        <f>C25</f>
        <v/>
      </c>
      <c r="D26" s="46" t="n"/>
      <c r="E26" s="46">
        <f>C26/$C$40</f>
        <v/>
      </c>
    </row>
    <row r="27">
      <c r="B27" s="111" t="inlineStr">
        <is>
          <t>ИТОГО (СМР + ОБОРУДОВАНИЕ)</t>
        </is>
      </c>
      <c r="C27" s="48">
        <f>C24+C25</f>
        <v/>
      </c>
      <c r="D27" s="46" t="n"/>
      <c r="E27" s="46">
        <f>C27/$C$40</f>
        <v/>
      </c>
    </row>
    <row r="28" ht="33" customHeight="1" s="164">
      <c r="B28" s="111" t="inlineStr">
        <is>
          <t>ПРОЧ. ЗАТР., УЧТЕННЫЕ ПОКАЗАТЕЛЕМ,  в том числе</t>
        </is>
      </c>
      <c r="C28" s="111" t="n"/>
      <c r="D28" s="111" t="n"/>
      <c r="E28" s="111" t="n"/>
    </row>
    <row r="29" ht="25.5" customHeight="1" s="164">
      <c r="B29" s="111" t="inlineStr">
        <is>
          <t>Временные здания и сооружения - 3,9%</t>
        </is>
      </c>
      <c r="C29" s="48">
        <f>ROUND(C24*3.9%,2)</f>
        <v/>
      </c>
      <c r="D29" s="111" t="n"/>
      <c r="E29" s="46">
        <f>C29/$C$40</f>
        <v/>
      </c>
    </row>
    <row r="30" ht="38.25" customHeight="1" s="164">
      <c r="B30" s="111" t="inlineStr">
        <is>
          <t>Дополнительные затраты при производстве строительно-монтажных работ в зимнее время - 2,1%</t>
        </is>
      </c>
      <c r="C30" s="48">
        <f>ROUND((C24+C29)*2.1%,2)</f>
        <v/>
      </c>
      <c r="D30" s="111" t="n"/>
      <c r="E30" s="46">
        <f>C30/$C$40</f>
        <v/>
      </c>
    </row>
    <row r="31">
      <c r="B31" s="111" t="inlineStr">
        <is>
          <t>Пусконаладочные работы</t>
        </is>
      </c>
      <c r="C31" s="48" t="n">
        <v>0</v>
      </c>
      <c r="D31" s="111" t="n"/>
      <c r="E31" s="46">
        <f>C31/$C$40</f>
        <v/>
      </c>
    </row>
    <row r="32" ht="25.5" customHeight="1" s="164">
      <c r="B32" s="111" t="inlineStr">
        <is>
          <t>Затраты по перевозке работников к месту работы и обратно</t>
        </is>
      </c>
      <c r="C32" s="48">
        <f>ROUND(C26*0%,2)</f>
        <v/>
      </c>
      <c r="D32" s="111" t="n"/>
      <c r="E32" s="46">
        <f>C32/$C$40</f>
        <v/>
      </c>
    </row>
    <row r="33" ht="25.5" customHeight="1" s="164">
      <c r="B33" s="111" t="inlineStr">
        <is>
          <t>Затраты, связанные с осуществлением работ вахтовым методом</t>
        </is>
      </c>
      <c r="C33" s="48">
        <f>ROUND(C27*0%,2)</f>
        <v/>
      </c>
      <c r="D33" s="111" t="n"/>
      <c r="E33" s="46">
        <f>C33/$C$40</f>
        <v/>
      </c>
    </row>
    <row r="34" ht="51" customHeight="1" s="164">
      <c r="B34" s="11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8">
        <f>ROUND(C28*0%,2)</f>
        <v/>
      </c>
      <c r="D34" s="111" t="n"/>
      <c r="E34" s="46">
        <f>C34/$C$40</f>
        <v/>
      </c>
    </row>
    <row r="35" ht="76.5" customHeight="1" s="164">
      <c r="B35" s="11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8">
        <f>ROUND(C27*0%,2)</f>
        <v/>
      </c>
      <c r="D35" s="111" t="n"/>
      <c r="E35" s="46">
        <f>C35/$C$40</f>
        <v/>
      </c>
    </row>
    <row r="36" ht="25.5" customHeight="1" s="164">
      <c r="B36" s="111" t="inlineStr">
        <is>
          <t>Строительный контроль и содержание службы заказчика - 2,14%</t>
        </is>
      </c>
      <c r="C36" s="48">
        <f>ROUND((C27+C32+C33+C34+C35+C29+C31+C30)*2.14%,2)</f>
        <v/>
      </c>
      <c r="D36" s="111" t="n"/>
      <c r="E36" s="46">
        <f>C36/$C$40</f>
        <v/>
      </c>
      <c r="G36" s="146" t="n"/>
      <c r="L36" s="13" t="n"/>
    </row>
    <row r="37">
      <c r="B37" s="111" t="inlineStr">
        <is>
          <t>Авторский надзор - 0,2%</t>
        </is>
      </c>
      <c r="C37" s="48">
        <f>ROUND((C27+C32+C33+C34+C35+C29+C31+C30)*0.2%,2)</f>
        <v/>
      </c>
      <c r="D37" s="111" t="n"/>
      <c r="E37" s="46">
        <f>C37/$C$40</f>
        <v/>
      </c>
      <c r="G37" s="146" t="n"/>
      <c r="L37" s="13" t="n"/>
    </row>
    <row r="38" ht="38.25" customHeight="1" s="164">
      <c r="B38" s="111" t="inlineStr">
        <is>
          <t>ИТОГО (СМР+ОБОРУДОВАНИЕ+ПРОЧ. ЗАТР., УЧТЕННЫЕ ПОКАЗАТЕЛЕМ)</t>
        </is>
      </c>
      <c r="C38" s="154">
        <f>C27+C32+C33+C34+C35+C29+C31+C30+C36+C37</f>
        <v/>
      </c>
      <c r="D38" s="111" t="n"/>
      <c r="E38" s="46">
        <f>C38/$C$40</f>
        <v/>
      </c>
    </row>
    <row r="39" ht="13.5" customHeight="1" s="164">
      <c r="B39" s="111" t="inlineStr">
        <is>
          <t>Непредвиденные расходы</t>
        </is>
      </c>
      <c r="C39" s="154">
        <f>ROUND(C38*10%,2)</f>
        <v/>
      </c>
      <c r="D39" s="111" t="n"/>
      <c r="E39" s="46">
        <f>C39/$C$38</f>
        <v/>
      </c>
    </row>
    <row r="40">
      <c r="B40" s="111" t="inlineStr">
        <is>
          <t>ВСЕГО:</t>
        </is>
      </c>
      <c r="C40" s="154">
        <f>C39+C38</f>
        <v/>
      </c>
      <c r="D40" s="111" t="n"/>
      <c r="E40" s="46">
        <f>C40/$C$40</f>
        <v/>
      </c>
    </row>
    <row r="41">
      <c r="B41" s="111" t="inlineStr">
        <is>
          <t>ИТОГО ПОКАЗАТЕЛЬ НА ЕД. ИЗМ.</t>
        </is>
      </c>
      <c r="C41" s="154">
        <f>C40/'Прил.5 Расчет СМР и ОБ'!E66</f>
        <v/>
      </c>
      <c r="D41" s="111" t="n"/>
      <c r="E41" s="111" t="n"/>
    </row>
    <row r="42">
      <c r="B42" s="156" t="n"/>
      <c r="C42" s="152" t="n"/>
      <c r="D42" s="152" t="n"/>
      <c r="E42" s="152" t="n"/>
    </row>
    <row r="43">
      <c r="B43" s="156" t="inlineStr">
        <is>
          <t xml:space="preserve">Составил ______________________        Р.Р. Шагеева </t>
        </is>
      </c>
      <c r="C43" s="152" t="n"/>
      <c r="D43" s="152" t="n"/>
      <c r="E43" s="152" t="n"/>
    </row>
    <row r="44">
      <c r="B44" s="156" t="inlineStr">
        <is>
          <t xml:space="preserve">(должность, подпись, инициалы, фамилия) </t>
        </is>
      </c>
      <c r="C44" s="152" t="n"/>
      <c r="D44" s="152" t="n"/>
      <c r="E44" s="152" t="n"/>
    </row>
    <row r="45">
      <c r="B45" s="156" t="n"/>
      <c r="C45" s="152" t="n"/>
      <c r="D45" s="152" t="n"/>
      <c r="E45" s="152" t="n"/>
    </row>
    <row r="46">
      <c r="B46" s="156" t="inlineStr">
        <is>
          <t>Проверил ____________________________ А.В. Костянецкая</t>
        </is>
      </c>
      <c r="C46" s="152" t="n"/>
      <c r="D46" s="152" t="n"/>
      <c r="E46" s="152" t="n"/>
    </row>
    <row r="47">
      <c r="B47" s="195" t="inlineStr">
        <is>
          <t>(должность, подпись, инициалы, фамилия)</t>
        </is>
      </c>
      <c r="D47" s="152" t="n"/>
      <c r="E47" s="152" t="n"/>
    </row>
    <row r="49">
      <c r="B49" s="152" t="n"/>
      <c r="C49" s="152" t="n"/>
      <c r="D49" s="152" t="n"/>
      <c r="E49" s="152" t="n"/>
    </row>
    <row r="50">
      <c r="B50" s="152" t="n"/>
      <c r="C50" s="152" t="n"/>
      <c r="D50" s="152" t="n"/>
      <c r="E50" s="15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2"/>
  <sheetViews>
    <sheetView view="pageBreakPreview" workbookViewId="0">
      <selection activeCell="I14" sqref="I14"/>
    </sheetView>
  </sheetViews>
  <sheetFormatPr baseColWidth="8" defaultColWidth="9.140625" defaultRowHeight="15" outlineLevelRow="1"/>
  <cols>
    <col width="5.7109375" customWidth="1" style="162" min="1" max="1"/>
    <col width="22.5703125" customWidth="1" style="162" min="2" max="2"/>
    <col width="39.140625" customWidth="1" style="162" min="3" max="3"/>
    <col width="10.7109375" customWidth="1" style="162" min="4" max="4"/>
    <col width="12.7109375" customWidth="1" style="162" min="5" max="5"/>
    <col width="14.5703125" customWidth="1" style="162" min="6" max="6"/>
    <col width="13.42578125" customWidth="1" style="162" min="7" max="7"/>
    <col width="12.7109375" customWidth="1" style="162" min="8" max="8"/>
    <col width="13.85546875" customWidth="1" style="162" min="9" max="9"/>
    <col width="17.5703125" customWidth="1" style="162" min="10" max="10"/>
    <col width="10.85546875" customWidth="1" style="162" min="11" max="11"/>
    <col width="9.140625" customWidth="1" style="162" min="12" max="12"/>
    <col width="9.140625" customWidth="1" style="164" min="13" max="13"/>
  </cols>
  <sheetData>
    <row r="1" s="164">
      <c r="A1" s="162" t="n"/>
      <c r="B1" s="162" t="n"/>
      <c r="C1" s="162" t="n"/>
      <c r="D1" s="162" t="n"/>
      <c r="E1" s="162" t="n"/>
      <c r="F1" s="162" t="n"/>
      <c r="G1" s="162" t="n"/>
      <c r="H1" s="162" t="n"/>
      <c r="I1" s="162" t="n"/>
      <c r="J1" s="162" t="n"/>
      <c r="K1" s="162" t="n"/>
      <c r="L1" s="162" t="n"/>
      <c r="M1" s="162" t="n"/>
      <c r="N1" s="162" t="n"/>
    </row>
    <row r="2" ht="15.75" customHeight="1" s="164">
      <c r="A2" s="162" t="n"/>
      <c r="B2" s="162" t="n"/>
      <c r="C2" s="162" t="n"/>
      <c r="D2" s="162" t="n"/>
      <c r="E2" s="162" t="n"/>
      <c r="F2" s="162" t="n"/>
      <c r="G2" s="162" t="n"/>
      <c r="H2" s="211" t="inlineStr">
        <is>
          <t>Приложение №5</t>
        </is>
      </c>
      <c r="K2" s="162" t="n"/>
      <c r="L2" s="162" t="n"/>
      <c r="M2" s="162" t="n"/>
      <c r="N2" s="162" t="n"/>
    </row>
    <row r="3" s="164">
      <c r="A3" s="162" t="n"/>
      <c r="B3" s="162" t="n"/>
      <c r="C3" s="162" t="n"/>
      <c r="D3" s="162" t="n"/>
      <c r="E3" s="162" t="n"/>
      <c r="F3" s="162" t="n"/>
      <c r="G3" s="162" t="n"/>
      <c r="H3" s="162" t="n"/>
      <c r="I3" s="162" t="n"/>
      <c r="J3" s="162" t="n"/>
      <c r="K3" s="162" t="n"/>
      <c r="L3" s="162" t="n"/>
      <c r="M3" s="162" t="n"/>
      <c r="N3" s="162" t="n"/>
    </row>
    <row r="4" ht="12.75" customFormat="1" customHeight="1" s="152">
      <c r="A4" s="193" t="inlineStr">
        <is>
          <t>Расчет стоимости СМР и оборудования</t>
        </is>
      </c>
    </row>
    <row r="5" ht="12.75" customFormat="1" customHeight="1" s="152">
      <c r="A5" s="193" t="n"/>
      <c r="B5" s="193" t="n"/>
      <c r="C5" s="53" t="n"/>
      <c r="D5" s="193" t="n"/>
      <c r="E5" s="193" t="n"/>
      <c r="F5" s="193" t="n"/>
      <c r="G5" s="193" t="n"/>
      <c r="H5" s="193" t="n"/>
      <c r="I5" s="193" t="n"/>
      <c r="J5" s="193" t="n"/>
    </row>
    <row r="6" ht="12.75" customFormat="1" customHeight="1" s="152">
      <c r="A6" s="54" t="inlineStr">
        <is>
          <t>Наименование разрабатываемого показателя УНЦ</t>
        </is>
      </c>
      <c r="B6" s="55" t="n"/>
      <c r="C6" s="55" t="n"/>
      <c r="D6" s="212" t="inlineStr">
        <is>
          <t>Устройство порталов и ошиновки ОРУ 330 кВ</t>
        </is>
      </c>
    </row>
    <row r="7" ht="12.75" customFormat="1" customHeight="1" s="152">
      <c r="A7" s="213" t="inlineStr">
        <is>
          <t>Единица измерения  — 1 ед</t>
        </is>
      </c>
      <c r="I7" s="194" t="n"/>
      <c r="J7" s="194" t="n"/>
    </row>
    <row r="8" ht="13.5" customFormat="1" customHeight="1" s="152">
      <c r="A8" s="213" t="n"/>
    </row>
    <row r="9" ht="27" customHeight="1" s="164">
      <c r="A9" s="197" t="inlineStr">
        <is>
          <t>№ пп.</t>
        </is>
      </c>
      <c r="B9" s="197" t="inlineStr">
        <is>
          <t>Код ресурса</t>
        </is>
      </c>
      <c r="C9" s="197" t="inlineStr">
        <is>
          <t>Наименование</t>
        </is>
      </c>
      <c r="D9" s="197" t="inlineStr">
        <is>
          <t>Ед. изм.</t>
        </is>
      </c>
      <c r="E9" s="197" t="inlineStr">
        <is>
          <t>Кол-во единиц по проектным данным</t>
        </is>
      </c>
      <c r="F9" s="197" t="inlineStr">
        <is>
          <t>Сметная стоимость в ценах на 01.01.2000 (руб.)</t>
        </is>
      </c>
      <c r="G9" s="225" t="n"/>
      <c r="H9" s="197" t="inlineStr">
        <is>
          <t>Удельный вес, %</t>
        </is>
      </c>
      <c r="I9" s="197" t="inlineStr">
        <is>
          <t>Сметная стоимость в ценах на 01.01.2023 (руб.)</t>
        </is>
      </c>
      <c r="J9" s="225" t="n"/>
      <c r="K9" s="162" t="n"/>
      <c r="L9" s="162" t="n"/>
      <c r="M9" s="162" t="n"/>
      <c r="N9" s="162" t="n"/>
    </row>
    <row r="10" ht="28.5" customHeight="1" s="164">
      <c r="A10" s="227" t="n"/>
      <c r="B10" s="227" t="n"/>
      <c r="C10" s="227" t="n"/>
      <c r="D10" s="227" t="n"/>
      <c r="E10" s="227" t="n"/>
      <c r="F10" s="197" t="inlineStr">
        <is>
          <t>на ед. изм.</t>
        </is>
      </c>
      <c r="G10" s="197" t="inlineStr">
        <is>
          <t>общая</t>
        </is>
      </c>
      <c r="H10" s="227" t="n"/>
      <c r="I10" s="197" t="inlineStr">
        <is>
          <t>на ед. изм.</t>
        </is>
      </c>
      <c r="J10" s="197" t="inlineStr">
        <is>
          <t>общая</t>
        </is>
      </c>
      <c r="K10" s="162" t="n"/>
      <c r="L10" s="162" t="n"/>
      <c r="M10" s="162" t="n"/>
      <c r="N10" s="162" t="n"/>
    </row>
    <row r="11" s="164">
      <c r="A11" s="197" t="n">
        <v>1</v>
      </c>
      <c r="B11" s="197" t="n">
        <v>2</v>
      </c>
      <c r="C11" s="197" t="n">
        <v>3</v>
      </c>
      <c r="D11" s="197" t="n">
        <v>4</v>
      </c>
      <c r="E11" s="197" t="n">
        <v>5</v>
      </c>
      <c r="F11" s="197" t="n">
        <v>6</v>
      </c>
      <c r="G11" s="197" t="n">
        <v>7</v>
      </c>
      <c r="H11" s="197" t="n">
        <v>8</v>
      </c>
      <c r="I11" s="207" t="n">
        <v>9</v>
      </c>
      <c r="J11" s="207" t="n">
        <v>10</v>
      </c>
      <c r="K11" s="162" t="n"/>
      <c r="L11" s="162" t="n"/>
      <c r="M11" s="162" t="n"/>
      <c r="N11" s="162" t="n"/>
    </row>
    <row r="12">
      <c r="A12" s="197" t="n"/>
      <c r="B12" s="201" t="inlineStr">
        <is>
          <t>Затраты труда рабочих-строителей</t>
        </is>
      </c>
      <c r="C12" s="224" t="n"/>
      <c r="D12" s="224" t="n"/>
      <c r="E12" s="224" t="n"/>
      <c r="F12" s="224" t="n"/>
      <c r="G12" s="224" t="n"/>
      <c r="H12" s="225" t="n"/>
      <c r="I12" s="89" t="n"/>
      <c r="J12" s="89" t="n"/>
    </row>
    <row r="13" ht="25.5" customHeight="1" s="164">
      <c r="A13" s="197" t="n">
        <v>1</v>
      </c>
      <c r="B13" s="75" t="inlineStr">
        <is>
          <t>1-3-3</t>
        </is>
      </c>
      <c r="C13" s="196" t="inlineStr">
        <is>
          <t>Затраты труда рабочих-строителей среднего разряда (3,3)</t>
        </is>
      </c>
      <c r="D13" s="197" t="inlineStr">
        <is>
          <t>чел.-ч.</t>
        </is>
      </c>
      <c r="E13" s="230" t="n">
        <v>570.14221218962</v>
      </c>
      <c r="F13" s="144" t="n">
        <v>8.859999999999999</v>
      </c>
      <c r="G13" s="144" t="n">
        <v>5051.46</v>
      </c>
      <c r="H13" s="83">
        <f>G13/G14</f>
        <v/>
      </c>
      <c r="I13" s="144">
        <f>ФОТр.тек.!E13</f>
        <v/>
      </c>
      <c r="J13" s="144">
        <f>ROUND(I13*E13,2)</f>
        <v/>
      </c>
    </row>
    <row r="14" ht="25.5" customFormat="1" customHeight="1" s="162">
      <c r="A14" s="197" t="n"/>
      <c r="B14" s="197" t="n"/>
      <c r="C14" s="201" t="inlineStr">
        <is>
          <t>Итого по разделу "Затраты труда рабочих-строителей"</t>
        </is>
      </c>
      <c r="D14" s="197" t="inlineStr">
        <is>
          <t>чел.-ч.</t>
        </is>
      </c>
      <c r="E14" s="230" t="n">
        <v>570.14221218962</v>
      </c>
      <c r="F14" s="144" t="n"/>
      <c r="G14" s="144">
        <f>SUM(G13:G13)</f>
        <v/>
      </c>
      <c r="H14" s="200" t="n">
        <v>1</v>
      </c>
      <c r="I14" s="89" t="n"/>
      <c r="J14" s="144">
        <f>SUM(J13:J13)</f>
        <v/>
      </c>
    </row>
    <row r="15" ht="14.25" customFormat="1" customHeight="1" s="162">
      <c r="A15" s="197" t="n"/>
      <c r="B15" s="196" t="inlineStr">
        <is>
          <t>Затраты труда машинистов</t>
        </is>
      </c>
      <c r="C15" s="224" t="n"/>
      <c r="D15" s="224" t="n"/>
      <c r="E15" s="224" t="n"/>
      <c r="F15" s="224" t="n"/>
      <c r="G15" s="224" t="n"/>
      <c r="H15" s="225" t="n"/>
      <c r="I15" s="89" t="n"/>
      <c r="J15" s="89" t="n"/>
    </row>
    <row r="16" ht="14.25" customFormat="1" customHeight="1" s="162">
      <c r="A16" s="197" t="n">
        <v>2</v>
      </c>
      <c r="B16" s="197" t="n">
        <v>2</v>
      </c>
      <c r="C16" s="196" t="inlineStr">
        <is>
          <t>Затраты труда машинистов</t>
        </is>
      </c>
      <c r="D16" s="197" t="inlineStr">
        <is>
          <t>чел.-ч.</t>
        </is>
      </c>
      <c r="E16" s="230" t="n">
        <v>59.604764</v>
      </c>
      <c r="F16" s="144" t="n">
        <v>31.684212355912</v>
      </c>
      <c r="G16" s="144" t="n">
        <v>1888.53</v>
      </c>
      <c r="H16" s="200" t="n">
        <v>1</v>
      </c>
      <c r="I16" s="144">
        <f>ROUND(F16*'Прил. 10'!D11,2)</f>
        <v/>
      </c>
      <c r="J16" s="144">
        <f>ROUND(I16*E16,2)</f>
        <v/>
      </c>
    </row>
    <row r="17" ht="14.25" customFormat="1" customHeight="1" s="162">
      <c r="A17" s="197" t="n"/>
      <c r="B17" s="201" t="inlineStr">
        <is>
          <t>Машины и механизмы</t>
        </is>
      </c>
      <c r="C17" s="224" t="n"/>
      <c r="D17" s="224" t="n"/>
      <c r="E17" s="224" t="n"/>
      <c r="F17" s="224" t="n"/>
      <c r="G17" s="224" t="n"/>
      <c r="H17" s="225" t="n"/>
      <c r="I17" s="89" t="n"/>
      <c r="J17" s="89" t="n"/>
    </row>
    <row r="18" ht="14.25" customFormat="1" customHeight="1" s="162">
      <c r="A18" s="197" t="n"/>
      <c r="B18" s="196" t="inlineStr">
        <is>
          <t>Основные машины и механизмы</t>
        </is>
      </c>
      <c r="C18" s="224" t="n"/>
      <c r="D18" s="224" t="n"/>
      <c r="E18" s="224" t="n"/>
      <c r="F18" s="224" t="n"/>
      <c r="G18" s="224" t="n"/>
      <c r="H18" s="225" t="n"/>
      <c r="I18" s="89" t="n"/>
      <c r="J18" s="89" t="n"/>
    </row>
    <row r="19" ht="25.5" customFormat="1" customHeight="1" s="162">
      <c r="A19" s="197" t="n">
        <v>3</v>
      </c>
      <c r="B19" s="75" t="inlineStr">
        <is>
          <t>91.14.03-002</t>
        </is>
      </c>
      <c r="C19" s="196" t="inlineStr">
        <is>
          <t>Автомобили-самосвалы, грузоподъемность до 10 т</t>
        </is>
      </c>
      <c r="D19" s="197" t="inlineStr">
        <is>
          <t>маш.-ч</t>
        </is>
      </c>
      <c r="E19" s="230" t="n">
        <v>80.18000000000001</v>
      </c>
      <c r="F19" s="199" t="n">
        <v>87.48999999999999</v>
      </c>
      <c r="G19" s="144">
        <f>ROUND(E19*F19,2)</f>
        <v/>
      </c>
      <c r="H19" s="83">
        <f>G19/$G$38</f>
        <v/>
      </c>
      <c r="I19" s="144">
        <f>ROUND(F19*'Прил. 10'!$D$12,2)</f>
        <v/>
      </c>
      <c r="J19" s="144">
        <f>ROUND(I19*E19,2)</f>
        <v/>
      </c>
    </row>
    <row r="20" ht="25.5" customFormat="1" customHeight="1" s="162">
      <c r="A20" s="197" t="n">
        <v>4</v>
      </c>
      <c r="B20" s="75" t="inlineStr">
        <is>
          <t>91.05.05-015</t>
        </is>
      </c>
      <c r="C20" s="196" t="inlineStr">
        <is>
          <t>Краны на автомобильном ходу, грузоподъемность 16 т</t>
        </is>
      </c>
      <c r="D20" s="197" t="inlineStr">
        <is>
          <t>маш.час</t>
        </is>
      </c>
      <c r="E20" s="230" t="n">
        <v>21.5713</v>
      </c>
      <c r="F20" s="199" t="n">
        <v>115.4</v>
      </c>
      <c r="G20" s="144">
        <f>ROUND(E20*F20,2)</f>
        <v/>
      </c>
      <c r="H20" s="83">
        <f>G20/$G$38</f>
        <v/>
      </c>
      <c r="I20" s="144">
        <f>ROUND(F20*'Прил. 10'!D12,2)</f>
        <v/>
      </c>
      <c r="J20" s="144">
        <f>ROUND(I20*E20,2)</f>
        <v/>
      </c>
    </row>
    <row r="21" ht="25.5" customFormat="1" customHeight="1" s="162">
      <c r="A21" s="197" t="n">
        <v>5</v>
      </c>
      <c r="B21" s="75" t="inlineStr">
        <is>
          <t>91.06.06-014</t>
        </is>
      </c>
      <c r="C21" s="196" t="inlineStr">
        <is>
          <t>Автогидроподъемники, высота подъема 28 м</t>
        </is>
      </c>
      <c r="D21" s="197" t="inlineStr">
        <is>
          <t>маш.час</t>
        </is>
      </c>
      <c r="E21" s="230" t="n">
        <v>7.743</v>
      </c>
      <c r="F21" s="199" t="n">
        <v>243.49</v>
      </c>
      <c r="G21" s="144">
        <f>ROUND(E21*F21,2)</f>
        <v/>
      </c>
      <c r="H21" s="83">
        <f>G21/$G$38</f>
        <v/>
      </c>
      <c r="I21" s="144">
        <f>ROUND(F21*'Прил. 10'!$D$12,2)</f>
        <v/>
      </c>
      <c r="J21" s="144">
        <f>ROUND(I21*E21,2)</f>
        <v/>
      </c>
    </row>
    <row r="22" ht="25.5" customFormat="1" customHeight="1" s="162">
      <c r="A22" s="197" t="n">
        <v>6</v>
      </c>
      <c r="B22" s="75" t="inlineStr">
        <is>
          <t>91.05.08-007</t>
        </is>
      </c>
      <c r="C22" s="196" t="inlineStr">
        <is>
          <t>Краны на пневмоколесном ходу, грузоподъемность 25 т</t>
        </is>
      </c>
      <c r="D22" s="197" t="inlineStr">
        <is>
          <t>маш.час</t>
        </is>
      </c>
      <c r="E22" s="230" t="n">
        <v>17.315744</v>
      </c>
      <c r="F22" s="199" t="n">
        <v>102.51</v>
      </c>
      <c r="G22" s="144">
        <f>ROUND(E22*F22,2)</f>
        <v/>
      </c>
      <c r="H22" s="83">
        <f>G22/$G$38</f>
        <v/>
      </c>
      <c r="I22" s="144">
        <f>ROUND(F22*'Прил. 10'!$D$12,2)</f>
        <v/>
      </c>
      <c r="J22" s="144">
        <f>ROUND(I22*E22,2)</f>
        <v/>
      </c>
    </row>
    <row r="23" ht="14.25" customFormat="1" customHeight="1" s="162">
      <c r="A23" s="197" t="n"/>
      <c r="B23" s="75" t="n"/>
      <c r="C23" s="196" t="inlineStr">
        <is>
          <t>Итого основные машины и механизмы</t>
        </is>
      </c>
      <c r="D23" s="197" t="n"/>
      <c r="E23" s="230" t="n"/>
      <c r="F23" s="144" t="n"/>
      <c r="G23" s="144">
        <f>SUM(G19:G22)</f>
        <v/>
      </c>
      <c r="H23" s="200">
        <f>G23/G38</f>
        <v/>
      </c>
      <c r="I23" s="95" t="n"/>
      <c r="J23" s="144">
        <f>SUM(J19:J21)</f>
        <v/>
      </c>
    </row>
    <row r="24" hidden="1" outlineLevel="1" ht="25.5" customFormat="1" customHeight="1" s="162">
      <c r="A24" s="197" t="n">
        <v>7</v>
      </c>
      <c r="B24" s="75" t="inlineStr">
        <is>
          <t>91.01.05-085</t>
        </is>
      </c>
      <c r="C24" s="196" t="inlineStr">
        <is>
          <t>Экскаваторы одноковшовые дизельные на гусеничном ходу, емкость ковша 0,5 м3</t>
        </is>
      </c>
      <c r="D24" s="197" t="inlineStr">
        <is>
          <t>маш.час</t>
        </is>
      </c>
      <c r="E24" s="230" t="n">
        <v>6.475</v>
      </c>
      <c r="F24" s="199" t="n">
        <v>100</v>
      </c>
      <c r="G24" s="144">
        <f>ROUND(E24*F24,2)</f>
        <v/>
      </c>
      <c r="H24" s="83">
        <f>G24/$G$38</f>
        <v/>
      </c>
      <c r="I24" s="144">
        <f>ROUND(F24*'Прил. 10'!$D$12,2)</f>
        <v/>
      </c>
      <c r="J24" s="144">
        <f>ROUND(I24*E24,2)</f>
        <v/>
      </c>
    </row>
    <row r="25" hidden="1" outlineLevel="1" ht="25.5" customFormat="1" customHeight="1" s="162">
      <c r="A25" s="197" t="n">
        <v>8</v>
      </c>
      <c r="B25" s="75" t="inlineStr">
        <is>
          <t>91.08.03-030</t>
        </is>
      </c>
      <c r="C25" s="196" t="inlineStr">
        <is>
          <t>Катки самоходные пневмоколесные статические, масса 30 т</t>
        </is>
      </c>
      <c r="D25" s="197" t="inlineStr">
        <is>
          <t>маш.час</t>
        </is>
      </c>
      <c r="E25" s="230" t="n">
        <v>0.87912</v>
      </c>
      <c r="F25" s="199" t="n">
        <v>364.07</v>
      </c>
      <c r="G25" s="144">
        <f>ROUND(E25*F25,2)</f>
        <v/>
      </c>
      <c r="H25" s="83">
        <f>G25/$G$38</f>
        <v/>
      </c>
      <c r="I25" s="144">
        <f>ROUND(F25*'Прил. 10'!$D$12,2)</f>
        <v/>
      </c>
      <c r="J25" s="144">
        <f>ROUND(I25*E25,2)</f>
        <v/>
      </c>
    </row>
    <row r="26" hidden="1" outlineLevel="1" ht="51" customFormat="1" customHeight="1" s="162">
      <c r="A26" s="197" t="n">
        <v>9</v>
      </c>
      <c r="B26" s="75" t="inlineStr">
        <is>
          <t>91.18.01-007</t>
        </is>
      </c>
      <c r="C26" s="19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6" s="197" t="inlineStr">
        <is>
          <t>маш.час</t>
        </is>
      </c>
      <c r="E26" s="230" t="n">
        <v>3.368534</v>
      </c>
      <c r="F26" s="199" t="n">
        <v>90</v>
      </c>
      <c r="G26" s="144">
        <f>ROUND(E26*F26,2)</f>
        <v/>
      </c>
      <c r="H26" s="83">
        <f>G26/$G$38</f>
        <v/>
      </c>
      <c r="I26" s="144">
        <f>ROUND(F26*'Прил. 10'!$D$12,2)</f>
        <v/>
      </c>
      <c r="J26" s="144">
        <f>ROUND(I26*E26,2)</f>
        <v/>
      </c>
    </row>
    <row r="27" hidden="1" outlineLevel="1" ht="38.25" customFormat="1" customHeight="1" s="162">
      <c r="A27" s="197" t="n">
        <v>10</v>
      </c>
      <c r="B27" s="75" t="inlineStr">
        <is>
          <t>91.17.04-036</t>
        </is>
      </c>
      <c r="C27" s="196" t="inlineStr">
        <is>
          <t>Агрегаты сварочные передвижные с дизельным двигателем, номинальный сварочный ток 250-400 А</t>
        </is>
      </c>
      <c r="D27" s="197" t="inlineStr">
        <is>
          <t>маш.час</t>
        </is>
      </c>
      <c r="E27" s="230" t="n">
        <v>9.79345</v>
      </c>
      <c r="F27" s="199" t="n">
        <v>14</v>
      </c>
      <c r="G27" s="144">
        <f>ROUND(E27*F27,2)</f>
        <v/>
      </c>
      <c r="H27" s="83">
        <f>G27/$G$38</f>
        <v/>
      </c>
      <c r="I27" s="144">
        <f>ROUND(F27*'Прил. 10'!$D$12,2)</f>
        <v/>
      </c>
      <c r="J27" s="144">
        <f>ROUND(I27*E27,2)</f>
        <v/>
      </c>
    </row>
    <row r="28" hidden="1" outlineLevel="1" ht="25.5" customFormat="1" customHeight="1" s="162">
      <c r="A28" s="197" t="n">
        <v>11</v>
      </c>
      <c r="B28" s="75" t="inlineStr">
        <is>
          <t>91.14.02-002</t>
        </is>
      </c>
      <c r="C28" s="196" t="inlineStr">
        <is>
          <t>Автомобили бортовые, грузоподъемность до 8 т</t>
        </is>
      </c>
      <c r="D28" s="197" t="inlineStr">
        <is>
          <t>маш.час</t>
        </is>
      </c>
      <c r="E28" s="230" t="n">
        <v>0.831256</v>
      </c>
      <c r="F28" s="199" t="n">
        <v>85.84</v>
      </c>
      <c r="G28" s="144">
        <f>ROUND(E28*F28,2)</f>
        <v/>
      </c>
      <c r="H28" s="83">
        <f>G28/$G$38</f>
        <v/>
      </c>
      <c r="I28" s="144">
        <f>ROUND(F28*'Прил. 10'!$D$12,2)</f>
        <v/>
      </c>
      <c r="J28" s="144">
        <f>ROUND(I28*E28,2)</f>
        <v/>
      </c>
    </row>
    <row r="29" hidden="1" outlineLevel="1" ht="14.25" customFormat="1" customHeight="1" s="162">
      <c r="A29" s="197" t="n">
        <v>12</v>
      </c>
      <c r="B29" s="75" t="inlineStr">
        <is>
          <t>91.01.01-036</t>
        </is>
      </c>
      <c r="C29" s="196" t="inlineStr">
        <is>
          <t>Бульдозеры, мощность 96 кВт (130 л.с.)</t>
        </is>
      </c>
      <c r="D29" s="197" t="inlineStr">
        <is>
          <t>маш.час</t>
        </is>
      </c>
      <c r="E29" s="230" t="n">
        <v>0.69273</v>
      </c>
      <c r="F29" s="199" t="n">
        <v>94.05</v>
      </c>
      <c r="G29" s="144">
        <f>ROUND(E29*F29,2)</f>
        <v/>
      </c>
      <c r="H29" s="83">
        <f>G29/$G$38</f>
        <v/>
      </c>
      <c r="I29" s="144">
        <f>ROUND(F29*'Прил. 10'!$D$12,2)</f>
        <v/>
      </c>
      <c r="J29" s="144">
        <f>ROUND(I29*E29,2)</f>
        <v/>
      </c>
    </row>
    <row r="30" hidden="1" outlineLevel="1" ht="14.25" customFormat="1" customHeight="1" s="162">
      <c r="A30" s="197" t="n">
        <v>13</v>
      </c>
      <c r="B30" s="75" t="inlineStr">
        <is>
          <t>91.08.04-021</t>
        </is>
      </c>
      <c r="C30" s="196" t="inlineStr">
        <is>
          <t>Котлы битумные передвижные 400 л</t>
        </is>
      </c>
      <c r="D30" s="197" t="inlineStr">
        <is>
          <t>маш.час</t>
        </is>
      </c>
      <c r="E30" s="230" t="n">
        <v>1.209</v>
      </c>
      <c r="F30" s="199" t="n">
        <v>30</v>
      </c>
      <c r="G30" s="144">
        <f>ROUND(E30*F30,2)</f>
        <v/>
      </c>
      <c r="H30" s="83">
        <f>G30/$G$38</f>
        <v/>
      </c>
      <c r="I30" s="144">
        <f>ROUND(F30*'Прил. 10'!$D$12,2)</f>
        <v/>
      </c>
      <c r="J30" s="144">
        <f>ROUND(I30*E30,2)</f>
        <v/>
      </c>
    </row>
    <row r="31" hidden="1" outlineLevel="1" ht="25.5" customFormat="1" customHeight="1" s="162">
      <c r="A31" s="197" t="n">
        <v>14</v>
      </c>
      <c r="B31" s="75" t="inlineStr">
        <is>
          <t>91.01.02-004</t>
        </is>
      </c>
      <c r="C31" s="196" t="inlineStr">
        <is>
          <t>Автогрейдеры среднего типа, мощность 99 кВт (135 л.с.)</t>
        </is>
      </c>
      <c r="D31" s="197" t="inlineStr">
        <is>
          <t>маш.час</t>
        </is>
      </c>
      <c r="E31" s="230" t="n">
        <v>0.1656</v>
      </c>
      <c r="F31" s="199" t="n">
        <v>123</v>
      </c>
      <c r="G31" s="144">
        <f>ROUND(E31*F31,2)</f>
        <v/>
      </c>
      <c r="H31" s="83">
        <f>G31/$G$38</f>
        <v/>
      </c>
      <c r="I31" s="144">
        <f>ROUND(F31*'Прил. 10'!$D$12,2)</f>
        <v/>
      </c>
      <c r="J31" s="144">
        <f>ROUND(I31*E31,2)</f>
        <v/>
      </c>
    </row>
    <row r="32" hidden="1" outlineLevel="1" ht="14.25" customFormat="1" customHeight="1" s="162">
      <c r="A32" s="197" t="n">
        <v>15</v>
      </c>
      <c r="B32" s="75" t="inlineStr">
        <is>
          <t>91.06.05-011</t>
        </is>
      </c>
      <c r="C32" s="196" t="inlineStr">
        <is>
          <t>Погрузчики, грузоподъемность 5 т</t>
        </is>
      </c>
      <c r="D32" s="197" t="inlineStr">
        <is>
          <t>маш.час</t>
        </is>
      </c>
      <c r="E32" s="230" t="n">
        <v>0.17712</v>
      </c>
      <c r="F32" s="199" t="n">
        <v>89.98999999999999</v>
      </c>
      <c r="G32" s="144">
        <f>ROUND(E32*F32,2)</f>
        <v/>
      </c>
      <c r="H32" s="83">
        <f>G32/$G$38</f>
        <v/>
      </c>
      <c r="I32" s="144">
        <f>ROUND(F32*'Прил. 10'!$D$12,2)</f>
        <v/>
      </c>
      <c r="J32" s="144">
        <f>ROUND(I32*E32,2)</f>
        <v/>
      </c>
    </row>
    <row r="33" hidden="1" outlineLevel="1" ht="14.25" customFormat="1" customHeight="1" s="162">
      <c r="A33" s="197" t="n">
        <v>16</v>
      </c>
      <c r="B33" s="75" t="inlineStr">
        <is>
          <t>91.01.01-035</t>
        </is>
      </c>
      <c r="C33" s="196" t="inlineStr">
        <is>
          <t>Бульдозеры, мощность 79 кВт (108 л.с.)</t>
        </is>
      </c>
      <c r="D33" s="197" t="inlineStr">
        <is>
          <t>маш.час</t>
        </is>
      </c>
      <c r="E33" s="230" t="n">
        <v>0.18648</v>
      </c>
      <c r="F33" s="199" t="n">
        <v>79.06999999999999</v>
      </c>
      <c r="G33" s="144">
        <f>ROUND(E33*F33,2)</f>
        <v/>
      </c>
      <c r="H33" s="83">
        <f>G33/$G$38</f>
        <v/>
      </c>
      <c r="I33" s="144">
        <f>ROUND(F33*'Прил. 10'!$D$12,2)</f>
        <v/>
      </c>
      <c r="J33" s="144">
        <f>ROUND(I33*E33,2)</f>
        <v/>
      </c>
    </row>
    <row r="34" hidden="1" outlineLevel="1" ht="14.25" customFormat="1" customHeight="1" s="162">
      <c r="A34" s="197" t="n">
        <v>17</v>
      </c>
      <c r="B34" s="75" t="inlineStr">
        <is>
          <t>91.13.01-038</t>
        </is>
      </c>
      <c r="C34" s="196" t="inlineStr">
        <is>
          <t>Машины поливомоечные 6000 л</t>
        </is>
      </c>
      <c r="D34" s="197" t="inlineStr">
        <is>
          <t>маш.час</t>
        </is>
      </c>
      <c r="E34" s="230" t="n">
        <v>0.07488</v>
      </c>
      <c r="F34" s="199" t="n">
        <v>110</v>
      </c>
      <c r="G34" s="144">
        <f>ROUND(E34*F34,2)</f>
        <v/>
      </c>
      <c r="H34" s="83">
        <f>G34/$G$38</f>
        <v/>
      </c>
      <c r="I34" s="144">
        <f>ROUND(F34*'Прил. 10'!$D$12,2)</f>
        <v/>
      </c>
      <c r="J34" s="144">
        <f>ROUND(I34*E34,2)</f>
        <v/>
      </c>
    </row>
    <row r="35" hidden="1" outlineLevel="1" ht="25.5" customFormat="1" customHeight="1" s="162">
      <c r="A35" s="197" t="n">
        <v>18</v>
      </c>
      <c r="B35" s="75" t="inlineStr">
        <is>
          <t>91.14.02-001</t>
        </is>
      </c>
      <c r="C35" s="196" t="inlineStr">
        <is>
          <t>Автомобили бортовые, грузоподъемность до 5 т</t>
        </is>
      </c>
      <c r="D35" s="197" t="inlineStr">
        <is>
          <t>маш.час</t>
        </is>
      </c>
      <c r="E35" s="230" t="n">
        <v>0.124</v>
      </c>
      <c r="F35" s="199" t="n">
        <v>65.70999999999999</v>
      </c>
      <c r="G35" s="144">
        <f>ROUND(E35*F35,2)</f>
        <v/>
      </c>
      <c r="H35" s="83">
        <f>G35/$G$38</f>
        <v/>
      </c>
      <c r="I35" s="144">
        <f>ROUND(F35*'Прил. 10'!$D$12,2)</f>
        <v/>
      </c>
      <c r="J35" s="144">
        <f>ROUND(I35*E35,2)</f>
        <v/>
      </c>
    </row>
    <row r="36" hidden="1" outlineLevel="1" ht="25.5" customFormat="1" customHeight="1" s="162">
      <c r="A36" s="197" t="n">
        <v>19</v>
      </c>
      <c r="B36" s="75" t="inlineStr">
        <is>
          <t>91.08.09-023</t>
        </is>
      </c>
      <c r="C36" s="196" t="inlineStr">
        <is>
          <t>Трамбовки пневматические при работе от передвижных компрессорных станций</t>
        </is>
      </c>
      <c r="D36" s="197" t="inlineStr">
        <is>
          <t>маш.час</t>
        </is>
      </c>
      <c r="E36" s="230" t="n">
        <v>13.49985</v>
      </c>
      <c r="F36" s="199" t="n">
        <v>0.55</v>
      </c>
      <c r="G36" s="144">
        <f>ROUND(E36*F36,2)</f>
        <v/>
      </c>
      <c r="H36" s="83">
        <f>G36/$G$38</f>
        <v/>
      </c>
      <c r="I36" s="144">
        <f>ROUND(F36*'Прил. 10'!$D$12,2)</f>
        <v/>
      </c>
      <c r="J36" s="144">
        <f>ROUND(I36*E36,2)</f>
        <v/>
      </c>
    </row>
    <row r="37" collapsed="1" ht="14.25" customFormat="1" customHeight="1" s="162">
      <c r="A37" s="197" t="n"/>
      <c r="B37" s="197" t="n"/>
      <c r="C37" s="196" t="inlineStr">
        <is>
          <t>Итого прочие машины и механизмы</t>
        </is>
      </c>
      <c r="D37" s="197" t="n"/>
      <c r="E37" s="198" t="n"/>
      <c r="F37" s="144" t="n"/>
      <c r="G37" s="95">
        <f>SUM(G24:G36)</f>
        <v/>
      </c>
      <c r="H37" s="83">
        <f>G37/G38</f>
        <v/>
      </c>
      <c r="I37" s="144" t="n"/>
      <c r="J37" s="144">
        <f>SUM(J24:J36)</f>
        <v/>
      </c>
    </row>
    <row r="38" ht="25.5" customFormat="1" customHeight="1" s="162">
      <c r="A38" s="197" t="n"/>
      <c r="B38" s="197" t="n"/>
      <c r="C38" s="201" t="inlineStr">
        <is>
          <t>Итого по разделу «Машины и механизмы»</t>
        </is>
      </c>
      <c r="D38" s="197" t="n"/>
      <c r="E38" s="198" t="n"/>
      <c r="F38" s="144" t="n"/>
      <c r="G38" s="144">
        <f>G37+G23</f>
        <v/>
      </c>
      <c r="H38" s="85" t="n">
        <v>1</v>
      </c>
      <c r="I38" s="86" t="n"/>
      <c r="J38" s="143">
        <f>J37+J23</f>
        <v/>
      </c>
    </row>
    <row r="39" ht="14.25" customFormat="1" customHeight="1" s="162">
      <c r="A39" s="197" t="n"/>
      <c r="B39" s="201" t="inlineStr">
        <is>
          <t>Оборудование</t>
        </is>
      </c>
      <c r="C39" s="224" t="n"/>
      <c r="D39" s="224" t="n"/>
      <c r="E39" s="224" t="n"/>
      <c r="F39" s="224" t="n"/>
      <c r="G39" s="224" t="n"/>
      <c r="H39" s="225" t="n"/>
      <c r="I39" s="89" t="n"/>
      <c r="J39" s="89" t="n"/>
    </row>
    <row r="40" s="164">
      <c r="A40" s="197" t="n"/>
      <c r="B40" s="196" t="inlineStr">
        <is>
          <t>Основное оборудование</t>
        </is>
      </c>
      <c r="C40" s="224" t="n"/>
      <c r="D40" s="224" t="n"/>
      <c r="E40" s="224" t="n"/>
      <c r="F40" s="224" t="n"/>
      <c r="G40" s="224" t="n"/>
      <c r="H40" s="225" t="n"/>
      <c r="I40" s="89" t="n"/>
      <c r="J40" s="89" t="n"/>
      <c r="K40" s="162" t="n"/>
      <c r="L40" s="162" t="n"/>
    </row>
    <row r="41" s="164">
      <c r="A41" s="197" t="n"/>
      <c r="B41" s="197" t="n"/>
      <c r="C41" s="196" t="inlineStr">
        <is>
          <t>Итого основное оборудование</t>
        </is>
      </c>
      <c r="D41" s="197" t="n"/>
      <c r="E41" s="230" t="n"/>
      <c r="F41" s="199" t="n"/>
      <c r="G41" s="144" t="n">
        <v>0</v>
      </c>
      <c r="H41" s="200" t="n">
        <v>0</v>
      </c>
      <c r="I41" s="95" t="n"/>
      <c r="J41" s="144" t="n">
        <v>0</v>
      </c>
      <c r="K41" s="162" t="n"/>
      <c r="L41" s="162" t="n"/>
    </row>
    <row r="42" s="164">
      <c r="A42" s="197" t="n"/>
      <c r="B42" s="197" t="n"/>
      <c r="C42" s="196" t="inlineStr">
        <is>
          <t>Итого прочее оборудование</t>
        </is>
      </c>
      <c r="D42" s="197" t="n"/>
      <c r="E42" s="230" t="n"/>
      <c r="F42" s="199" t="n"/>
      <c r="G42" s="144" t="n">
        <v>0</v>
      </c>
      <c r="H42" s="200" t="n">
        <v>0</v>
      </c>
      <c r="I42" s="95" t="n"/>
      <c r="J42" s="144" t="n">
        <v>0</v>
      </c>
      <c r="K42" s="162" t="n"/>
      <c r="L42" s="162" t="n"/>
    </row>
    <row r="43" s="164">
      <c r="A43" s="197" t="n"/>
      <c r="B43" s="197" t="n"/>
      <c r="C43" s="201" t="inlineStr">
        <is>
          <t>Итого по разделу «Оборудование»</t>
        </is>
      </c>
      <c r="D43" s="197" t="n"/>
      <c r="E43" s="198" t="n"/>
      <c r="F43" s="199" t="n"/>
      <c r="G43" s="144">
        <f>G41+G42</f>
        <v/>
      </c>
      <c r="H43" s="200" t="n">
        <v>0</v>
      </c>
      <c r="I43" s="95" t="n"/>
      <c r="J43" s="144">
        <f>J42+J41</f>
        <v/>
      </c>
      <c r="K43" s="162" t="n"/>
      <c r="L43" s="162" t="n"/>
    </row>
    <row r="44" ht="25.5" customHeight="1" s="164">
      <c r="A44" s="197" t="n"/>
      <c r="B44" s="197" t="n"/>
      <c r="C44" s="196" t="inlineStr">
        <is>
          <t>в том числе технологическое оборудование</t>
        </is>
      </c>
      <c r="D44" s="197" t="n"/>
      <c r="E44" s="231" t="n"/>
      <c r="F44" s="199" t="n"/>
      <c r="G44" s="144">
        <f>G43</f>
        <v/>
      </c>
      <c r="H44" s="200" t="n"/>
      <c r="I44" s="95" t="n"/>
      <c r="J44" s="144">
        <f>J43</f>
        <v/>
      </c>
      <c r="K44" s="162" t="n"/>
      <c r="L44" s="162" t="n"/>
    </row>
    <row r="45" ht="14.25" customFormat="1" customHeight="1" s="162">
      <c r="A45" s="197" t="n"/>
      <c r="B45" s="201" t="inlineStr">
        <is>
          <t>Материалы</t>
        </is>
      </c>
      <c r="C45" s="224" t="n"/>
      <c r="D45" s="224" t="n"/>
      <c r="E45" s="224" t="n"/>
      <c r="F45" s="224" t="n"/>
      <c r="G45" s="224" t="n"/>
      <c r="H45" s="225" t="n"/>
      <c r="I45" s="89" t="n"/>
      <c r="J45" s="89" t="n"/>
    </row>
    <row r="46" ht="14.25" customFormat="1" customHeight="1" s="162">
      <c r="A46" s="207" t="n"/>
      <c r="B46" s="206" t="inlineStr">
        <is>
          <t>Основные материалы</t>
        </is>
      </c>
      <c r="C46" s="232" t="n"/>
      <c r="D46" s="232" t="n"/>
      <c r="E46" s="232" t="n"/>
      <c r="F46" s="232" t="n"/>
      <c r="G46" s="232" t="n"/>
      <c r="H46" s="233" t="n"/>
      <c r="I46" s="101" t="n"/>
      <c r="J46" s="101" t="n"/>
    </row>
    <row r="47" ht="25.5" customFormat="1" customHeight="1" s="162">
      <c r="A47" s="197" t="n">
        <v>20</v>
      </c>
      <c r="B47" s="75" t="inlineStr">
        <is>
          <t>07.2.07.13-0211</t>
        </is>
      </c>
      <c r="C47" s="196" t="inlineStr">
        <is>
          <t>Тяги, распорки, связи, стойки стальные оцинкованные</t>
        </is>
      </c>
      <c r="D47" s="197" t="inlineStr">
        <is>
          <t>т</t>
        </is>
      </c>
      <c r="E47" s="230" t="n">
        <v>4.397</v>
      </c>
      <c r="F47" s="199" t="n">
        <v>22977.81</v>
      </c>
      <c r="G47" s="135">
        <f>ROUND(E47*F47,2)</f>
        <v/>
      </c>
      <c r="H47" s="83">
        <f>G47/G60</f>
        <v/>
      </c>
      <c r="I47" s="144">
        <f>ROUND(F47*'Прил. 10'!$D$13,2)</f>
        <v/>
      </c>
      <c r="J47" s="144">
        <f>ROUND(I47*E47,2)</f>
        <v/>
      </c>
    </row>
    <row r="48" ht="38.25" customFormat="1" customHeight="1" s="162">
      <c r="A48" s="216" t="n">
        <v>21</v>
      </c>
      <c r="B48" s="75" t="inlineStr">
        <is>
          <t>05.1.05.14-0019</t>
        </is>
      </c>
      <c r="C48" s="196" t="inlineStr">
        <is>
          <t>Фундаменты под опоры ВЛ: Ф5-4 /бетон В30 (М400), расход арматуры 182 кг/ (серия 3.407- 115 выпуск 2)</t>
        </is>
      </c>
      <c r="D48" s="197" t="inlineStr">
        <is>
          <t>м3</t>
        </is>
      </c>
      <c r="E48" s="230" t="n">
        <v>14.46</v>
      </c>
      <c r="F48" s="199" t="n">
        <v>3309.84</v>
      </c>
      <c r="G48" s="135">
        <f>ROUND(E48*F48,2)</f>
        <v/>
      </c>
      <c r="H48" s="83">
        <f>G48/G61</f>
        <v/>
      </c>
      <c r="I48" s="144">
        <f>ROUND(F48*'Прил. 10'!$D$13,2)</f>
        <v/>
      </c>
      <c r="J48" s="144">
        <f>ROUND(I48*E48,2)</f>
        <v/>
      </c>
    </row>
    <row r="49" ht="14.25" customFormat="1" customHeight="1" s="162">
      <c r="A49" s="214" t="n"/>
      <c r="B49" s="141" t="n"/>
      <c r="C49" s="137" t="inlineStr">
        <is>
          <t>Итого основные материалы</t>
        </is>
      </c>
      <c r="D49" s="214" t="n"/>
      <c r="E49" s="234" t="n"/>
      <c r="F49" s="143" t="n"/>
      <c r="G49" s="144">
        <f>SUM(G47:G48)</f>
        <v/>
      </c>
      <c r="H49" s="104">
        <f>G49/G60</f>
        <v/>
      </c>
      <c r="I49" s="143" t="n"/>
      <c r="J49" s="143">
        <f>SUM(J47:J48)</f>
        <v/>
      </c>
    </row>
    <row r="50" hidden="1" outlineLevel="1" ht="25.5" customFormat="1" customHeight="1" s="162">
      <c r="A50" s="127" t="n">
        <v>22</v>
      </c>
      <c r="B50" s="141" t="inlineStr">
        <is>
          <t>02.3.01.02-1020</t>
        </is>
      </c>
      <c r="C50" s="137" t="inlineStr">
        <is>
          <t>Песок природный II класс, повышенной крупности, круглые сита</t>
        </is>
      </c>
      <c r="D50" s="214" t="inlineStr">
        <is>
          <t>м3</t>
        </is>
      </c>
      <c r="E50" s="234" t="n">
        <v>287.9968</v>
      </c>
      <c r="F50" s="140" t="n">
        <v>59.99</v>
      </c>
      <c r="G50" s="144">
        <f>ROUND(E50*F50,2)</f>
        <v/>
      </c>
      <c r="H50" s="83">
        <f>G50/$G$60</f>
        <v/>
      </c>
      <c r="I50" s="144">
        <f>ROUND(F50*'Прил. 10'!$D$13,2)</f>
        <v/>
      </c>
      <c r="J50" s="144">
        <f>ROUND(I50*E50,2)</f>
        <v/>
      </c>
    </row>
    <row r="51" hidden="1" outlineLevel="1" ht="25.5" customFormat="1" customHeight="1" s="162">
      <c r="A51" s="127" t="n">
        <v>23</v>
      </c>
      <c r="B51" s="75" t="inlineStr">
        <is>
          <t>01.7.15.03-0036</t>
        </is>
      </c>
      <c r="C51" s="196" t="inlineStr">
        <is>
          <t>Болты с гайками и шайбами оцинкованные, диаметр: 24 мм</t>
        </is>
      </c>
      <c r="D51" s="197" t="inlineStr">
        <is>
          <t>кг</t>
        </is>
      </c>
      <c r="E51" s="230" t="n">
        <v>79</v>
      </c>
      <c r="F51" s="199" t="n">
        <v>24.79</v>
      </c>
      <c r="G51" s="144">
        <f>ROUND(E51*F51,2)</f>
        <v/>
      </c>
      <c r="H51" s="83">
        <f>G51/$G$60</f>
        <v/>
      </c>
      <c r="I51" s="144">
        <f>ROUND(F51*'Прил. 10'!$D$13,2)</f>
        <v/>
      </c>
      <c r="J51" s="144">
        <f>ROUND(I51*E51,2)</f>
        <v/>
      </c>
    </row>
    <row r="52" hidden="1" outlineLevel="1" ht="25.5" customFormat="1" customHeight="1" s="162">
      <c r="A52" s="127" t="n">
        <v>24</v>
      </c>
      <c r="B52" s="75" t="inlineStr">
        <is>
          <t>02.2.05.04-1777</t>
        </is>
      </c>
      <c r="C52" s="196" t="inlineStr">
        <is>
          <t>Щебень М 800, фракция 20-40 мм, группа 2</t>
        </is>
      </c>
      <c r="D52" s="197" t="inlineStr">
        <is>
          <t>м3</t>
        </is>
      </c>
      <c r="E52" s="230" t="n">
        <v>9.071999999999999</v>
      </c>
      <c r="F52" s="199" t="n">
        <v>108.4</v>
      </c>
      <c r="G52" s="144">
        <f>ROUND(E52*F52,2)</f>
        <v/>
      </c>
      <c r="H52" s="83">
        <f>G52/$G$60</f>
        <v/>
      </c>
      <c r="I52" s="144">
        <f>ROUND(F52*'Прил. 10'!$D$13,2)</f>
        <v/>
      </c>
      <c r="J52" s="144">
        <f>ROUND(I52*E52,2)</f>
        <v/>
      </c>
    </row>
    <row r="53" hidden="1" outlineLevel="1" ht="14.25" customFormat="1" customHeight="1" s="162">
      <c r="A53" s="127" t="n">
        <v>25</v>
      </c>
      <c r="B53" s="75" t="inlineStr">
        <is>
          <t>01.7.11.07-0032</t>
        </is>
      </c>
      <c r="C53" s="196" t="inlineStr">
        <is>
          <t>Электроды сварочные Э42, диаметр 4 мм</t>
        </is>
      </c>
      <c r="D53" s="197" t="inlineStr">
        <is>
          <t>т</t>
        </is>
      </c>
      <c r="E53" s="230" t="n">
        <v>0.025114</v>
      </c>
      <c r="F53" s="199" t="n">
        <v>10315.01</v>
      </c>
      <c r="G53" s="144">
        <f>ROUND(E53*F53,2)</f>
        <v/>
      </c>
      <c r="H53" s="83">
        <f>G53/$G$60</f>
        <v/>
      </c>
      <c r="I53" s="144">
        <f>ROUND(F53*'Прил. 10'!$D$13,2)</f>
        <v/>
      </c>
      <c r="J53" s="144">
        <f>ROUND(I53*E53,2)</f>
        <v/>
      </c>
    </row>
    <row r="54" hidden="1" outlineLevel="1" ht="25.5" customFormat="1" customHeight="1" s="162">
      <c r="A54" s="127" t="n">
        <v>26</v>
      </c>
      <c r="B54" s="75" t="inlineStr">
        <is>
          <t>01.7.15.03-0035</t>
        </is>
      </c>
      <c r="C54" s="196" t="inlineStr">
        <is>
          <t>Болты с гайками и шайбами оцинкованные, диаметр: 20 мм</t>
        </is>
      </c>
      <c r="D54" s="197" t="inlineStr">
        <is>
          <t>кг</t>
        </is>
      </c>
      <c r="E54" s="230" t="n">
        <v>7</v>
      </c>
      <c r="F54" s="199" t="n">
        <v>24.97</v>
      </c>
      <c r="G54" s="144">
        <f>ROUND(E54*F54,2)</f>
        <v/>
      </c>
      <c r="H54" s="83">
        <f>G54/$G$60</f>
        <v/>
      </c>
      <c r="I54" s="144">
        <f>ROUND(F54*'Прил. 10'!$D$13,2)</f>
        <v/>
      </c>
      <c r="J54" s="144">
        <f>ROUND(I54*E54,2)</f>
        <v/>
      </c>
    </row>
    <row r="55" hidden="1" outlineLevel="1" ht="25.5" customFormat="1" customHeight="1" s="162">
      <c r="A55" s="127" t="n">
        <v>27</v>
      </c>
      <c r="B55" s="75" t="inlineStr">
        <is>
          <t>01.7.15.02-0065</t>
        </is>
      </c>
      <c r="C55" s="196" t="inlineStr">
        <is>
          <t>Болты оцинкованные диаметром резьбы: 16 (18) мм</t>
        </is>
      </c>
      <c r="D55" s="197" t="inlineStr">
        <is>
          <t>т</t>
        </is>
      </c>
      <c r="E55" s="230" t="n">
        <v>0.007</v>
      </c>
      <c r="F55" s="199" t="n">
        <v>15441.79</v>
      </c>
      <c r="G55" s="144">
        <f>ROUND(E55*F55,2)</f>
        <v/>
      </c>
      <c r="H55" s="83">
        <f>G55/$G$60</f>
        <v/>
      </c>
      <c r="I55" s="144">
        <f>ROUND(F55*'Прил. 10'!$D$13,2)</f>
        <v/>
      </c>
      <c r="J55" s="144">
        <f>ROUND(I55*E55,2)</f>
        <v/>
      </c>
    </row>
    <row r="56" hidden="1" outlineLevel="1" ht="14.25" customFormat="1" customHeight="1" s="162">
      <c r="A56" s="127" t="n">
        <v>28</v>
      </c>
      <c r="B56" s="75" t="inlineStr">
        <is>
          <t>01.3.01.03-0002</t>
        </is>
      </c>
      <c r="C56" s="196" t="inlineStr">
        <is>
          <t>Керосин для технических целей</t>
        </is>
      </c>
      <c r="D56" s="197" t="inlineStr">
        <is>
          <t>т</t>
        </is>
      </c>
      <c r="E56" s="230" t="n">
        <v>0.01488</v>
      </c>
      <c r="F56" s="199" t="n">
        <v>2606.9</v>
      </c>
      <c r="G56" s="144">
        <f>ROUND(E56*F56,2)</f>
        <v/>
      </c>
      <c r="H56" s="83">
        <f>G56/$G$60</f>
        <v/>
      </c>
      <c r="I56" s="144">
        <f>ROUND(F56*'Прил. 10'!$D$13,2)</f>
        <v/>
      </c>
      <c r="J56" s="144">
        <f>ROUND(I56*E56,2)</f>
        <v/>
      </c>
    </row>
    <row r="57" hidden="1" outlineLevel="1" ht="14.25" customFormat="1" customHeight="1" s="162">
      <c r="A57" s="127" t="n">
        <v>29</v>
      </c>
      <c r="B57" s="75" t="inlineStr">
        <is>
          <t>01.7.03.01-0001</t>
        </is>
      </c>
      <c r="C57" s="196" t="inlineStr">
        <is>
          <t>Вода</t>
        </is>
      </c>
      <c r="D57" s="197" t="inlineStr">
        <is>
          <t>м3</t>
        </is>
      </c>
      <c r="E57" s="230" t="n">
        <v>0.504</v>
      </c>
      <c r="F57" s="199" t="n">
        <v>2.44</v>
      </c>
      <c r="G57" s="144">
        <f>ROUND(E57*F57,2)</f>
        <v/>
      </c>
      <c r="H57" s="83">
        <f>G57/$G$60</f>
        <v/>
      </c>
      <c r="I57" s="144">
        <f>ROUND(F57*'Прил. 10'!$D$13,2)</f>
        <v/>
      </c>
      <c r="J57" s="144">
        <f>ROUND(I57*E57,2)</f>
        <v/>
      </c>
    </row>
    <row r="58" hidden="1" outlineLevel="1" ht="14.25" customFormat="1" customHeight="1" s="162">
      <c r="A58" s="127" t="n">
        <v>30</v>
      </c>
      <c r="B58" s="75" t="inlineStr">
        <is>
          <t>01.7.20.08-0051</t>
        </is>
      </c>
      <c r="C58" s="196" t="inlineStr">
        <is>
          <t>Ветошь</t>
        </is>
      </c>
      <c r="D58" s="197" t="inlineStr">
        <is>
          <t>кг</t>
        </is>
      </c>
      <c r="E58" s="230" t="n">
        <v>0.062</v>
      </c>
      <c r="F58" s="199" t="n">
        <v>1.82</v>
      </c>
      <c r="G58" s="144">
        <f>ROUND(E58*F58,2)</f>
        <v/>
      </c>
      <c r="H58" s="83">
        <f>G58/$G$60</f>
        <v/>
      </c>
      <c r="I58" s="144">
        <f>ROUND(F58*'Прил. 10'!$D$13,2)</f>
        <v/>
      </c>
      <c r="J58" s="144">
        <f>ROUND(I58*E58,2)</f>
        <v/>
      </c>
    </row>
    <row r="59" collapsed="1" ht="14.25" customFormat="1" customHeight="1" s="162">
      <c r="A59" s="197" t="n"/>
      <c r="B59" s="214" t="n"/>
      <c r="C59" s="137" t="inlineStr">
        <is>
          <t>Итого прочие материалы</t>
        </is>
      </c>
      <c r="D59" s="214" t="n"/>
      <c r="E59" s="129" t="n"/>
      <c r="F59" s="140" t="n"/>
      <c r="G59" s="143">
        <f>SUM(G50:G58)</f>
        <v/>
      </c>
      <c r="H59" s="200">
        <f>G59/G60</f>
        <v/>
      </c>
      <c r="I59" s="144" t="n"/>
      <c r="J59" s="144">
        <f>SUM(J50:J58)</f>
        <v/>
      </c>
    </row>
    <row r="60" ht="14.25" customFormat="1" customHeight="1" s="162">
      <c r="A60" s="197" t="n"/>
      <c r="B60" s="197" t="n"/>
      <c r="C60" s="201" t="inlineStr">
        <is>
          <t>Итого по разделу «Материалы»</t>
        </is>
      </c>
      <c r="D60" s="197" t="n"/>
      <c r="E60" s="198" t="n"/>
      <c r="F60" s="199" t="n"/>
      <c r="G60" s="144">
        <f>G49+G59</f>
        <v/>
      </c>
      <c r="H60" s="200">
        <f>H59+H49</f>
        <v/>
      </c>
      <c r="I60" s="144" t="n"/>
      <c r="J60" s="144">
        <f>J49+J59</f>
        <v/>
      </c>
    </row>
    <row r="61" ht="14.25" customFormat="1" customHeight="1" s="162">
      <c r="A61" s="197" t="n"/>
      <c r="B61" s="197" t="n"/>
      <c r="C61" s="196" t="inlineStr">
        <is>
          <t>ИТОГО ПО РМ</t>
        </is>
      </c>
      <c r="D61" s="197" t="n"/>
      <c r="E61" s="198" t="n"/>
      <c r="F61" s="199" t="n"/>
      <c r="G61" s="144">
        <f>G14+G38+G60</f>
        <v/>
      </c>
      <c r="H61" s="200" t="n"/>
      <c r="I61" s="144" t="n"/>
      <c r="J61" s="144">
        <f>J14+J38+J60</f>
        <v/>
      </c>
    </row>
    <row r="62" ht="14.25" customFormat="1" customHeight="1" s="162">
      <c r="A62" s="197" t="n"/>
      <c r="B62" s="197" t="n"/>
      <c r="C62" s="196" t="inlineStr">
        <is>
          <t>Накладные расходы</t>
        </is>
      </c>
      <c r="D62" s="107" t="n">
        <v>0.97</v>
      </c>
      <c r="E62" s="198" t="n"/>
      <c r="F62" s="199" t="n"/>
      <c r="G62" s="144" t="n">
        <v>6712.21</v>
      </c>
      <c r="H62" s="200" t="n"/>
      <c r="I62" s="144" t="n"/>
      <c r="J62" s="144">
        <f>ROUND(D62*(J14+J16),2)</f>
        <v/>
      </c>
    </row>
    <row r="63" ht="14.25" customFormat="1" customHeight="1" s="162">
      <c r="A63" s="197" t="n"/>
      <c r="B63" s="197" t="n"/>
      <c r="C63" s="196" t="inlineStr">
        <is>
          <t>Сметная прибыль</t>
        </is>
      </c>
      <c r="D63" s="107" t="n">
        <v>0.53</v>
      </c>
      <c r="E63" s="198" t="n"/>
      <c r="F63" s="199" t="n"/>
      <c r="G63" s="144" t="n">
        <v>3698.4</v>
      </c>
      <c r="H63" s="200" t="n"/>
      <c r="I63" s="144" t="n"/>
      <c r="J63" s="144">
        <f>ROUND(D63*(J14+J16),2)</f>
        <v/>
      </c>
    </row>
    <row r="64" ht="14.25" customFormat="1" customHeight="1" s="162">
      <c r="A64" s="197" t="n"/>
      <c r="B64" s="197" t="n"/>
      <c r="C64" s="196" t="inlineStr">
        <is>
          <t>Итого СМР (с НР и СП)</t>
        </is>
      </c>
      <c r="D64" s="197" t="n"/>
      <c r="E64" s="198" t="n"/>
      <c r="F64" s="199" t="n"/>
      <c r="G64" s="144">
        <f>G14+G38+G60+G62+G63</f>
        <v/>
      </c>
      <c r="H64" s="200" t="n"/>
      <c r="I64" s="144" t="n"/>
      <c r="J64" s="144">
        <f>J14+J38+J60+J62+J63</f>
        <v/>
      </c>
    </row>
    <row r="65" ht="14.25" customFormat="1" customHeight="1" s="162">
      <c r="A65" s="197" t="n"/>
      <c r="B65" s="197" t="n"/>
      <c r="C65" s="196" t="inlineStr">
        <is>
          <t>ВСЕГО СМР + ОБОРУДОВАНИЕ</t>
        </is>
      </c>
      <c r="D65" s="197" t="n"/>
      <c r="E65" s="198" t="n"/>
      <c r="F65" s="199" t="n"/>
      <c r="G65" s="144">
        <f>G64+G43</f>
        <v/>
      </c>
      <c r="H65" s="200" t="n"/>
      <c r="I65" s="144" t="n"/>
      <c r="J65" s="144">
        <f>J64+J43</f>
        <v/>
      </c>
    </row>
    <row r="66" ht="34.5" customFormat="1" customHeight="1" s="162">
      <c r="A66" s="197" t="n"/>
      <c r="B66" s="197" t="n"/>
      <c r="C66" s="196" t="inlineStr">
        <is>
          <t>ИТОГО ПОКАЗАТЕЛЬ НА ЕД. ИЗМ.</t>
        </is>
      </c>
      <c r="D66" s="197" t="inlineStr">
        <is>
          <t>ед.</t>
        </is>
      </c>
      <c r="E66" s="198" t="n">
        <v>1</v>
      </c>
      <c r="F66" s="199" t="n"/>
      <c r="G66" s="144">
        <f>G65/E66</f>
        <v/>
      </c>
      <c r="H66" s="200" t="n"/>
      <c r="I66" s="144" t="n"/>
      <c r="J66" s="144">
        <f>J65/E66</f>
        <v/>
      </c>
    </row>
    <row r="68" ht="14.25" customFormat="1" customHeight="1" s="162">
      <c r="A68" s="152" t="inlineStr">
        <is>
          <t>Составил ______________________    Р.Р. Шагеева</t>
        </is>
      </c>
    </row>
    <row r="69" ht="14.25" customFormat="1" customHeight="1" s="162">
      <c r="A69" s="161" t="inlineStr">
        <is>
          <t xml:space="preserve">                         (подпись, инициалы, фамилия)</t>
        </is>
      </c>
    </row>
    <row r="70" ht="14.25" customFormat="1" customHeight="1" s="162">
      <c r="A70" s="152" t="n"/>
    </row>
    <row r="71" ht="14.25" customFormat="1" customHeight="1" s="162">
      <c r="A71" s="152" t="inlineStr">
        <is>
          <t>Проверил ______________________        А.В. Костянецкая</t>
        </is>
      </c>
    </row>
    <row r="72" ht="14.25" customFormat="1" customHeight="1" s="162">
      <c r="A72" s="161" t="inlineStr">
        <is>
          <t xml:space="preserve">                        (подпись, инициалы, фамилия)</t>
        </is>
      </c>
    </row>
  </sheetData>
  <mergeCells count="21">
    <mergeCell ref="H9:H10"/>
    <mergeCell ref="B40:H40"/>
    <mergeCell ref="A4:J4"/>
    <mergeCell ref="B15:H15"/>
    <mergeCell ref="H2:J2"/>
    <mergeCell ref="B45:H45"/>
    <mergeCell ref="C9:C10"/>
    <mergeCell ref="E9:E10"/>
    <mergeCell ref="A7:H7"/>
    <mergeCell ref="B46:H46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8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style="164" min="1" max="1"/>
    <col width="17.5703125" customWidth="1" style="164" min="2" max="2"/>
    <col width="39.140625" customWidth="1" style="164" min="3" max="3"/>
    <col width="10.7109375" customWidth="1" style="164" min="4" max="4"/>
    <col width="13.85546875" customWidth="1" style="164" min="5" max="5"/>
    <col width="13.28515625" customWidth="1" style="164" min="6" max="6"/>
    <col width="14.140625" customWidth="1" style="164" min="7" max="7"/>
    <col width="9.140625" customWidth="1" style="164" min="8" max="8"/>
  </cols>
  <sheetData>
    <row r="1">
      <c r="A1" s="221" t="inlineStr">
        <is>
          <t>Приложение №6</t>
        </is>
      </c>
    </row>
    <row r="2" ht="21.75" customHeight="1" s="164">
      <c r="A2" s="221" t="n"/>
      <c r="B2" s="221" t="n"/>
      <c r="C2" s="221" t="n"/>
      <c r="D2" s="221" t="n"/>
      <c r="E2" s="221" t="n"/>
      <c r="F2" s="221" t="n"/>
      <c r="G2" s="221" t="n"/>
    </row>
    <row r="3">
      <c r="A3" s="193" t="inlineStr">
        <is>
          <t>Расчет стоимости оборудования</t>
        </is>
      </c>
    </row>
    <row r="4" ht="25.5" customHeight="1" s="164">
      <c r="A4" s="213" t="inlineStr">
        <is>
          <t>Наименование разрабатываемого показателя УНЦ — Устройство порталов и ошиновки ОРУ 330 кВ</t>
        </is>
      </c>
    </row>
    <row r="5">
      <c r="A5" s="152" t="n"/>
      <c r="B5" s="152" t="n"/>
      <c r="C5" s="152" t="n"/>
      <c r="D5" s="152" t="n"/>
      <c r="E5" s="152" t="n"/>
      <c r="F5" s="152" t="n"/>
      <c r="G5" s="152" t="n"/>
    </row>
    <row r="6" ht="30" customHeight="1" s="164">
      <c r="A6" s="222" t="inlineStr">
        <is>
          <t>№ пп.</t>
        </is>
      </c>
      <c r="B6" s="222" t="inlineStr">
        <is>
          <t>Код ресурса</t>
        </is>
      </c>
      <c r="C6" s="222" t="inlineStr">
        <is>
          <t>Наименование</t>
        </is>
      </c>
      <c r="D6" s="222" t="inlineStr">
        <is>
          <t>Ед. изм.</t>
        </is>
      </c>
      <c r="E6" s="197" t="inlineStr">
        <is>
          <t>Кол-во единиц по проектным данным</t>
        </is>
      </c>
      <c r="F6" s="222" t="inlineStr">
        <is>
          <t>Сметная стоимость в ценах на 01.01.2000 (руб.)</t>
        </is>
      </c>
      <c r="G6" s="225" t="n"/>
    </row>
    <row r="7">
      <c r="A7" s="227" t="n"/>
      <c r="B7" s="227" t="n"/>
      <c r="C7" s="227" t="n"/>
      <c r="D7" s="227" t="n"/>
      <c r="E7" s="227" t="n"/>
      <c r="F7" s="197" t="inlineStr">
        <is>
          <t>на ед. изм.</t>
        </is>
      </c>
      <c r="G7" s="197" t="inlineStr">
        <is>
          <t>общая</t>
        </is>
      </c>
    </row>
    <row r="8">
      <c r="A8" s="197" t="n">
        <v>1</v>
      </c>
      <c r="B8" s="197" t="n">
        <v>2</v>
      </c>
      <c r="C8" s="197" t="n">
        <v>3</v>
      </c>
      <c r="D8" s="197" t="n">
        <v>4</v>
      </c>
      <c r="E8" s="197" t="n">
        <v>5</v>
      </c>
      <c r="F8" s="197" t="n">
        <v>6</v>
      </c>
      <c r="G8" s="197" t="n">
        <v>7</v>
      </c>
    </row>
    <row r="9" ht="15" customHeight="1" s="164">
      <c r="A9" s="111" t="n"/>
      <c r="B9" s="196" t="inlineStr">
        <is>
          <t>ИНЖЕНЕРНОЕ ОБОРУДОВАНИЕ</t>
        </is>
      </c>
      <c r="C9" s="224" t="n"/>
      <c r="D9" s="224" t="n"/>
      <c r="E9" s="224" t="n"/>
      <c r="F9" s="224" t="n"/>
      <c r="G9" s="225" t="n"/>
    </row>
    <row r="10" ht="27" customHeight="1" s="164">
      <c r="A10" s="197" t="n"/>
      <c r="B10" s="201" t="n"/>
      <c r="C10" s="196" t="inlineStr">
        <is>
          <t>ИТОГО ИНЖЕНЕРНОЕ ОБОРУДОВАНИЕ</t>
        </is>
      </c>
      <c r="D10" s="201" t="n"/>
      <c r="E10" s="112" t="n"/>
      <c r="F10" s="199" t="n"/>
      <c r="G10" s="199" t="n">
        <v>0</v>
      </c>
    </row>
    <row r="11">
      <c r="A11" s="197" t="n"/>
      <c r="B11" s="196" t="inlineStr">
        <is>
          <t>ТЕХНОЛОГИЧЕСКОЕ ОБОРУДОВАНИЕ</t>
        </is>
      </c>
      <c r="C11" s="224" t="n"/>
      <c r="D11" s="224" t="n"/>
      <c r="E11" s="224" t="n"/>
      <c r="F11" s="224" t="n"/>
      <c r="G11" s="225" t="n"/>
    </row>
    <row r="12">
      <c r="A12" s="197" t="n">
        <v>1</v>
      </c>
      <c r="B12" s="196" t="n"/>
      <c r="C12" s="196" t="n"/>
      <c r="D12" s="197" t="n"/>
      <c r="E12" s="197" t="n"/>
      <c r="F12" s="199" t="n"/>
      <c r="G12" s="144" t="n"/>
    </row>
    <row r="13" ht="25.5" customHeight="1" s="164">
      <c r="A13" s="197" t="n"/>
      <c r="B13" s="196" t="n"/>
      <c r="C13" s="196" t="inlineStr">
        <is>
          <t>ИТОГО ТЕХНОЛОГИЧЕСКОЕ ОБОРУДОВАНИЕ</t>
        </is>
      </c>
      <c r="D13" s="196" t="n"/>
      <c r="E13" s="220" t="n"/>
      <c r="F13" s="199" t="n"/>
      <c r="G13" s="144">
        <f>SUM(G12:G12)</f>
        <v/>
      </c>
    </row>
    <row r="14" ht="19.5" customHeight="1" s="164">
      <c r="A14" s="197" t="n"/>
      <c r="B14" s="196" t="n"/>
      <c r="C14" s="196" t="inlineStr">
        <is>
          <t>Всего по разделу «Оборудование»</t>
        </is>
      </c>
      <c r="D14" s="196" t="n"/>
      <c r="E14" s="220" t="n"/>
      <c r="F14" s="199" t="n"/>
      <c r="G14" s="144">
        <f>G10+G13</f>
        <v/>
      </c>
    </row>
    <row r="15">
      <c r="A15" s="163" t="n"/>
      <c r="B15" s="158" t="n"/>
      <c r="C15" s="163" t="n"/>
      <c r="D15" s="163" t="n"/>
      <c r="E15" s="163" t="n"/>
      <c r="F15" s="163" t="n"/>
      <c r="G15" s="163" t="n"/>
    </row>
    <row r="16">
      <c r="A16" s="152" t="inlineStr">
        <is>
          <t>Составил ______________________    Р.Р. Шагеева</t>
        </is>
      </c>
      <c r="B16" s="162" t="n"/>
      <c r="C16" s="162" t="n"/>
      <c r="D16" s="163" t="n"/>
      <c r="E16" s="163" t="n"/>
      <c r="F16" s="163" t="n"/>
      <c r="G16" s="163" t="n"/>
    </row>
    <row r="17">
      <c r="A17" s="161" t="inlineStr">
        <is>
          <t xml:space="preserve">                         (подпись, инициалы, фамилия)</t>
        </is>
      </c>
      <c r="B17" s="162" t="n"/>
      <c r="C17" s="162" t="n"/>
      <c r="D17" s="163" t="n"/>
      <c r="E17" s="163" t="n"/>
      <c r="F17" s="163" t="n"/>
      <c r="G17" s="163" t="n"/>
    </row>
    <row r="18">
      <c r="A18" s="152" t="n"/>
      <c r="B18" s="162" t="n"/>
      <c r="C18" s="162" t="n"/>
      <c r="D18" s="163" t="n"/>
      <c r="E18" s="163" t="n"/>
      <c r="F18" s="163" t="n"/>
      <c r="G18" s="163" t="n"/>
    </row>
    <row r="19">
      <c r="A19" s="152" t="inlineStr">
        <is>
          <t>Проверил ______________________        А.В. Костянецкая</t>
        </is>
      </c>
      <c r="B19" s="162" t="n"/>
      <c r="C19" s="162" t="n"/>
      <c r="D19" s="163" t="n"/>
      <c r="E19" s="163" t="n"/>
      <c r="F19" s="163" t="n"/>
      <c r="G19" s="163" t="n"/>
    </row>
    <row r="20">
      <c r="A20" s="161" t="inlineStr">
        <is>
          <t xml:space="preserve">                        (подпись, инициалы, фамилия)</t>
        </is>
      </c>
      <c r="B20" s="162" t="n"/>
      <c r="C20" s="162" t="n"/>
      <c r="D20" s="163" t="n"/>
      <c r="E20" s="163" t="n"/>
      <c r="F20" s="163" t="n"/>
      <c r="G20" s="16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A11" sqref="A11"/>
    </sheetView>
  </sheetViews>
  <sheetFormatPr baseColWidth="8" defaultColWidth="8.85546875" defaultRowHeight="15"/>
  <cols>
    <col width="14.42578125" customWidth="1" style="164" min="1" max="1"/>
    <col width="29.7109375" customWidth="1" style="164" min="2" max="2"/>
    <col width="39.140625" customWidth="1" style="164" min="3" max="3"/>
    <col width="24.5703125" customWidth="1" style="164" min="4" max="4"/>
    <col width="8.85546875" customWidth="1" style="164" min="5" max="5"/>
  </cols>
  <sheetData>
    <row r="1">
      <c r="B1" s="152" t="n"/>
      <c r="C1" s="152" t="n"/>
      <c r="D1" s="221" t="inlineStr">
        <is>
          <t>Приложение №7</t>
        </is>
      </c>
    </row>
    <row r="2">
      <c r="A2" s="221" t="n"/>
      <c r="B2" s="221" t="n"/>
      <c r="C2" s="221" t="n"/>
      <c r="D2" s="221" t="n"/>
    </row>
    <row r="3" ht="24.75" customHeight="1" s="164">
      <c r="A3" s="193" t="inlineStr">
        <is>
          <t>Расчет показателя УНЦ</t>
        </is>
      </c>
    </row>
    <row r="4" ht="24.75" customHeight="1" s="164">
      <c r="A4" s="193" t="n"/>
      <c r="B4" s="193" t="n"/>
      <c r="C4" s="193" t="n"/>
      <c r="D4" s="193" t="n"/>
    </row>
    <row r="5" ht="24.6" customHeight="1" s="164">
      <c r="A5" s="213" t="inlineStr">
        <is>
          <t xml:space="preserve">Наименование разрабатываемого показателя УНЦ - </t>
        </is>
      </c>
      <c r="D5" s="213">
        <f>'Прил.5 Расчет СМР и ОБ'!D6:J6</f>
        <v/>
      </c>
    </row>
    <row r="6" ht="19.9" customHeight="1" s="164">
      <c r="A6" s="213" t="inlineStr">
        <is>
          <t>Единица измерения  — 1 ед</t>
        </is>
      </c>
      <c r="D6" s="213" t="n"/>
    </row>
    <row r="7">
      <c r="A7" s="152" t="n"/>
      <c r="B7" s="152" t="n"/>
      <c r="C7" s="152" t="n"/>
      <c r="D7" s="152" t="n"/>
    </row>
    <row r="8" ht="14.45" customHeight="1" s="164">
      <c r="A8" s="189" t="inlineStr">
        <is>
          <t>Код показателя</t>
        </is>
      </c>
      <c r="B8" s="189" t="inlineStr">
        <is>
          <t>Наименование показателя</t>
        </is>
      </c>
      <c r="C8" s="189" t="inlineStr">
        <is>
          <t>Наименование РМ, входящих в состав показателя</t>
        </is>
      </c>
      <c r="D8" s="189" t="inlineStr">
        <is>
          <t>Норматив цены на 01.01.2023, тыс.руб.</t>
        </is>
      </c>
    </row>
    <row r="9" ht="15" customHeight="1" s="164">
      <c r="A9" s="227" t="n"/>
      <c r="B9" s="227" t="n"/>
      <c r="C9" s="227" t="n"/>
      <c r="D9" s="227" t="n"/>
    </row>
    <row r="10">
      <c r="A10" s="197" t="n">
        <v>1</v>
      </c>
      <c r="B10" s="197" t="n">
        <v>2</v>
      </c>
      <c r="C10" s="197" t="n">
        <v>3</v>
      </c>
      <c r="D10" s="197" t="n">
        <v>4</v>
      </c>
    </row>
    <row r="11" ht="41.45" customHeight="1" s="164">
      <c r="A11" s="197" t="inlineStr">
        <is>
          <t>И5-10-5</t>
        </is>
      </c>
      <c r="B11" s="197" t="inlineStr">
        <is>
          <t xml:space="preserve">УНЦ элементов ПС 6-750 кВ с устройством фундаментов </t>
        </is>
      </c>
      <c r="C11" s="154">
        <f>D5</f>
        <v/>
      </c>
      <c r="D11" s="155">
        <f>'Прил.4 РМ'!C41/1000</f>
        <v/>
      </c>
      <c r="E11" s="156" t="n"/>
    </row>
    <row r="12">
      <c r="A12" s="163" t="n"/>
      <c r="B12" s="158" t="n"/>
      <c r="C12" s="163" t="n"/>
      <c r="D12" s="163" t="n"/>
    </row>
    <row r="13">
      <c r="A13" s="152" t="inlineStr">
        <is>
          <t>Составил ______________________      Р.Р. Шагеева</t>
        </is>
      </c>
      <c r="B13" s="162" t="n"/>
      <c r="C13" s="162" t="n"/>
      <c r="D13" s="163" t="n"/>
    </row>
    <row r="14">
      <c r="A14" s="161" t="inlineStr">
        <is>
          <t xml:space="preserve">                         (подпись, инициалы, фамилия)</t>
        </is>
      </c>
      <c r="B14" s="162" t="n"/>
      <c r="C14" s="162" t="n"/>
      <c r="D14" s="163" t="n"/>
    </row>
    <row r="15">
      <c r="A15" s="152" t="n"/>
      <c r="B15" s="162" t="n"/>
      <c r="C15" s="162" t="n"/>
      <c r="D15" s="163" t="n"/>
    </row>
    <row r="16">
      <c r="A16" s="152" t="inlineStr">
        <is>
          <t>Проверил ______________________        А.В. Костянецкая</t>
        </is>
      </c>
      <c r="B16" s="162" t="n"/>
      <c r="C16" s="162" t="n"/>
      <c r="D16" s="163" t="n"/>
    </row>
    <row r="17">
      <c r="A17" s="161" t="inlineStr">
        <is>
          <t xml:space="preserve">                        (подпись, инициалы, фамилия)</t>
        </is>
      </c>
      <c r="B17" s="162" t="n"/>
      <c r="C17" s="162" t="n"/>
      <c r="D17" s="16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view="pageBreakPreview" zoomScale="60" zoomScaleNormal="85" workbookViewId="0">
      <selection activeCell="B23" sqref="B23"/>
    </sheetView>
  </sheetViews>
  <sheetFormatPr baseColWidth="8" defaultRowHeight="15"/>
  <cols>
    <col width="9.140625" customWidth="1" style="164" min="1" max="1"/>
    <col width="40.7109375" customWidth="1" style="164" min="2" max="2"/>
    <col width="37" customWidth="1" style="164" min="3" max="3"/>
    <col width="32" customWidth="1" style="164" min="4" max="4"/>
    <col width="9.140625" customWidth="1" style="164" min="5" max="5"/>
  </cols>
  <sheetData>
    <row r="4" ht="15.75" customHeight="1" s="164">
      <c r="B4" s="184" t="inlineStr">
        <is>
          <t>Приложение № 10</t>
        </is>
      </c>
    </row>
    <row r="5" ht="18.75" customHeight="1" s="164">
      <c r="B5" s="118" t="n"/>
    </row>
    <row r="6" ht="15.75" customHeight="1" s="164">
      <c r="B6" s="185" t="inlineStr">
        <is>
          <t>Используемые индексы изменений сметной стоимости и нормы сопутствующих затрат</t>
        </is>
      </c>
    </row>
    <row r="7">
      <c r="B7" s="223" t="n"/>
    </row>
    <row r="8">
      <c r="B8" s="223" t="n"/>
      <c r="C8" s="223" t="n"/>
      <c r="D8" s="223" t="n"/>
      <c r="E8" s="223" t="n"/>
    </row>
    <row r="9" ht="47.25" customHeight="1" s="164">
      <c r="B9" s="189" t="inlineStr">
        <is>
          <t>Наименование индекса / норм сопутствующих затрат</t>
        </is>
      </c>
      <c r="C9" s="189" t="inlineStr">
        <is>
          <t>Дата применения и обоснование индекса / норм сопутствующих затрат</t>
        </is>
      </c>
      <c r="D9" s="189" t="inlineStr">
        <is>
          <t>Размер индекса / норма сопутствующих затрат</t>
        </is>
      </c>
    </row>
    <row r="10" ht="15.75" customHeight="1" s="164">
      <c r="B10" s="189" t="n">
        <v>1</v>
      </c>
      <c r="C10" s="189" t="n">
        <v>2</v>
      </c>
      <c r="D10" s="189" t="n">
        <v>3</v>
      </c>
    </row>
    <row r="11" ht="45" customHeight="1" s="164">
      <c r="B11" s="189" t="inlineStr">
        <is>
          <t xml:space="preserve">Индекс изменения сметной стоимости на 1 квартал 2023 года. ОЗП </t>
        </is>
      </c>
      <c r="C11" s="189" t="inlineStr">
        <is>
          <t>Письмо Минстроя России от 30.03.2023г. №17106-ИФ/09  прил.1</t>
        </is>
      </c>
      <c r="D11" s="189" t="n">
        <v>44.29</v>
      </c>
    </row>
    <row r="12" ht="29.25" customHeight="1" s="164">
      <c r="B12" s="189" t="inlineStr">
        <is>
          <t>Индекс изменения сметной стоимости на 1 квартал 2023 года. ЭМ</t>
        </is>
      </c>
      <c r="C12" s="189" t="inlineStr">
        <is>
          <t>Письмо Минстроя России от 30.03.2023г. №17106-ИФ/09  прил.1</t>
        </is>
      </c>
      <c r="D12" s="189" t="n">
        <v>13.47</v>
      </c>
    </row>
    <row r="13" ht="29.25" customHeight="1" s="164">
      <c r="B13" s="189" t="inlineStr">
        <is>
          <t>Индекс изменения сметной стоимости на 1 квартал 2023 года. МАТ</t>
        </is>
      </c>
      <c r="C13" s="189" t="inlineStr">
        <is>
          <t>Письмо Минстроя России от 30.03.2023г. №17106-ИФ/09  прил.1</t>
        </is>
      </c>
      <c r="D13" s="189" t="n">
        <v>8.039999999999999</v>
      </c>
    </row>
    <row r="14" ht="30.75" customHeight="1" s="164">
      <c r="B14" s="189" t="inlineStr">
        <is>
          <t>Индекс изменения сметной стоимости на 1 квартал 2023 года. ОБ</t>
        </is>
      </c>
      <c r="C14" s="121" t="inlineStr">
        <is>
          <t>Письмо Минстроя России от 23.02.2023г. №9791-ИФ/09 прил.6</t>
        </is>
      </c>
      <c r="D14" s="189" t="n">
        <v>6.26</v>
      </c>
    </row>
    <row r="15" ht="89.25" customHeight="1" s="164">
      <c r="B15" s="189" t="inlineStr">
        <is>
          <t>Временные здания и сооружения</t>
        </is>
      </c>
      <c r="C15" s="18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164">
      <c r="B16" s="189" t="inlineStr">
        <is>
          <t>Дополнительные затраты при производстве строительно-монтажных работ в зимнее время</t>
        </is>
      </c>
      <c r="C16" s="18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4.5" customHeight="1" s="164">
      <c r="B17" s="189" t="inlineStr">
        <is>
          <t>Пусконаладочные работы</t>
        </is>
      </c>
      <c r="C17" s="189" t="n"/>
      <c r="D17" s="189" t="n"/>
    </row>
    <row r="18" ht="31.5" customHeight="1" s="164">
      <c r="B18" s="189" t="inlineStr">
        <is>
          <t>Строительный контроль</t>
        </is>
      </c>
      <c r="C18" s="189" t="inlineStr">
        <is>
          <t>Постановление Правительства РФ от 21.06.10 г. № 468</t>
        </is>
      </c>
      <c r="D18" s="122" t="n">
        <v>0.0214</v>
      </c>
    </row>
    <row r="19" ht="31.5" customHeight="1" s="164">
      <c r="B19" s="189" t="inlineStr">
        <is>
          <t>Авторский надзор - 0,2%</t>
        </is>
      </c>
      <c r="C19" s="189" t="inlineStr">
        <is>
          <t>Приказ от 4.08.2020 № 421/пр п.173</t>
        </is>
      </c>
      <c r="D19" s="122" t="n">
        <v>0.002</v>
      </c>
    </row>
    <row r="20" ht="24" customHeight="1" s="164">
      <c r="B20" s="189" t="inlineStr">
        <is>
          <t>Непредвиденные расходы</t>
        </is>
      </c>
      <c r="C20" s="189" t="inlineStr">
        <is>
          <t>Приказ от 4.08.2020 № 421/пр п.179</t>
        </is>
      </c>
      <c r="D20" s="122" t="n">
        <v>0.03</v>
      </c>
    </row>
    <row r="21" ht="18.75" customHeight="1" s="164">
      <c r="B21" s="123" t="n"/>
    </row>
    <row r="22" ht="18.75" customHeight="1" s="164">
      <c r="B22" s="123" t="n"/>
    </row>
    <row r="23" ht="18.75" customHeight="1" s="164">
      <c r="B23" s="123" t="n"/>
    </row>
    <row r="24" ht="18.75" customHeight="1" s="164">
      <c r="B24" s="123" t="n"/>
    </row>
    <row r="27">
      <c r="B27" s="152" t="inlineStr">
        <is>
          <t>Составил ______________________        Р.Р. Шагеева</t>
        </is>
      </c>
      <c r="C27" s="162" t="n"/>
    </row>
    <row r="28">
      <c r="B28" s="161" t="inlineStr">
        <is>
          <t xml:space="preserve">                         (подпись, инициалы, фамилия)</t>
        </is>
      </c>
      <c r="C28" s="162" t="n"/>
    </row>
    <row r="29">
      <c r="B29" s="152" t="n"/>
      <c r="C29" s="162" t="n"/>
    </row>
    <row r="30">
      <c r="B30" s="152" t="inlineStr">
        <is>
          <t>Проверил ______________________        А.В. Костянецкая</t>
        </is>
      </c>
      <c r="C30" s="162" t="n"/>
    </row>
    <row r="31">
      <c r="B31" s="161" t="inlineStr">
        <is>
          <t xml:space="preserve">                        (подпись, инициалы, фамилия)</t>
        </is>
      </c>
      <c r="C31" s="16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F13"/>
  <sheetViews>
    <sheetView view="pageBreakPreview" zoomScale="60" zoomScaleNormal="100" workbookViewId="0">
      <selection activeCell="J20" sqref="J20"/>
    </sheetView>
  </sheetViews>
  <sheetFormatPr baseColWidth="8" defaultColWidth="9.140625" defaultRowHeight="15"/>
  <cols>
    <col width="9.140625" customWidth="1" style="164" min="1" max="1"/>
    <col width="44.85546875" customWidth="1" style="164" min="2" max="2"/>
    <col width="13" customWidth="1" style="164" min="3" max="3"/>
    <col width="22.85546875" customWidth="1" style="164" min="4" max="4"/>
    <col width="21.5703125" customWidth="1" style="164" min="5" max="5"/>
    <col width="43.85546875" customWidth="1" style="164" min="6" max="6"/>
  </cols>
  <sheetData>
    <row r="1" s="164"/>
    <row r="2" ht="17.25" customHeight="1" s="164">
      <c r="A2" s="185" t="inlineStr">
        <is>
          <t>Расчет размера средств на оплату труда рабочих-строителей в текущем уровне цен (ФОТр.тек.)</t>
        </is>
      </c>
    </row>
    <row r="3" s="164"/>
    <row r="4" ht="18" customHeight="1" s="164">
      <c r="A4" s="165" t="inlineStr">
        <is>
          <t>Составлен в уровне цен на 01.01.2023 г.</t>
        </is>
      </c>
      <c r="B4" s="166" t="n"/>
      <c r="C4" s="166" t="n"/>
      <c r="D4" s="166" t="n"/>
      <c r="E4" s="166" t="n"/>
      <c r="F4" s="166" t="n"/>
    </row>
    <row r="5" ht="15.75" customHeight="1" s="164">
      <c r="A5" s="167" t="inlineStr">
        <is>
          <t>№ пп.</t>
        </is>
      </c>
      <c r="B5" s="167" t="inlineStr">
        <is>
          <t>Наименование элемента</t>
        </is>
      </c>
      <c r="C5" s="167" t="inlineStr">
        <is>
          <t>Обозначение</t>
        </is>
      </c>
      <c r="D5" s="167" t="inlineStr">
        <is>
          <t>Формула</t>
        </is>
      </c>
      <c r="E5" s="167" t="inlineStr">
        <is>
          <t>Величина элемента</t>
        </is>
      </c>
      <c r="F5" s="167" t="inlineStr">
        <is>
          <t>Наименования обосновывающих документов</t>
        </is>
      </c>
    </row>
    <row r="6" ht="15.75" customHeight="1" s="164">
      <c r="A6" s="167" t="n">
        <v>1</v>
      </c>
      <c r="B6" s="167" t="n">
        <v>2</v>
      </c>
      <c r="C6" s="167" t="n">
        <v>3</v>
      </c>
      <c r="D6" s="167" t="n">
        <v>4</v>
      </c>
      <c r="E6" s="167" t="n">
        <v>5</v>
      </c>
      <c r="F6" s="167" t="n">
        <v>6</v>
      </c>
    </row>
    <row r="7" ht="110.25" customHeight="1" s="164">
      <c r="A7" s="168" t="inlineStr">
        <is>
          <t>1.1</t>
        </is>
      </c>
      <c r="B7" s="17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89" t="inlineStr">
        <is>
          <t>С1ср</t>
        </is>
      </c>
      <c r="D7" s="189" t="inlineStr">
        <is>
          <t>-</t>
        </is>
      </c>
      <c r="E7" s="169" t="n">
        <v>47872.94</v>
      </c>
      <c r="F7" s="17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8" ht="31.5" customHeight="1" s="164">
      <c r="A8" s="168" t="inlineStr">
        <is>
          <t>1.2</t>
        </is>
      </c>
      <c r="B8" s="171" t="inlineStr">
        <is>
          <t>Среднегодовое нормативное число часов работы одного рабочего в месяц, часы (ч.)</t>
        </is>
      </c>
      <c r="C8" s="189" t="inlineStr">
        <is>
          <t>tср</t>
        </is>
      </c>
      <c r="D8" s="189" t="inlineStr">
        <is>
          <t>1973ч/12мес.</t>
        </is>
      </c>
      <c r="E8" s="170">
        <f>1973/12</f>
        <v/>
      </c>
      <c r="F8" s="171" t="inlineStr">
        <is>
          <t>Производственный календарь 2023 год
(40-часов.неделя)</t>
        </is>
      </c>
    </row>
    <row r="9" ht="15.75" customHeight="1" s="164">
      <c r="A9" s="168" t="inlineStr">
        <is>
          <t>1.3</t>
        </is>
      </c>
      <c r="B9" s="171" t="inlineStr">
        <is>
          <t>Коэффициент увеличения</t>
        </is>
      </c>
      <c r="C9" s="189" t="inlineStr">
        <is>
          <t>Кув</t>
        </is>
      </c>
      <c r="D9" s="189" t="inlineStr">
        <is>
          <t>-</t>
        </is>
      </c>
      <c r="E9" s="170" t="n">
        <v>1</v>
      </c>
      <c r="F9" s="171" t="n"/>
    </row>
    <row r="10" ht="15.75" customHeight="1" s="164">
      <c r="A10" s="168" t="inlineStr">
        <is>
          <t>1.4</t>
        </is>
      </c>
      <c r="B10" s="171" t="inlineStr">
        <is>
          <t>Средний разряд работ</t>
        </is>
      </c>
      <c r="C10" s="189" t="n"/>
      <c r="D10" s="189" t="n"/>
      <c r="E10" s="172" t="n">
        <v>3.3</v>
      </c>
      <c r="F10" s="171" t="inlineStr">
        <is>
          <t>РТМ</t>
        </is>
      </c>
    </row>
    <row r="11" ht="78.75" customHeight="1" s="164">
      <c r="A11" s="168" t="inlineStr">
        <is>
          <t>1.5</t>
        </is>
      </c>
      <c r="B11" s="171" t="inlineStr">
        <is>
          <t>Тарифный коэффициент среднего разряда работ</t>
        </is>
      </c>
      <c r="C11" s="189" t="inlineStr">
        <is>
          <t>КТ</t>
        </is>
      </c>
      <c r="D11" s="189" t="inlineStr">
        <is>
          <t>-</t>
        </is>
      </c>
      <c r="E11" s="173" t="n">
        <v>1.232</v>
      </c>
      <c r="F11" s="17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8.75" customHeight="1" s="164">
      <c r="A12" s="168" t="inlineStr">
        <is>
          <t>1.6</t>
        </is>
      </c>
      <c r="B12" s="174" t="inlineStr">
        <is>
          <t>Коэффициент инфляции, определяемый поквартально</t>
        </is>
      </c>
      <c r="C12" s="189" t="inlineStr">
        <is>
          <t>Кинф</t>
        </is>
      </c>
      <c r="D12" s="189" t="inlineStr">
        <is>
          <t>-</t>
        </is>
      </c>
      <c r="E12" s="235" t="n">
        <v>1.139</v>
      </c>
      <c r="F12" s="17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13" ht="63" customHeight="1" s="164">
      <c r="A13" s="177" t="inlineStr">
        <is>
          <t>1.7</t>
        </is>
      </c>
      <c r="B13" s="178" t="inlineStr">
        <is>
          <t>Размер средств на оплату труда рабочих-строителей в текущем уровне цен (ФОТр.тек.), руб/чел.-ч</t>
        </is>
      </c>
      <c r="C13" s="179" t="inlineStr">
        <is>
          <t>ФОТр.тек.</t>
        </is>
      </c>
      <c r="D13" s="179" t="inlineStr">
        <is>
          <t>(С1ср/tср*КТ*Т*Кув)*Кинф</t>
        </is>
      </c>
      <c r="E13" s="180">
        <f>((E7*E9/E8)*E11)*E12</f>
        <v/>
      </c>
      <c r="F13" s="18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A12" display="https://economy.gov.ru/material/directions/makroec/prognozy_socialno_ekonomicheskogo_razvitiya/prognoz_socialno_ekonomicheskogo_razvitiya_rf_na_period_do_2024_goda_.html" r:id="rId1"/>
  </hyperlinks>
  <pageMargins left="0.7" right="0.7" top="0.75" bottom="0.75" header="0.3" footer="0.3"/>
  <pageSetup orientation="portrait" scale="54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2023-05-17T16:22:43Z</dcterms:created>
  <dcterms:modified xsi:type="dcterms:W3CDTF">2025-01-24T12:02:30Z</dcterms:modified>
  <cp:lastModifiedBy>User1</cp:lastModifiedBy>
  <cp:lastPrinted>2023-12-19T11:32:27Z</cp:lastPrinted>
</cp:coreProperties>
</file>