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13_ncr:1_{76EA29EF-4288-4145-AFD0-F0ECEF6CD334}" xr6:coauthVersionLast="40" xr6:coauthVersionMax="40" xr10:uidLastSave="{00000000-0000-0000-0000-000000000000}"/>
  <bookViews>
    <workbookView xWindow="0" yWindow="0" windowWidth="28800" windowHeight="12720" activeTab="2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 10" sheetId="8" r:id="rId8"/>
    <sheet name="ФОТр.тек." sheetId="9" r:id="rId9"/>
  </sheets>
  <calcPr calcId="191029"/>
</workbook>
</file>

<file path=xl/calcChain.xml><?xml version="1.0" encoding="utf-8"?>
<calcChain xmlns="http://schemas.openxmlformats.org/spreadsheetml/2006/main">
  <c r="I22" i="5" l="1"/>
  <c r="J22" i="5" s="1"/>
  <c r="I21" i="5"/>
  <c r="J21" i="5" s="1"/>
  <c r="I23" i="5"/>
  <c r="I20" i="5"/>
  <c r="I25" i="5"/>
  <c r="I24" i="5"/>
  <c r="J24" i="5" s="1"/>
  <c r="E8" i="9"/>
  <c r="E13" i="9" s="1"/>
  <c r="I14" i="5" s="1"/>
  <c r="D5" i="7"/>
  <c r="C11" i="7" s="1"/>
  <c r="G14" i="6"/>
  <c r="G13" i="6"/>
  <c r="F59" i="5"/>
  <c r="I59" i="5" s="1"/>
  <c r="J59" i="5" s="1"/>
  <c r="E59" i="5"/>
  <c r="G59" i="5" s="1"/>
  <c r="D59" i="5"/>
  <c r="C59" i="5"/>
  <c r="B59" i="5"/>
  <c r="F58" i="5"/>
  <c r="I58" i="5" s="1"/>
  <c r="J58" i="5" s="1"/>
  <c r="E58" i="5"/>
  <c r="D58" i="5"/>
  <c r="C58" i="5"/>
  <c r="B58" i="5"/>
  <c r="G57" i="5"/>
  <c r="F57" i="5"/>
  <c r="I57" i="5" s="1"/>
  <c r="J57" i="5" s="1"/>
  <c r="E57" i="5"/>
  <c r="D57" i="5"/>
  <c r="C57" i="5"/>
  <c r="B57" i="5"/>
  <c r="I56" i="5"/>
  <c r="J56" i="5" s="1"/>
  <c r="F56" i="5"/>
  <c r="E56" i="5"/>
  <c r="G56" i="5" s="1"/>
  <c r="D56" i="5"/>
  <c r="C56" i="5"/>
  <c r="B56" i="5"/>
  <c r="I55" i="5"/>
  <c r="J55" i="5" s="1"/>
  <c r="F55" i="5"/>
  <c r="E55" i="5"/>
  <c r="G55" i="5" s="1"/>
  <c r="D55" i="5"/>
  <c r="C55" i="5"/>
  <c r="B55" i="5"/>
  <c r="G54" i="5"/>
  <c r="F54" i="5"/>
  <c r="I54" i="5" s="1"/>
  <c r="J54" i="5" s="1"/>
  <c r="E54" i="5"/>
  <c r="D54" i="5"/>
  <c r="C54" i="5"/>
  <c r="B54" i="5"/>
  <c r="G53" i="5"/>
  <c r="F53" i="5"/>
  <c r="I53" i="5" s="1"/>
  <c r="J53" i="5" s="1"/>
  <c r="E53" i="5"/>
  <c r="D53" i="5"/>
  <c r="C53" i="5"/>
  <c r="B53" i="5"/>
  <c r="I52" i="5"/>
  <c r="J52" i="5" s="1"/>
  <c r="F52" i="5"/>
  <c r="E52" i="5"/>
  <c r="G52" i="5" s="1"/>
  <c r="D52" i="5"/>
  <c r="C52" i="5"/>
  <c r="B52" i="5"/>
  <c r="F51" i="5"/>
  <c r="I51" i="5" s="1"/>
  <c r="J51" i="5" s="1"/>
  <c r="E51" i="5"/>
  <c r="G51" i="5" s="1"/>
  <c r="D51" i="5"/>
  <c r="C51" i="5"/>
  <c r="B51" i="5"/>
  <c r="F50" i="5"/>
  <c r="I50" i="5" s="1"/>
  <c r="J50" i="5" s="1"/>
  <c r="J60" i="5" s="1"/>
  <c r="C17" i="4" s="1"/>
  <c r="E50" i="5"/>
  <c r="D50" i="5"/>
  <c r="C50" i="5"/>
  <c r="B50" i="5"/>
  <c r="G48" i="5"/>
  <c r="F48" i="5"/>
  <c r="I48" i="5" s="1"/>
  <c r="J48" i="5" s="1"/>
  <c r="E48" i="5"/>
  <c r="D48" i="5"/>
  <c r="C48" i="5"/>
  <c r="B48" i="5"/>
  <c r="I47" i="5"/>
  <c r="F47" i="5"/>
  <c r="E47" i="5"/>
  <c r="J47" i="5" s="1"/>
  <c r="J49" i="5" s="1"/>
  <c r="D47" i="5"/>
  <c r="C47" i="5"/>
  <c r="B47" i="5"/>
  <c r="I46" i="5"/>
  <c r="J46" i="5" s="1"/>
  <c r="F46" i="5"/>
  <c r="E46" i="5"/>
  <c r="G46" i="5" s="1"/>
  <c r="D46" i="5"/>
  <c r="C46" i="5"/>
  <c r="B46" i="5"/>
  <c r="J43" i="5"/>
  <c r="G43" i="5"/>
  <c r="J42" i="5"/>
  <c r="G42" i="5"/>
  <c r="F35" i="5"/>
  <c r="I35" i="5" s="1"/>
  <c r="J35" i="5" s="1"/>
  <c r="E35" i="5"/>
  <c r="D35" i="5"/>
  <c r="C35" i="5"/>
  <c r="B35" i="5"/>
  <c r="G34" i="5"/>
  <c r="F34" i="5"/>
  <c r="I34" i="5" s="1"/>
  <c r="J34" i="5" s="1"/>
  <c r="E34" i="5"/>
  <c r="D34" i="5"/>
  <c r="C34" i="5"/>
  <c r="B34" i="5"/>
  <c r="I33" i="5"/>
  <c r="J33" i="5" s="1"/>
  <c r="F33" i="5"/>
  <c r="E33" i="5"/>
  <c r="G33" i="5" s="1"/>
  <c r="D33" i="5"/>
  <c r="C33" i="5"/>
  <c r="B33" i="5"/>
  <c r="I32" i="5"/>
  <c r="J32" i="5" s="1"/>
  <c r="F32" i="5"/>
  <c r="E32" i="5"/>
  <c r="G32" i="5" s="1"/>
  <c r="D32" i="5"/>
  <c r="C32" i="5"/>
  <c r="B32" i="5"/>
  <c r="F31" i="5"/>
  <c r="I31" i="5" s="1"/>
  <c r="J31" i="5" s="1"/>
  <c r="E31" i="5"/>
  <c r="D31" i="5"/>
  <c r="C31" i="5"/>
  <c r="B31" i="5"/>
  <c r="I30" i="5"/>
  <c r="J30" i="5" s="1"/>
  <c r="G30" i="5"/>
  <c r="F30" i="5"/>
  <c r="E30" i="5"/>
  <c r="D30" i="5"/>
  <c r="C30" i="5"/>
  <c r="B30" i="5"/>
  <c r="I29" i="5"/>
  <c r="J29" i="5" s="1"/>
  <c r="F29" i="5"/>
  <c r="E29" i="5"/>
  <c r="G29" i="5" s="1"/>
  <c r="D29" i="5"/>
  <c r="C29" i="5"/>
  <c r="B29" i="5"/>
  <c r="I28" i="5"/>
  <c r="J28" i="5" s="1"/>
  <c r="F28" i="5"/>
  <c r="E28" i="5"/>
  <c r="G28" i="5" s="1"/>
  <c r="D28" i="5"/>
  <c r="C28" i="5"/>
  <c r="B28" i="5"/>
  <c r="F27" i="5"/>
  <c r="I27" i="5" s="1"/>
  <c r="J27" i="5" s="1"/>
  <c r="E27" i="5"/>
  <c r="D27" i="5"/>
  <c r="C27" i="5"/>
  <c r="B27" i="5"/>
  <c r="F25" i="5"/>
  <c r="E25" i="5"/>
  <c r="D25" i="5"/>
  <c r="C25" i="5"/>
  <c r="B25" i="5"/>
  <c r="G24" i="5"/>
  <c r="F24" i="5"/>
  <c r="E24" i="5"/>
  <c r="D24" i="5"/>
  <c r="C24" i="5"/>
  <c r="B24" i="5"/>
  <c r="J23" i="5"/>
  <c r="F23" i="5"/>
  <c r="E23" i="5"/>
  <c r="G23" i="5" s="1"/>
  <c r="D23" i="5"/>
  <c r="C23" i="5"/>
  <c r="B23" i="5"/>
  <c r="F22" i="5"/>
  <c r="E22" i="5"/>
  <c r="G22" i="5" s="1"/>
  <c r="D22" i="5"/>
  <c r="C22" i="5"/>
  <c r="B22" i="5"/>
  <c r="F21" i="5"/>
  <c r="E21" i="5"/>
  <c r="D21" i="5"/>
  <c r="C21" i="5"/>
  <c r="B21" i="5"/>
  <c r="G20" i="5"/>
  <c r="F20" i="5"/>
  <c r="E20" i="5"/>
  <c r="D20" i="5"/>
  <c r="C20" i="5"/>
  <c r="B20" i="5"/>
  <c r="G17" i="5"/>
  <c r="E17" i="5"/>
  <c r="C25" i="4"/>
  <c r="C26" i="4" s="1"/>
  <c r="H51" i="3"/>
  <c r="H50" i="3"/>
  <c r="H49" i="3"/>
  <c r="H48" i="3"/>
  <c r="H47" i="3"/>
  <c r="H46" i="3"/>
  <c r="H45" i="3"/>
  <c r="H44" i="3"/>
  <c r="H43" i="3"/>
  <c r="H42" i="3"/>
  <c r="H41" i="3"/>
  <c r="H40" i="3"/>
  <c r="H38" i="3" s="1"/>
  <c r="H39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2" i="3" s="1"/>
  <c r="H23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J21" i="3" s="1"/>
  <c r="J23" i="3" s="1"/>
  <c r="H12" i="3"/>
  <c r="J11" i="3"/>
  <c r="H11" i="3"/>
  <c r="H10" i="3"/>
  <c r="G14" i="5" s="1"/>
  <c r="F22" i="2"/>
  <c r="F23" i="2" s="1"/>
  <c r="J23" i="2" s="1"/>
  <c r="F21" i="2"/>
  <c r="F20" i="2"/>
  <c r="F13" i="2"/>
  <c r="F14" i="2" s="1"/>
  <c r="J12" i="2"/>
  <c r="F12" i="2"/>
  <c r="E21" i="1"/>
  <c r="E17" i="1" s="1"/>
  <c r="E23" i="1" s="1"/>
  <c r="E24" i="1" s="1"/>
  <c r="D21" i="1"/>
  <c r="E18" i="1"/>
  <c r="D18" i="1"/>
  <c r="D17" i="1"/>
  <c r="D23" i="1" s="1"/>
  <c r="D24" i="1" s="1"/>
  <c r="G47" i="5" l="1"/>
  <c r="G49" i="5" s="1"/>
  <c r="J25" i="5"/>
  <c r="J20" i="5"/>
  <c r="J26" i="5" s="1"/>
  <c r="C12" i="4" s="1"/>
  <c r="G15" i="5"/>
  <c r="H14" i="5" s="1"/>
  <c r="E14" i="5"/>
  <c r="E15" i="5" s="1"/>
  <c r="J36" i="5"/>
  <c r="J14" i="2"/>
  <c r="F15" i="2"/>
  <c r="J15" i="2" s="1"/>
  <c r="J14" i="5"/>
  <c r="J15" i="5" s="1"/>
  <c r="J13" i="2"/>
  <c r="J22" i="2"/>
  <c r="G25" i="5"/>
  <c r="G31" i="5"/>
  <c r="F17" i="5"/>
  <c r="I17" i="5" s="1"/>
  <c r="J17" i="5" s="1"/>
  <c r="C15" i="4" s="1"/>
  <c r="G21" i="5"/>
  <c r="G26" i="5" s="1"/>
  <c r="G50" i="5"/>
  <c r="G58" i="5"/>
  <c r="G27" i="5"/>
  <c r="G35" i="5"/>
  <c r="G61" i="5" l="1"/>
  <c r="C11" i="4"/>
  <c r="C16" i="4"/>
  <c r="J61" i="5"/>
  <c r="G36" i="5"/>
  <c r="G60" i="5"/>
  <c r="D64" i="5"/>
  <c r="J37" i="5"/>
  <c r="C13" i="4"/>
  <c r="D63" i="5"/>
  <c r="J62" i="5" l="1"/>
  <c r="H60" i="5"/>
  <c r="H53" i="5"/>
  <c r="H55" i="5"/>
  <c r="H52" i="5"/>
  <c r="H59" i="5"/>
  <c r="H54" i="5"/>
  <c r="H46" i="5"/>
  <c r="H56" i="5"/>
  <c r="H47" i="5"/>
  <c r="H57" i="5"/>
  <c r="H48" i="5"/>
  <c r="H51" i="5"/>
  <c r="C14" i="4"/>
  <c r="G37" i="5"/>
  <c r="H49" i="5"/>
  <c r="H58" i="5"/>
  <c r="H50" i="5"/>
  <c r="J64" i="5"/>
  <c r="C21" i="4"/>
  <c r="C20" i="4" s="1"/>
  <c r="C18" i="4"/>
  <c r="C23" i="4"/>
  <c r="C22" i="4" s="1"/>
  <c r="J63" i="5"/>
  <c r="J65" i="5" s="1"/>
  <c r="J66" i="5" s="1"/>
  <c r="J67" i="5" s="1"/>
  <c r="H23" i="5" l="1"/>
  <c r="H33" i="5"/>
  <c r="H34" i="5"/>
  <c r="H24" i="5"/>
  <c r="H28" i="5"/>
  <c r="H22" i="5"/>
  <c r="H32" i="5"/>
  <c r="H20" i="5"/>
  <c r="H29" i="5"/>
  <c r="H30" i="5"/>
  <c r="H26" i="5"/>
  <c r="G65" i="5"/>
  <c r="G66" i="5" s="1"/>
  <c r="G67" i="5" s="1"/>
  <c r="H31" i="5"/>
  <c r="H25" i="5"/>
  <c r="H21" i="5"/>
  <c r="H35" i="5"/>
  <c r="H27" i="5"/>
  <c r="G62" i="5"/>
  <c r="C19" i="4"/>
  <c r="C24" i="4" s="1"/>
  <c r="D14" i="4" s="1"/>
  <c r="H36" i="5"/>
  <c r="D22" i="4" l="1"/>
  <c r="D20" i="4"/>
  <c r="D18" i="4"/>
  <c r="C27" i="4"/>
  <c r="C29" i="4"/>
  <c r="C30" i="4" s="1"/>
  <c r="D24" i="4"/>
  <c r="D12" i="4"/>
  <c r="D17" i="4"/>
  <c r="D15" i="4"/>
  <c r="D11" i="4"/>
  <c r="D16" i="4"/>
  <c r="D13" i="4"/>
  <c r="C32" i="4" l="1"/>
  <c r="C35" i="4"/>
  <c r="C34" i="4"/>
  <c r="C33" i="4"/>
  <c r="C37" i="4" l="1"/>
  <c r="C36" i="4"/>
  <c r="C38" i="4" l="1"/>
  <c r="C39" i="4" l="1"/>
  <c r="C40" i="4" l="1"/>
  <c r="E39" i="4"/>
  <c r="E31" i="4" l="1"/>
  <c r="E40" i="4"/>
  <c r="C41" i="4"/>
  <c r="D11" i="7" s="1"/>
  <c r="E17" i="4"/>
  <c r="E12" i="4"/>
  <c r="E25" i="4"/>
  <c r="E26" i="4"/>
  <c r="E15" i="4"/>
  <c r="E11" i="4"/>
  <c r="E16" i="4"/>
  <c r="E13" i="4"/>
  <c r="E14" i="4"/>
  <c r="E18" i="4"/>
  <c r="E20" i="4"/>
  <c r="E22" i="4"/>
  <c r="E24" i="4"/>
  <c r="E30" i="4"/>
  <c r="E27" i="4"/>
  <c r="E29" i="4"/>
  <c r="E35" i="4"/>
  <c r="E34" i="4"/>
  <c r="E33" i="4"/>
  <c r="E32" i="4"/>
  <c r="E36" i="4"/>
  <c r="E37" i="4"/>
  <c r="E38" i="4"/>
</calcChain>
</file>

<file path=xl/sharedStrings.xml><?xml version="1.0" encoding="utf-8"?>
<sst xmlns="http://schemas.openxmlformats.org/spreadsheetml/2006/main" count="426" uniqueCount="315">
  <si>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</si>
  <si>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</si>
  <si>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  Устройство порталов и ошиновки ОРУ 500 кВ</t>
  </si>
  <si>
    <t>Сопоставимый уровень цен: 4 кв. 2018г</t>
  </si>
  <si>
    <t>Единица измерения  — 1 ед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</si>
  <si>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</si>
  <si>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</si>
  <si>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</si>
  <si>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</si>
  <si>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</si>
  <si>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</si>
  <si>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ПС 500 кВ Преображенская с заходами ВЛ 500 кВ Красноармейская - Газовая и ВЛ 220 кВ Бузулская - Сорочинская</t>
  </si>
  <si>
    <t>СТРОИТЕЛЬСТВО ПС 500 кВ БЕЛОБЕРЕЖСКАЯ С
ЗАХОДАМИ ВЛ 500 кВ НОВОБРЯНСКАЯ – ЕЛЕЦКАЯ,
СТРОИТЕЛЬСТВО ВЛ 220 кВ БЕЛОБЕРЕЖСКАЯ –
ЦЕМЕНТНАЯ, ВЛ 220 кВ БЕЛОБЕРЕЖСКАЯ – МАШЗАВОД,
ВЛ 220 кВ БЕЛОБЕРЕЖСКАЯ – БРЯНСКАЯ.
КОРРЕКТИРОВКА</t>
  </si>
  <si>
    <t>Наименование субъекта Российской Федерации</t>
  </si>
  <si>
    <t>Оренбурская область</t>
  </si>
  <si>
    <t>Брянская область</t>
  </si>
  <si>
    <t>Климатический район и подрайон</t>
  </si>
  <si>
    <t>IIIA</t>
  </si>
  <si>
    <t>IIВ</t>
  </si>
  <si>
    <t>Мощность объекта</t>
  </si>
  <si>
    <t>12 шт</t>
  </si>
  <si>
    <t>4 шт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</si>
  <si>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</si>
  <si>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ПС-500-Я1
ПС-500-Я2 
ПС-500-Ш1
Грибовидный фундамент</t>
  </si>
  <si>
    <t>ПС-500Я-А 
ПС-500-Л6
Грибовидный фундамент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</si>
  <si>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</si>
  <si>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</si>
  <si>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</si>
  <si>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</si>
  <si>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</si>
  <si>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</si>
  <si>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</si>
  <si>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</si>
  <si>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</si>
  <si>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</si>
  <si>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 2018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</si>
  <si>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</si>
  <si>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</si>
  <si>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</si>
  <si>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ед.</t>
  </si>
  <si>
    <t>Составил ______________________        Р.Р. Шагеева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</si>
  <si>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</si>
  <si>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</si>
  <si>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</si>
  <si>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</si>
  <si>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</si>
  <si>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Единица измерения  — 1 ед.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</si>
  <si>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</si>
  <si>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</si>
  <si>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</si>
  <si>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</si>
  <si>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</si>
  <si>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</si>
  <si>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</si>
  <si>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</si>
  <si>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</si>
  <si>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Порталы.</t>
  </si>
  <si>
    <t>02-07-01-2-4</t>
  </si>
  <si>
    <t xml:space="preserve">ОРУ 500кВ.Порталы и опоры под оборудование.Архитектурно-строительные решения.4 этап. </t>
  </si>
  <si>
    <t>Фундаменты под порталы</t>
  </si>
  <si>
    <t>02-07-01-1-4</t>
  </si>
  <si>
    <t xml:space="preserve">ОРУ 500кВ.Фундаменты.Архитектурно-строительные решения </t>
  </si>
  <si>
    <t>Всего по объекту:</t>
  </si>
  <si>
    <t>Всего по объекту в сопоставимом уровне цен 4 кв. 2016 г.:</t>
  </si>
  <si>
    <t>Сметная стоимость в уровне цен 4 кв.2018 г., тыс. руб.</t>
  </si>
  <si>
    <t>02-01-02</t>
  </si>
  <si>
    <t>ОРУ 500кВ. Строительные работы ОРУ 500кВ.Строительные работы</t>
  </si>
  <si>
    <t>Всего по объекту в сопоставимом уровне цен 4 кв. 2018 г.:</t>
  </si>
  <si>
    <t xml:space="preserve">Приложение № 3 </t>
  </si>
  <si>
    <t>Объектная ресурсная ведомость</t>
  </si>
  <si>
    <t>Наименование разрабатываемого показателя УНЦ -  Устройство порталов и ошиновки ОРУ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</si>
  <si>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</si>
  <si>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</si>
  <si>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</si>
  <si>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</si>
  <si>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</si>
  <si>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</si>
  <si>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</si>
  <si>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</si>
  <si>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</si>
  <si>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</si>
  <si>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</si>
  <si>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</si>
  <si>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</si>
  <si>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</si>
  <si>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1-4-3</t>
  </si>
  <si>
    <t>Затраты труда рабочих (ср 4,3)</t>
  </si>
  <si>
    <t>1-3-0</t>
  </si>
  <si>
    <t>Затраты труда рабочих (ср 3,0)</t>
  </si>
  <si>
    <t>1-1-5</t>
  </si>
  <si>
    <t>Затраты труда рабочих (ср 1,5)</t>
  </si>
  <si>
    <t>1-4-2</t>
  </si>
  <si>
    <t>Затраты труда рабочих (ср 4,2)</t>
  </si>
  <si>
    <t>1-2-8</t>
  </si>
  <si>
    <t>Затраты труда рабочих (ср 2,8)</t>
  </si>
  <si>
    <t>1-3-5</t>
  </si>
  <si>
    <t>Затраты труда рабочих (ср 3,5)</t>
  </si>
  <si>
    <t>1-2-2</t>
  </si>
  <si>
    <t>Затраты труда рабочих (ср 2,2)</t>
  </si>
  <si>
    <t>1-4-1</t>
  </si>
  <si>
    <t>Затраты труда рабочих (ср 4,1)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</si>
  <si>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</si>
  <si>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</si>
  <si>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</si>
  <si>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</si>
  <si>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маш.-ч.</t>
  </si>
  <si>
    <t>91.14.03-002</t>
  </si>
  <si>
    <t>Автомобили-самосвалы, грузоподъемность до 10 т</t>
  </si>
  <si>
    <t>91.05.05-015</t>
  </si>
  <si>
    <t>Краны на автомобильном ходу, грузоподъемность 16 т</t>
  </si>
  <si>
    <t>91.01.05-086</t>
  </si>
  <si>
    <t>Экскаваторы одноковшовые дизельные на гусеничном ходу, емкость ковша 0,65 м3</t>
  </si>
  <si>
    <t>91.05.08-007</t>
  </si>
  <si>
    <t>Краны на пневмоколесном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</si>
  <si>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</si>
  <si>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</si>
  <si>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91.06.06-014</t>
  </si>
  <si>
    <t>Автогидроподъемники, высота подъема 28 м</t>
  </si>
  <si>
    <t>91.14.02-001</t>
  </si>
  <si>
    <t>Автомобили бортовые, грузоподъемность до 5 т</t>
  </si>
  <si>
    <t>91.01.01-036</t>
  </si>
  <si>
    <t>Бульдозеры, мощность 96 кВт (130 л.с.)</t>
  </si>
  <si>
    <t>91.17.04-036</t>
  </si>
  <si>
    <t>Агрегаты сварочные передвижные с дизельным двигателем, номинальный сварочный ток 250-400 А</t>
  </si>
  <si>
    <t>91.06.05-011</t>
  </si>
  <si>
    <t>Погрузчики, грузоподъемность 5 т</t>
  </si>
  <si>
    <t>91.14.02-002</t>
  </si>
  <si>
    <t>Автомобили бортовые, грузоподъемность до 8 т</t>
  </si>
  <si>
    <t>91.06.05-057</t>
  </si>
  <si>
    <t>Погрузчики одноковшовые универсальные фронтальные пневмоколесные, грузоподъемность 3 т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</si>
  <si>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</si>
  <si>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</si>
  <si>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</si>
  <si>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</si>
  <si>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Материалы</t>
  </si>
  <si>
    <t>22.2.02.07-0003</t>
  </si>
  <si>
    <t>Конструкции стальные порталов ОРУ</t>
  </si>
  <si>
    <t>т</t>
  </si>
  <si>
    <t>02.2.04.03-0003</t>
  </si>
  <si>
    <t>Смесь песчано-гравийная природная</t>
  </si>
  <si>
    <t>м3</t>
  </si>
  <si>
    <t>05.1.05.16-0221</t>
  </si>
  <si>
    <t>Фундаменты сборные железобетонные ВЛ и ОРУ</t>
  </si>
  <si>
    <t>10.1.02.03-0001</t>
  </si>
  <si>
    <t>Проволока алюминиевая, марка АМЦ, диаметр 1,4-1,8 мм</t>
  </si>
  <si>
    <t>08.1.02.11-0015</t>
  </si>
  <si>
    <t>Поковки оцинкованные, масса 4,5 кг</t>
  </si>
  <si>
    <t>05.1.03.13-0183</t>
  </si>
  <si>
    <t>Ригели сборные железобетонные ВЛ и ОРУ</t>
  </si>
  <si>
    <t>02.2.05.04-1567</t>
  </si>
  <si>
    <t>Щебень М 400, фракция 5(3)-10 мм, группа 2</t>
  </si>
  <si>
    <t>01.7.15.03-0036</t>
  </si>
  <si>
    <t>Болты с гайками и шайбами оцинкованные, диаметр 24 мм</t>
  </si>
  <si>
    <t>кг</t>
  </si>
  <si>
    <t>605</t>
  </si>
  <si>
    <t>14.5.09.11-0102</t>
  </si>
  <si>
    <t>Уайт-спирит</t>
  </si>
  <si>
    <t>01.7.11.07-0032</t>
  </si>
  <si>
    <t>Электроды сварочные Э42, диаметр 4 мм</t>
  </si>
  <si>
    <t>07.2.07.12-0002</t>
  </si>
  <si>
    <t>Элементы конструктивные вспомогательного назначения массой не более 50 кг с преобладанием толстолистовой стали с отверстиями</t>
  </si>
  <si>
    <t>01.7.15.03-0035</t>
  </si>
  <si>
    <t>Болты с гайками и шайбами оцинкованные, диаметр 20 мм</t>
  </si>
  <si>
    <t>01.7.03.01-0001</t>
  </si>
  <si>
    <t>Вода</t>
  </si>
  <si>
    <t xml:space="preserve">Составил ______________________        Р.Р. Шагеева </t>
  </si>
  <si>
    <t>Приложение № 4</t>
  </si>
  <si>
    <t>Ресурсная модель</t>
  </si>
  <si>
    <t>Наименование разрабатываемого показателя УНЦ — Устройство порталов и ошиновки ОРУ 500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</si>
  <si>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</si>
  <si>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</si>
  <si>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</si>
  <si>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</si>
  <si>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</si>
  <si>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</si>
  <si>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</si>
  <si>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</si>
  <si>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</si>
  <si>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</si>
  <si>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</si>
  <si>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</si>
  <si>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</si>
  <si>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</si>
  <si>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</si>
  <si>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</si>
  <si>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</si>
  <si>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</si>
  <si>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</si>
  <si>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</si>
  <si>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</si>
  <si>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</si>
  <si>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</si>
  <si>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</si>
  <si>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</si>
  <si>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</si>
  <si>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</si>
  <si>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</si>
  <si>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</si>
  <si>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- 1,93%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</si>
  <si>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</si>
  <si>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</si>
  <si>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</si>
  <si>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</si>
  <si>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</si>
  <si>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</si>
  <si>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</si>
  <si>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</si>
  <si>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</si>
  <si>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</si>
  <si>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</si>
  <si>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Устройство порталов и ошиновки ОРУ 500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</si>
  <si>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</si>
  <si>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</si>
  <si>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</si>
  <si>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</si>
  <si>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</si>
  <si>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</si>
  <si>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</si>
  <si>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</si>
  <si>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</si>
  <si>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</si>
  <si>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</si>
  <si>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</si>
  <si>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</si>
  <si>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</si>
  <si>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</si>
  <si>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</si>
  <si>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</si>
  <si>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</si>
  <si>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</si>
  <si>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</si>
  <si>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</si>
  <si>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</si>
  <si>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</si>
  <si>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</si>
  <si>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</si>
  <si>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</si>
  <si>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</si>
  <si>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</si>
  <si>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Составил ______________________    Р.Р. Шагеева</t>
  </si>
  <si>
    <t>Приложение №6</t>
  </si>
  <si>
    <t>Расчет стоимости оборудования</t>
  </si>
  <si>
    <t>Наименование разрабатываемого показателя УНЦ — Устройство порталов и ошиновки ОРУ 330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</si>
  <si>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</si>
  <si>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</si>
  <si>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</si>
  <si>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</si>
  <si>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</si>
  <si>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</si>
  <si>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</si>
  <si>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</si>
  <si>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</si>
  <si>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</si>
  <si>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</si>
  <si>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</si>
  <si>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И5-10-4</t>
  </si>
  <si>
    <t xml:space="preserve">УНЦ элементов ПС 6-750 кВ с устройством фундаментов </t>
  </si>
  <si>
    <t>Составил ______________________      Р.Р. Шагеева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</si>
  <si>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</si>
  <si>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</si>
  <si>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</si>
  <si>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</si>
  <si>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</si>
  <si>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</si>
  <si>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</si>
  <si>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</si>
  <si>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</si>
  <si>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</si>
  <si>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</si>
  <si>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</si>
  <si>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</si>
  <si>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</si>
  <si>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</si>
  <si>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</si>
  <si>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</si>
  <si>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</si>
  <si>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</si>
  <si>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</si>
  <si>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>Расчет размера средств на оплату труда рабочих-строителей в текущем уровне цен (ФОТр.тек.)</t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</si>
  <si>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</si>
  <si>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</si>
  <si>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</si>
  <si>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</si>
  <si>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</si>
  <si>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</si>
  <si>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</si>
  <si>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</si>
  <si>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>С1ср</t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</si>
  <si>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</si>
  <si>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</si>
  <si>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</si>
  <si>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</si>
  <si>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>tср</t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</si>
  <si>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</si>
  <si>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</si>
  <si>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</si>
  <si>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</si>
  <si>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</si>
  <si>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</si>
  <si>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</si>
  <si>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</si>
  <si>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</si>
  <si>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</si>
  <si>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>КТ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</si>
  <si>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</si>
  <si>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</si>
  <si>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</si>
  <si>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>Кинф</t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</si>
  <si>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</si>
  <si>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</si>
  <si>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</si>
  <si>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t>Размер средств на оплату труда рабочих-строителей в текущем уровне цен (ФОТр.тек.), руб/чел.-ч</t>
  </si>
  <si>
    <t>ФОТр.тек.</t>
  </si>
  <si>
    <t>(С1ср/tср*КТ*Т*Кув)*Кинф</t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</si>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</sst>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4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u/>
      <sz val="12"/>
      <color rgb="FF0000FF"/>
      <name val="Times New Roman"/>
      <family val="1"/>
      <charset val="204"/>
    </font>
    <font>
      <b/>
      <sz val="9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top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/>
    <xf numFmtId="4" fontId="2" fillId="0" borderId="1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2" xfId="0" applyFont="1" applyBorder="1"/>
    <xf numFmtId="4" fontId="2" fillId="0" borderId="5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vertical="top" wrapText="1"/>
    </xf>
    <xf numFmtId="10" fontId="2" fillId="0" borderId="6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5" fillId="0" borderId="0" xfId="0" applyFont="1"/>
    <xf numFmtId="0" fontId="9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4" fontId="13" fillId="2" borderId="0" xfId="0" applyNumberFormat="1" applyFont="1" applyFill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4" fontId="4" fillId="0" borderId="9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5" xfId="0" applyBorder="1"/>
    <xf numFmtId="43" fontId="4" fillId="0" borderId="1" xfId="0" applyNumberFormat="1" applyFont="1" applyBorder="1" applyAlignment="1">
      <alignment vertical="center" wrapText="1"/>
    </xf>
    <xf numFmtId="43" fontId="0" fillId="0" borderId="0" xfId="0" applyNumberFormat="1"/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165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2"/>
  <sheetViews>
    <sheetView workbookViewId="0"/>
  </sheetViews>
  <sheetFormatPr defaultRowHeight="15" x14ac:dyDescent="0.25"/>
  <sheetData>
    <row r="3" spans="2:7" ht="15.75" x14ac:dyDescent="0.25">
      <c r="B3" s="70" t="s">
        <v>0</v>
      </c>
      <c r="F3" s="12"/>
    </row>
    <row r="4" spans="2:7" ht="15.75" x14ac:dyDescent="0.25">
      <c r="B4" s="72" t="s">
        <v>1</v>
      </c>
    </row>
    <row r="5" spans="2:7" ht="15.75" x14ac:dyDescent="0.25">
      <c r="B5" s="2"/>
      <c r="C5" s="2"/>
      <c r="D5" s="2"/>
      <c r="E5" s="2"/>
      <c r="F5" s="2"/>
    </row>
    <row r="6" spans="2:7" ht="15.75" x14ac:dyDescent="0.25">
      <c r="B6" s="2"/>
      <c r="C6" s="2"/>
      <c r="D6" s="2"/>
      <c r="E6" s="2"/>
      <c r="F6" s="2"/>
    </row>
    <row r="7" spans="2:7" ht="236.25" x14ac:dyDescent="0.25">
      <c r="B7" s="73" t="s">
        <v>2</v>
      </c>
      <c r="G7" s="11"/>
    </row>
    <row r="8" spans="2:7" ht="94.5" x14ac:dyDescent="0.25">
      <c r="B8" s="73" t="s">
        <v>3</v>
      </c>
    </row>
    <row r="9" spans="2:7" ht="78.75" x14ac:dyDescent="0.25">
      <c r="B9" s="73" t="s">
        <v>4</v>
      </c>
      <c r="G9" s="11"/>
    </row>
    <row r="10" spans="2:7" ht="15.75" x14ac:dyDescent="0.25">
      <c r="B10" s="73"/>
    </row>
    <row r="11" spans="2:7" ht="63" x14ac:dyDescent="0.25">
      <c r="B11" s="75" t="s">
        <v>5</v>
      </c>
      <c r="C11" s="75" t="s">
        <v>6</v>
      </c>
      <c r="D11" s="13" t="s">
        <v>7</v>
      </c>
      <c r="E11" s="13" t="s">
        <v>8</v>
      </c>
      <c r="F11" s="13" t="s">
        <v>9</v>
      </c>
      <c r="G11" s="11"/>
    </row>
    <row r="12" spans="2:7" ht="409.5" x14ac:dyDescent="0.25">
      <c r="B12" s="75">
        <v>1</v>
      </c>
      <c r="C12" s="13" t="s">
        <v>10</v>
      </c>
      <c r="D12" s="13" t="s">
        <v>11</v>
      </c>
      <c r="E12" s="13" t="s">
        <v>12</v>
      </c>
      <c r="F12" s="13"/>
    </row>
    <row r="13" spans="2:7" ht="126" x14ac:dyDescent="0.25">
      <c r="B13" s="75">
        <v>2</v>
      </c>
      <c r="C13" s="13" t="s">
        <v>13</v>
      </c>
      <c r="D13" s="13" t="s">
        <v>14</v>
      </c>
      <c r="E13" s="13" t="s">
        <v>15</v>
      </c>
      <c r="F13" s="13"/>
    </row>
    <row r="14" spans="2:7" ht="78.75" x14ac:dyDescent="0.25">
      <c r="B14" s="75">
        <v>3</v>
      </c>
      <c r="C14" s="13" t="s">
        <v>16</v>
      </c>
      <c r="D14" s="13" t="s">
        <v>17</v>
      </c>
      <c r="E14" s="13" t="s">
        <v>18</v>
      </c>
      <c r="F14" s="13"/>
    </row>
    <row r="15" spans="2:7" ht="47.25" x14ac:dyDescent="0.25">
      <c r="B15" s="75">
        <v>4</v>
      </c>
      <c r="C15" s="13" t="s">
        <v>19</v>
      </c>
      <c r="D15" s="13" t="s">
        <v>20</v>
      </c>
      <c r="E15" s="13" t="s">
        <v>21</v>
      </c>
      <c r="F15" s="13"/>
    </row>
    <row r="16" spans="2:7" ht="393.75" x14ac:dyDescent="0.25">
      <c r="B16" s="75">
        <v>5</v>
      </c>
      <c r="C16" s="43" t="s">
        <v>22</v>
      </c>
      <c r="D16" s="75" t="s">
        <v>23</v>
      </c>
      <c r="E16" s="75" t="s">
        <v>24</v>
      </c>
      <c r="F16" s="13"/>
    </row>
    <row r="17" spans="2:8" ht="378" x14ac:dyDescent="0.25">
      <c r="B17" s="75">
        <v>6</v>
      </c>
      <c r="C17" s="43" t="s">
        <v>25</v>
      </c>
      <c r="D17" s="48">
        <f>SUM(D18:D21)</f>
        <v>21634.148049277632</v>
      </c>
      <c r="E17" s="48">
        <f>SUM(E18:E21)</f>
        <v>15295.781657575999</v>
      </c>
      <c r="F17" s="75"/>
      <c r="G17" s="19"/>
    </row>
    <row r="18" spans="2:8" ht="78.75" x14ac:dyDescent="0.25">
      <c r="B18" s="1" t="s">
        <v>26</v>
      </c>
      <c r="C18" s="13" t="s">
        <v>27</v>
      </c>
      <c r="D18" s="48">
        <f>(2189.917+1742.202)*5.17</f>
        <v>20329.055229999998</v>
      </c>
      <c r="E18" s="48">
        <f>14448.56</f>
        <v>14448.56</v>
      </c>
      <c r="F18" s="75"/>
    </row>
    <row r="19" spans="2:8" ht="63" x14ac:dyDescent="0.25">
      <c r="B19" s="1" t="s">
        <v>28</v>
      </c>
      <c r="C19" s="13" t="s">
        <v>29</v>
      </c>
      <c r="D19" s="75">
        <v>0</v>
      </c>
      <c r="E19" s="75">
        <v>0</v>
      </c>
      <c r="F19" s="13"/>
    </row>
    <row r="20" spans="2:8" ht="63" x14ac:dyDescent="0.25">
      <c r="B20" s="1" t="s">
        <v>30</v>
      </c>
      <c r="C20" s="13" t="s">
        <v>31</v>
      </c>
      <c r="D20" s="75">
        <v>0</v>
      </c>
      <c r="E20" s="75">
        <v>0</v>
      </c>
      <c r="F20" s="13"/>
      <c r="H20" s="71"/>
    </row>
    <row r="21" spans="2:8" ht="94.5" x14ac:dyDescent="0.25">
      <c r="B21" s="1" t="s">
        <v>32</v>
      </c>
      <c r="C21" s="9" t="s">
        <v>33</v>
      </c>
      <c r="D21" s="58">
        <f>D18*3.9%*0.8+ (D18+D18*3.9%*0.8)*3.2%</f>
        <v>1305.0928192776319</v>
      </c>
      <c r="E21" s="58">
        <f>E18*3.9%+ (E18+E18*3.9%)*(2.1%*0.9)</f>
        <v>847.22165757599987</v>
      </c>
      <c r="F21" s="13"/>
    </row>
    <row r="22" spans="2:8" ht="63" x14ac:dyDescent="0.25">
      <c r="B22" s="75">
        <v>7</v>
      </c>
      <c r="C22" s="9" t="s">
        <v>34</v>
      </c>
      <c r="D22" s="75" t="s">
        <v>35</v>
      </c>
      <c r="E22" s="75" t="s">
        <v>35</v>
      </c>
      <c r="F22" s="75"/>
      <c r="G22" s="19"/>
    </row>
    <row r="23" spans="2:8" ht="409.5" x14ac:dyDescent="0.25">
      <c r="B23" s="75">
        <v>8</v>
      </c>
      <c r="C23" s="10" t="s">
        <v>36</v>
      </c>
      <c r="D23" s="48">
        <f>D17/5.17*8.38</f>
        <v>35066.568791672449</v>
      </c>
      <c r="E23" s="48">
        <f>E17/7.84*8.38</f>
        <v>16349.317639092715</v>
      </c>
      <c r="F23" s="48"/>
    </row>
    <row r="24" spans="2:8" ht="204.75" x14ac:dyDescent="0.25">
      <c r="B24" s="75">
        <v>9</v>
      </c>
      <c r="C24" s="43" t="s">
        <v>37</v>
      </c>
      <c r="D24" s="48">
        <f>D23/12</f>
        <v>2922.2140659727042</v>
      </c>
      <c r="E24" s="49">
        <f>E23/4</f>
        <v>4087.3294097731787</v>
      </c>
      <c r="F24" s="49"/>
      <c r="G24" s="19"/>
    </row>
    <row r="25" spans="2:8" ht="409.5" x14ac:dyDescent="0.25">
      <c r="B25" s="75">
        <v>10</v>
      </c>
      <c r="C25" s="13" t="s">
        <v>38</v>
      </c>
      <c r="D25" s="13" t="s">
        <v>39</v>
      </c>
      <c r="E25" s="13"/>
      <c r="F25" s="13"/>
    </row>
    <row r="26" spans="2:8" ht="15.75" x14ac:dyDescent="0.25">
      <c r="B26" s="8"/>
      <c r="C26" s="7"/>
      <c r="D26" s="7"/>
      <c r="E26" s="7"/>
      <c r="F26" s="7"/>
    </row>
    <row r="27" spans="2:8" ht="15.75" x14ac:dyDescent="0.25">
      <c r="B27" s="12"/>
    </row>
    <row r="28" spans="2:8" ht="15.75" x14ac:dyDescent="0.25">
      <c r="B28" s="68" t="s">
        <v>40</v>
      </c>
      <c r="C28" s="68"/>
    </row>
    <row r="29" spans="2:8" ht="15.75" x14ac:dyDescent="0.25">
      <c r="B29" s="12" t="s">
        <v>41</v>
      </c>
      <c r="C29" s="68"/>
    </row>
    <row r="30" spans="2:8" ht="15.75" x14ac:dyDescent="0.25">
      <c r="B30" s="68"/>
      <c r="C30" s="68"/>
    </row>
    <row r="31" spans="2:8" ht="15.75" x14ac:dyDescent="0.25">
      <c r="B31" s="68" t="s">
        <v>42</v>
      </c>
      <c r="C31" s="68"/>
    </row>
    <row r="32" spans="2:8" ht="15.75" x14ac:dyDescent="0.25">
      <c r="B32" s="12" t="s">
        <v>43</v>
      </c>
      <c r="C32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G30"/>
  <sheetViews>
    <sheetView workbookViewId="0"/>
  </sheetViews>
  <sheetFormatPr defaultRowHeight="15" x14ac:dyDescent="0.25"/>
  <sheetData>
    <row r="3" spans="2:12" ht="15.75" x14ac:dyDescent="0.25">
      <c r="B3" s="70" t="s">
        <v>44</v>
      </c>
      <c r="K3" s="12"/>
    </row>
    <row r="4" spans="2:12" ht="15.75" x14ac:dyDescent="0.25">
      <c r="B4" s="72" t="s">
        <v>45</v>
      </c>
    </row>
    <row r="5" spans="2:12" ht="15.75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2" ht="15.75" x14ac:dyDescent="0.25">
      <c r="B6" s="76" t="s">
        <v>2</v>
      </c>
      <c r="K6" s="12"/>
      <c r="L6" s="11"/>
    </row>
    <row r="7" spans="2:12" ht="78.75" x14ac:dyDescent="0.25">
      <c r="B7" s="73" t="s">
        <v>46</v>
      </c>
      <c r="L7" s="11"/>
    </row>
    <row r="8" spans="2:12" ht="15.75" x14ac:dyDescent="0.25">
      <c r="B8" s="73"/>
    </row>
    <row r="9" spans="2:12" ht="409.5" x14ac:dyDescent="0.25">
      <c r="B9" s="75" t="s">
        <v>5</v>
      </c>
      <c r="C9" s="75" t="s">
        <v>47</v>
      </c>
      <c r="D9" s="75" t="s">
        <v>7</v>
      </c>
      <c r="E9" s="110"/>
      <c r="F9" s="110"/>
      <c r="G9" s="110"/>
      <c r="H9" s="110"/>
      <c r="I9" s="110"/>
      <c r="J9" s="111"/>
    </row>
    <row r="10" spans="2:12" ht="141.75" x14ac:dyDescent="0.25">
      <c r="B10" s="112"/>
      <c r="C10" s="112"/>
      <c r="D10" s="75" t="s">
        <v>48</v>
      </c>
      <c r="E10" s="75" t="s">
        <v>49</v>
      </c>
      <c r="F10" s="75" t="s">
        <v>50</v>
      </c>
      <c r="G10" s="110"/>
      <c r="H10" s="110"/>
      <c r="I10" s="110"/>
      <c r="J10" s="111"/>
    </row>
    <row r="11" spans="2:12" ht="47.25" x14ac:dyDescent="0.25">
      <c r="B11" s="113"/>
      <c r="C11" s="113"/>
      <c r="D11" s="113"/>
      <c r="E11" s="113"/>
      <c r="F11" s="75" t="s">
        <v>51</v>
      </c>
      <c r="G11" s="75" t="s">
        <v>52</v>
      </c>
      <c r="H11" s="75" t="s">
        <v>53</v>
      </c>
      <c r="I11" s="75" t="s">
        <v>54</v>
      </c>
      <c r="J11" s="75" t="s">
        <v>55</v>
      </c>
    </row>
    <row r="12" spans="2:12" ht="204.75" x14ac:dyDescent="0.25">
      <c r="B12" s="75"/>
      <c r="C12" s="13" t="s">
        <v>56</v>
      </c>
      <c r="D12" s="22" t="s">
        <v>57</v>
      </c>
      <c r="E12" s="13" t="s">
        <v>58</v>
      </c>
      <c r="F12" s="47">
        <f>2189.917*5.17</f>
        <v>11321.87089</v>
      </c>
      <c r="G12" s="75"/>
      <c r="H12" s="75"/>
      <c r="I12" s="75"/>
      <c r="J12" s="21">
        <f>SUM(F12:I12)</f>
        <v>11321.87089</v>
      </c>
    </row>
    <row r="13" spans="2:12" ht="157.5" x14ac:dyDescent="0.25">
      <c r="B13" s="17"/>
      <c r="C13" s="13" t="s">
        <v>59</v>
      </c>
      <c r="D13" s="22" t="s">
        <v>60</v>
      </c>
      <c r="E13" s="13" t="s">
        <v>61</v>
      </c>
      <c r="F13" s="47">
        <f>1742.202*5.17</f>
        <v>9007.1843399999998</v>
      </c>
      <c r="G13" s="20"/>
      <c r="H13" s="20"/>
      <c r="I13" s="20"/>
      <c r="J13" s="21">
        <f>SUM(F13:I13)</f>
        <v>9007.1843399999998</v>
      </c>
    </row>
    <row r="14" spans="2:12" ht="63" x14ac:dyDescent="0.25">
      <c r="B14" s="74" t="s">
        <v>62</v>
      </c>
      <c r="C14" s="110"/>
      <c r="D14" s="110"/>
      <c r="E14" s="111"/>
      <c r="F14" s="114">
        <f>F13+F12</f>
        <v>20329.055229999998</v>
      </c>
      <c r="G14" s="14"/>
      <c r="H14" s="14"/>
      <c r="I14" s="14"/>
      <c r="J14" s="13">
        <f>SUM(F14:I14)</f>
        <v>20329.055229999998</v>
      </c>
    </row>
    <row r="15" spans="2:12" ht="157.5" x14ac:dyDescent="0.25">
      <c r="B15" s="74" t="s">
        <v>63</v>
      </c>
      <c r="C15" s="110"/>
      <c r="D15" s="110"/>
      <c r="E15" s="111"/>
      <c r="F15" s="114">
        <f>F14</f>
        <v>20329.055229999998</v>
      </c>
      <c r="G15" s="14"/>
      <c r="H15" s="14"/>
      <c r="I15" s="14"/>
      <c r="J15" s="13">
        <f>SUM(F15:I15)</f>
        <v>20329.055229999998</v>
      </c>
    </row>
    <row r="16" spans="2:12" ht="15.75" x14ac:dyDescent="0.25">
      <c r="B16" s="73"/>
    </row>
    <row r="17" spans="2:33" ht="409.5" x14ac:dyDescent="0.25">
      <c r="B17" s="75" t="s">
        <v>5</v>
      </c>
      <c r="C17" s="75" t="s">
        <v>47</v>
      </c>
      <c r="D17" s="75" t="s">
        <v>8</v>
      </c>
      <c r="E17" s="110"/>
      <c r="F17" s="110"/>
      <c r="G17" s="110"/>
      <c r="H17" s="110"/>
      <c r="I17" s="110"/>
      <c r="J17" s="111"/>
    </row>
    <row r="18" spans="2:33" ht="141.75" x14ac:dyDescent="0.25">
      <c r="B18" s="112"/>
      <c r="C18" s="112"/>
      <c r="D18" s="75" t="s">
        <v>48</v>
      </c>
      <c r="E18" s="75" t="s">
        <v>49</v>
      </c>
      <c r="F18" s="75" t="s">
        <v>64</v>
      </c>
      <c r="G18" s="110"/>
      <c r="H18" s="110"/>
      <c r="I18" s="110"/>
      <c r="J18" s="11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</row>
    <row r="19" spans="2:33" ht="47.25" x14ac:dyDescent="0.25">
      <c r="B19" s="113"/>
      <c r="C19" s="113"/>
      <c r="D19" s="113"/>
      <c r="E19" s="113"/>
      <c r="F19" s="75" t="s">
        <v>51</v>
      </c>
      <c r="G19" s="75" t="s">
        <v>52</v>
      </c>
      <c r="H19" s="75" t="s">
        <v>53</v>
      </c>
      <c r="I19" s="75" t="s">
        <v>54</v>
      </c>
      <c r="J19" s="75" t="s">
        <v>55</v>
      </c>
    </row>
    <row r="20" spans="2:33" ht="157.5" x14ac:dyDescent="0.25">
      <c r="B20" s="13"/>
      <c r="C20" s="13" t="s">
        <v>56</v>
      </c>
      <c r="D20" s="22" t="s">
        <v>65</v>
      </c>
      <c r="E20" s="13" t="s">
        <v>66</v>
      </c>
      <c r="F20" s="47">
        <f>1394.072*7.84</f>
        <v>10929.524479999998</v>
      </c>
      <c r="G20" s="13"/>
      <c r="H20" s="13"/>
      <c r="I20" s="13"/>
      <c r="J20" s="13"/>
    </row>
    <row r="21" spans="2:33" ht="157.5" x14ac:dyDescent="0.25">
      <c r="B21" s="13"/>
      <c r="C21" s="13" t="s">
        <v>59</v>
      </c>
      <c r="D21" s="22" t="s">
        <v>65</v>
      </c>
      <c r="E21" s="13" t="s">
        <v>66</v>
      </c>
      <c r="F21" s="47">
        <f>(136.679+312.178)*7.84</f>
        <v>3519.0388799999996</v>
      </c>
      <c r="G21" s="13"/>
      <c r="H21" s="13"/>
      <c r="I21" s="13"/>
      <c r="J21" s="13"/>
    </row>
    <row r="22" spans="2:33" ht="63" x14ac:dyDescent="0.25">
      <c r="B22" s="74" t="s">
        <v>62</v>
      </c>
      <c r="C22" s="110"/>
      <c r="D22" s="110"/>
      <c r="E22" s="111"/>
      <c r="F22" s="114">
        <f>F20+F21</f>
        <v>14448.563359999998</v>
      </c>
      <c r="G22" s="14"/>
      <c r="H22" s="14"/>
      <c r="I22" s="14"/>
      <c r="J22" s="13">
        <f>SUM(F22:I22)</f>
        <v>14448.563359999998</v>
      </c>
    </row>
    <row r="23" spans="2:33" ht="157.5" x14ac:dyDescent="0.25">
      <c r="B23" s="74" t="s">
        <v>67</v>
      </c>
      <c r="C23" s="110"/>
      <c r="D23" s="110"/>
      <c r="E23" s="111"/>
      <c r="F23" s="114">
        <f>F22</f>
        <v>14448.563359999998</v>
      </c>
      <c r="G23" s="14"/>
      <c r="H23" s="14"/>
      <c r="I23" s="14"/>
      <c r="J23" s="13">
        <f>SUM(F23:I23)</f>
        <v>14448.563359999998</v>
      </c>
    </row>
    <row r="26" spans="2:33" ht="15.75" x14ac:dyDescent="0.25">
      <c r="B26" s="68" t="s">
        <v>40</v>
      </c>
      <c r="C26" s="68"/>
    </row>
    <row r="27" spans="2:33" ht="15.75" x14ac:dyDescent="0.25">
      <c r="B27" s="12" t="s">
        <v>41</v>
      </c>
      <c r="C27" s="68"/>
    </row>
    <row r="28" spans="2:33" ht="15.75" x14ac:dyDescent="0.25">
      <c r="B28" s="68"/>
      <c r="C28" s="68"/>
    </row>
    <row r="29" spans="2:33" ht="15.75" x14ac:dyDescent="0.25">
      <c r="B29" s="68" t="s">
        <v>42</v>
      </c>
      <c r="C29" s="68"/>
    </row>
    <row r="30" spans="2:33" ht="15.75" x14ac:dyDescent="0.25">
      <c r="B30" s="12" t="s">
        <v>43</v>
      </c>
      <c r="C30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58"/>
  <sheetViews>
    <sheetView tabSelected="1" topLeftCell="A29" workbookViewId="0">
      <selection activeCell="F40" sqref="F40"/>
    </sheetView>
  </sheetViews>
  <sheetFormatPr defaultRowHeight="15" x14ac:dyDescent="0.25"/>
  <cols>
    <col min="4" max="4" width="26.42578125" customWidth="1"/>
    <col min="8" max="8" width="24.140625" customWidth="1"/>
  </cols>
  <sheetData>
    <row r="2" spans="1:10" ht="15.75" x14ac:dyDescent="0.25">
      <c r="A2" s="70" t="s">
        <v>68</v>
      </c>
    </row>
    <row r="3" spans="1:10" ht="15.75" x14ac:dyDescent="0.25">
      <c r="A3" s="72" t="s">
        <v>69</v>
      </c>
    </row>
    <row r="4" spans="1:10" ht="15.75" x14ac:dyDescent="0.25">
      <c r="A4" s="73"/>
    </row>
    <row r="5" spans="1:10" ht="15.75" x14ac:dyDescent="0.25">
      <c r="A5" s="76" t="s">
        <v>70</v>
      </c>
    </row>
    <row r="6" spans="1:10" ht="15.75" x14ac:dyDescent="0.25">
      <c r="A6" s="76"/>
      <c r="B6" s="76"/>
      <c r="C6" s="76"/>
      <c r="D6" s="76"/>
      <c r="E6" s="76"/>
      <c r="F6" s="76"/>
      <c r="G6" s="76"/>
      <c r="H6" s="76"/>
    </row>
    <row r="7" spans="1:10" ht="126" x14ac:dyDescent="0.25">
      <c r="A7" s="75" t="s">
        <v>71</v>
      </c>
      <c r="B7" s="75" t="s">
        <v>72</v>
      </c>
      <c r="C7" s="75" t="s">
        <v>73</v>
      </c>
      <c r="D7" s="75" t="s">
        <v>74</v>
      </c>
      <c r="E7" s="75" t="s">
        <v>75</v>
      </c>
      <c r="F7" s="75" t="s">
        <v>76</v>
      </c>
      <c r="G7" s="75" t="s">
        <v>77</v>
      </c>
      <c r="H7" s="111"/>
    </row>
    <row r="8" spans="1:10" ht="31.5" x14ac:dyDescent="0.25">
      <c r="A8" s="113"/>
      <c r="B8" s="113"/>
      <c r="C8" s="113"/>
      <c r="D8" s="113"/>
      <c r="E8" s="113"/>
      <c r="F8" s="113"/>
      <c r="G8" s="75" t="s">
        <v>78</v>
      </c>
      <c r="H8" s="75" t="s">
        <v>79</v>
      </c>
    </row>
    <row r="9" spans="1:10" ht="15.75" x14ac:dyDescent="0.25">
      <c r="A9" s="3">
        <v>1</v>
      </c>
      <c r="B9" s="3"/>
      <c r="C9" s="3">
        <v>2</v>
      </c>
      <c r="D9" s="3" t="s">
        <v>80</v>
      </c>
      <c r="E9" s="3">
        <v>4</v>
      </c>
      <c r="F9" s="3">
        <v>5</v>
      </c>
      <c r="G9" s="3">
        <v>6</v>
      </c>
      <c r="H9" s="3">
        <v>7</v>
      </c>
    </row>
    <row r="10" spans="1:10" ht="15.75" x14ac:dyDescent="0.25">
      <c r="A10" s="77" t="s">
        <v>81</v>
      </c>
      <c r="B10" s="110"/>
      <c r="C10" s="110"/>
      <c r="D10" s="110"/>
      <c r="E10" s="111"/>
      <c r="F10" s="15">
        <v>13858.295924</v>
      </c>
      <c r="G10" s="15"/>
      <c r="H10" s="15">
        <f>SUM(H11:H19)</f>
        <v>137756.93</v>
      </c>
    </row>
    <row r="11" spans="1:10" ht="31.5" x14ac:dyDescent="0.25">
      <c r="A11" s="78">
        <v>1</v>
      </c>
      <c r="B11" s="52"/>
      <c r="C11" s="18" t="s">
        <v>82</v>
      </c>
      <c r="D11" s="79" t="s">
        <v>83</v>
      </c>
      <c r="E11" s="78" t="s">
        <v>84</v>
      </c>
      <c r="F11" s="51">
        <v>6582.5122719999999</v>
      </c>
      <c r="G11" s="51">
        <v>10.94</v>
      </c>
      <c r="H11" s="16">
        <f t="shared" ref="H11:H19" si="0">ROUND(F11*G11,2)</f>
        <v>72012.679999999993</v>
      </c>
      <c r="I11" s="68">
        <v>4.9000000000000004</v>
      </c>
      <c r="J11" s="68">
        <f t="shared" ref="J11:J19" si="1">I11*F11</f>
        <v>32254.310132800001</v>
      </c>
    </row>
    <row r="12" spans="1:10" ht="31.5" x14ac:dyDescent="0.25">
      <c r="A12" s="78">
        <v>2</v>
      </c>
      <c r="B12" s="52"/>
      <c r="C12" s="18" t="s">
        <v>85</v>
      </c>
      <c r="D12" s="79" t="s">
        <v>86</v>
      </c>
      <c r="E12" s="78" t="s">
        <v>84</v>
      </c>
      <c r="F12" s="51">
        <v>2450.0057619999998</v>
      </c>
      <c r="G12" s="51">
        <v>10.06</v>
      </c>
      <c r="H12" s="16">
        <f t="shared" si="0"/>
        <v>24647.06</v>
      </c>
      <c r="I12" s="68">
        <v>4.3</v>
      </c>
      <c r="J12" s="68">
        <f t="shared" si="1"/>
        <v>10535.024776599999</v>
      </c>
    </row>
    <row r="13" spans="1:10" ht="31.5" x14ac:dyDescent="0.25">
      <c r="A13" s="78">
        <v>3</v>
      </c>
      <c r="B13" s="52"/>
      <c r="C13" s="18" t="s">
        <v>87</v>
      </c>
      <c r="D13" s="79" t="s">
        <v>88</v>
      </c>
      <c r="E13" s="78" t="s">
        <v>84</v>
      </c>
      <c r="F13" s="51">
        <v>1354.3677</v>
      </c>
      <c r="G13" s="51">
        <v>8.5299999999999994</v>
      </c>
      <c r="H13" s="16">
        <f t="shared" si="0"/>
        <v>11552.76</v>
      </c>
      <c r="I13" s="68">
        <v>3</v>
      </c>
      <c r="J13" s="68">
        <f t="shared" si="1"/>
        <v>4063.1031000000003</v>
      </c>
    </row>
    <row r="14" spans="1:10" ht="31.5" x14ac:dyDescent="0.25">
      <c r="A14" s="78">
        <v>4</v>
      </c>
      <c r="B14" s="52"/>
      <c r="C14" s="18" t="s">
        <v>89</v>
      </c>
      <c r="D14" s="79" t="s">
        <v>90</v>
      </c>
      <c r="E14" s="78" t="s">
        <v>84</v>
      </c>
      <c r="F14" s="51">
        <v>1303.3320000000001</v>
      </c>
      <c r="G14" s="51">
        <v>7.5</v>
      </c>
      <c r="H14" s="16">
        <f t="shared" si="0"/>
        <v>9774.99</v>
      </c>
      <c r="I14" s="68">
        <v>1.5</v>
      </c>
      <c r="J14" s="68">
        <f t="shared" si="1"/>
        <v>1954.998</v>
      </c>
    </row>
    <row r="15" spans="1:10" ht="31.5" x14ac:dyDescent="0.25">
      <c r="A15" s="78">
        <v>5</v>
      </c>
      <c r="B15" s="52"/>
      <c r="C15" s="18" t="s">
        <v>91</v>
      </c>
      <c r="D15" s="79" t="s">
        <v>92</v>
      </c>
      <c r="E15" s="78" t="s">
        <v>84</v>
      </c>
      <c r="F15" s="51">
        <v>943.93958399999997</v>
      </c>
      <c r="G15" s="51">
        <v>9.92</v>
      </c>
      <c r="H15" s="16">
        <f t="shared" si="0"/>
        <v>9363.8799999999992</v>
      </c>
      <c r="I15" s="68">
        <v>4.2</v>
      </c>
      <c r="J15" s="68">
        <f t="shared" si="1"/>
        <v>3964.5462527999998</v>
      </c>
    </row>
    <row r="16" spans="1:10" ht="31.5" x14ac:dyDescent="0.25">
      <c r="A16" s="78">
        <v>6</v>
      </c>
      <c r="B16" s="52"/>
      <c r="C16" s="18" t="s">
        <v>93</v>
      </c>
      <c r="D16" s="79" t="s">
        <v>94</v>
      </c>
      <c r="E16" s="78" t="s">
        <v>84</v>
      </c>
      <c r="F16" s="51">
        <v>781.44</v>
      </c>
      <c r="G16" s="51">
        <v>8.3800000000000008</v>
      </c>
      <c r="H16" s="16">
        <f t="shared" si="0"/>
        <v>6548.47</v>
      </c>
      <c r="I16" s="68">
        <v>2.8</v>
      </c>
      <c r="J16" s="68">
        <f t="shared" si="1"/>
        <v>2188.0320000000002</v>
      </c>
    </row>
    <row r="17" spans="1:10" ht="31.5" x14ac:dyDescent="0.25">
      <c r="A17" s="78">
        <v>7</v>
      </c>
      <c r="B17" s="52"/>
      <c r="C17" s="18" t="s">
        <v>95</v>
      </c>
      <c r="D17" s="79" t="s">
        <v>96</v>
      </c>
      <c r="E17" s="78" t="s">
        <v>84</v>
      </c>
      <c r="F17" s="51">
        <v>300.66739200000001</v>
      </c>
      <c r="G17" s="51">
        <v>9.07</v>
      </c>
      <c r="H17" s="16">
        <f t="shared" si="0"/>
        <v>2727.05</v>
      </c>
      <c r="I17" s="68">
        <v>3.5</v>
      </c>
      <c r="J17" s="68">
        <f t="shared" si="1"/>
        <v>1052.3358720000001</v>
      </c>
    </row>
    <row r="18" spans="1:10" ht="31.5" x14ac:dyDescent="0.25">
      <c r="A18" s="78">
        <v>8</v>
      </c>
      <c r="B18" s="52"/>
      <c r="C18" s="18" t="s">
        <v>97</v>
      </c>
      <c r="D18" s="79" t="s">
        <v>98</v>
      </c>
      <c r="E18" s="78" t="s">
        <v>84</v>
      </c>
      <c r="F18" s="51">
        <v>140.76</v>
      </c>
      <c r="G18" s="51">
        <v>7.94</v>
      </c>
      <c r="H18" s="16">
        <f t="shared" si="0"/>
        <v>1117.6300000000001</v>
      </c>
      <c r="I18" s="68">
        <v>2.2000000000000002</v>
      </c>
      <c r="J18" s="68">
        <f t="shared" si="1"/>
        <v>309.67200000000003</v>
      </c>
    </row>
    <row r="19" spans="1:10" ht="31.5" x14ac:dyDescent="0.25">
      <c r="A19" s="78">
        <v>9</v>
      </c>
      <c r="B19" s="52"/>
      <c r="C19" s="18" t="s">
        <v>99</v>
      </c>
      <c r="D19" s="79" t="s">
        <v>100</v>
      </c>
      <c r="E19" s="78" t="s">
        <v>84</v>
      </c>
      <c r="F19" s="51">
        <v>1.2712140000000001</v>
      </c>
      <c r="G19" s="51">
        <v>9.76</v>
      </c>
      <c r="H19" s="16">
        <f t="shared" si="0"/>
        <v>12.41</v>
      </c>
      <c r="I19" s="68">
        <v>4.0999999999999996</v>
      </c>
      <c r="J19" s="68">
        <f t="shared" si="1"/>
        <v>5.2119773999999994</v>
      </c>
    </row>
    <row r="20" spans="1:10" ht="15.75" x14ac:dyDescent="0.25">
      <c r="A20" s="77" t="s">
        <v>101</v>
      </c>
      <c r="B20" s="110"/>
      <c r="C20" s="110"/>
      <c r="D20" s="110"/>
      <c r="E20" s="111"/>
      <c r="F20" s="77">
        <v>6065.8160618000002</v>
      </c>
      <c r="G20" s="15"/>
      <c r="H20" s="15">
        <f>H21</f>
        <v>91448.38</v>
      </c>
    </row>
    <row r="21" spans="1:10" ht="31.5" x14ac:dyDescent="0.25">
      <c r="A21" s="78">
        <v>10</v>
      </c>
      <c r="B21" s="52"/>
      <c r="C21" s="79">
        <v>2</v>
      </c>
      <c r="D21" s="79" t="s">
        <v>101</v>
      </c>
      <c r="E21" s="78" t="s">
        <v>84</v>
      </c>
      <c r="F21" s="78">
        <v>6065.8160618000002</v>
      </c>
      <c r="G21" s="16">
        <v>0</v>
      </c>
      <c r="H21" s="16">
        <v>91448.38</v>
      </c>
      <c r="J21" s="68">
        <f>SUM(J11:J19)</f>
        <v>56327.234111600003</v>
      </c>
    </row>
    <row r="22" spans="1:10" ht="15.75" x14ac:dyDescent="0.25">
      <c r="A22" s="77" t="s">
        <v>102</v>
      </c>
      <c r="B22" s="110"/>
      <c r="C22" s="110"/>
      <c r="D22" s="110"/>
      <c r="E22" s="111"/>
      <c r="F22" s="77"/>
      <c r="G22" s="15"/>
      <c r="H22" s="15">
        <f>SUM(H23:H37)</f>
        <v>438776.53999999992</v>
      </c>
    </row>
    <row r="23" spans="1:10" ht="47.25" x14ac:dyDescent="0.25">
      <c r="A23" s="78">
        <v>11</v>
      </c>
      <c r="B23" s="52"/>
      <c r="C23" s="79" t="s">
        <v>103</v>
      </c>
      <c r="D23" s="79" t="s">
        <v>104</v>
      </c>
      <c r="E23" s="78" t="s">
        <v>105</v>
      </c>
      <c r="F23" s="51">
        <v>2241.8701219999998</v>
      </c>
      <c r="G23" s="51">
        <v>74.239999999999995</v>
      </c>
      <c r="H23" s="16">
        <f t="shared" ref="H23:H37" si="2">ROUND(F23*G23,2)</f>
        <v>166436.44</v>
      </c>
      <c r="J23" s="68">
        <f>J21/F10</f>
        <v>4.0645137339037243</v>
      </c>
    </row>
    <row r="24" spans="1:10" ht="31.5" x14ac:dyDescent="0.25">
      <c r="A24" s="78">
        <v>12</v>
      </c>
      <c r="B24" s="52"/>
      <c r="C24" s="79" t="s">
        <v>106</v>
      </c>
      <c r="D24" s="79" t="s">
        <v>107</v>
      </c>
      <c r="E24" s="78" t="s">
        <v>105</v>
      </c>
      <c r="F24" s="51">
        <v>1108.2</v>
      </c>
      <c r="G24" s="51">
        <v>87.49</v>
      </c>
      <c r="H24" s="16">
        <f t="shared" si="2"/>
        <v>96956.42</v>
      </c>
    </row>
    <row r="25" spans="1:10" ht="47.25" x14ac:dyDescent="0.25">
      <c r="A25" s="78">
        <v>13</v>
      </c>
      <c r="B25" s="52"/>
      <c r="C25" s="79" t="s">
        <v>108</v>
      </c>
      <c r="D25" s="79" t="s">
        <v>109</v>
      </c>
      <c r="E25" s="78" t="s">
        <v>105</v>
      </c>
      <c r="F25" s="50">
        <v>359.92114700000002</v>
      </c>
      <c r="G25" s="51">
        <v>115.4</v>
      </c>
      <c r="H25" s="16">
        <f t="shared" si="2"/>
        <v>41534.9</v>
      </c>
    </row>
    <row r="26" spans="1:10" ht="78.75" x14ac:dyDescent="0.25">
      <c r="A26" s="78">
        <v>14</v>
      </c>
      <c r="B26" s="52"/>
      <c r="C26" s="79" t="s">
        <v>110</v>
      </c>
      <c r="D26" s="79" t="s">
        <v>111</v>
      </c>
      <c r="E26" s="78" t="s">
        <v>105</v>
      </c>
      <c r="F26" s="50">
        <v>351.68</v>
      </c>
      <c r="G26" s="51">
        <v>115.27</v>
      </c>
      <c r="H26" s="16">
        <f t="shared" si="2"/>
        <v>40538.15</v>
      </c>
    </row>
    <row r="27" spans="1:10" ht="47.25" x14ac:dyDescent="0.25">
      <c r="A27" s="78">
        <v>15</v>
      </c>
      <c r="B27" s="52"/>
      <c r="C27" s="79" t="s">
        <v>112</v>
      </c>
      <c r="D27" s="79" t="s">
        <v>113</v>
      </c>
      <c r="E27" s="78" t="s">
        <v>105</v>
      </c>
      <c r="F27" s="50">
        <v>260.02636799999999</v>
      </c>
      <c r="G27" s="51">
        <v>102.51</v>
      </c>
      <c r="H27" s="16">
        <f t="shared" si="2"/>
        <v>26655.3</v>
      </c>
    </row>
    <row r="28" spans="1:10" ht="110.25" x14ac:dyDescent="0.25">
      <c r="A28" s="78">
        <v>16</v>
      </c>
      <c r="B28" s="52"/>
      <c r="C28" s="79" t="s">
        <v>114</v>
      </c>
      <c r="D28" s="79" t="s">
        <v>115</v>
      </c>
      <c r="E28" s="78" t="s">
        <v>105</v>
      </c>
      <c r="F28" s="50">
        <v>283.19580000000002</v>
      </c>
      <c r="G28" s="51">
        <v>90</v>
      </c>
      <c r="H28" s="16">
        <f t="shared" si="2"/>
        <v>25487.62</v>
      </c>
    </row>
    <row r="29" spans="1:10" ht="31.5" x14ac:dyDescent="0.25">
      <c r="A29" s="78">
        <v>17</v>
      </c>
      <c r="B29" s="52"/>
      <c r="C29" s="79" t="s">
        <v>116</v>
      </c>
      <c r="D29" s="79" t="s">
        <v>117</v>
      </c>
      <c r="E29" s="78" t="s">
        <v>105</v>
      </c>
      <c r="F29" s="50">
        <v>77.409946000000005</v>
      </c>
      <c r="G29" s="51">
        <v>243.49</v>
      </c>
      <c r="H29" s="16">
        <f t="shared" si="2"/>
        <v>18848.55</v>
      </c>
    </row>
    <row r="30" spans="1:10" ht="31.5" x14ac:dyDescent="0.25">
      <c r="A30" s="78">
        <v>18</v>
      </c>
      <c r="B30" s="52"/>
      <c r="C30" s="79" t="s">
        <v>118</v>
      </c>
      <c r="D30" s="79" t="s">
        <v>119</v>
      </c>
      <c r="E30" s="78" t="s">
        <v>105</v>
      </c>
      <c r="F30" s="50">
        <v>143.09809300000001</v>
      </c>
      <c r="G30" s="51">
        <v>65.709999999999994</v>
      </c>
      <c r="H30" s="16">
        <f t="shared" si="2"/>
        <v>9402.98</v>
      </c>
    </row>
    <row r="31" spans="1:10" ht="31.5" x14ac:dyDescent="0.25">
      <c r="A31" s="78">
        <v>19</v>
      </c>
      <c r="B31" s="52"/>
      <c r="C31" s="79" t="s">
        <v>120</v>
      </c>
      <c r="D31" s="79" t="s">
        <v>121</v>
      </c>
      <c r="E31" s="78" t="s">
        <v>105</v>
      </c>
      <c r="F31" s="50">
        <v>58.044330000000002</v>
      </c>
      <c r="G31" s="51">
        <v>94.05</v>
      </c>
      <c r="H31" s="16">
        <f t="shared" si="2"/>
        <v>5459.07</v>
      </c>
    </row>
    <row r="32" spans="1:10" ht="78.75" x14ac:dyDescent="0.25">
      <c r="A32" s="78">
        <v>20</v>
      </c>
      <c r="B32" s="52"/>
      <c r="C32" s="79" t="s">
        <v>122</v>
      </c>
      <c r="D32" s="79" t="s">
        <v>123</v>
      </c>
      <c r="E32" s="78" t="s">
        <v>105</v>
      </c>
      <c r="F32" s="50">
        <v>155.38489999999999</v>
      </c>
      <c r="G32" s="51">
        <v>14</v>
      </c>
      <c r="H32" s="16">
        <f t="shared" si="2"/>
        <v>2175.39</v>
      </c>
    </row>
    <row r="33" spans="1:8" ht="31.5" x14ac:dyDescent="0.25">
      <c r="A33" s="78">
        <v>21</v>
      </c>
      <c r="B33" s="52"/>
      <c r="C33" s="79" t="s">
        <v>124</v>
      </c>
      <c r="D33" s="79" t="s">
        <v>125</v>
      </c>
      <c r="E33" s="78" t="s">
        <v>105</v>
      </c>
      <c r="F33" s="50">
        <v>23.849682000000001</v>
      </c>
      <c r="G33" s="51">
        <v>89.99</v>
      </c>
      <c r="H33" s="16">
        <f t="shared" si="2"/>
        <v>2146.23</v>
      </c>
    </row>
    <row r="34" spans="1:8" ht="31.5" x14ac:dyDescent="0.25">
      <c r="A34" s="78">
        <v>22</v>
      </c>
      <c r="B34" s="52"/>
      <c r="C34" s="79" t="s">
        <v>126</v>
      </c>
      <c r="D34" s="79" t="s">
        <v>127</v>
      </c>
      <c r="E34" s="78" t="s">
        <v>105</v>
      </c>
      <c r="F34" s="50">
        <v>13.258452999999999</v>
      </c>
      <c r="G34" s="51">
        <v>85.84</v>
      </c>
      <c r="H34" s="16">
        <f t="shared" si="2"/>
        <v>1138.1099999999999</v>
      </c>
    </row>
    <row r="35" spans="1:8" ht="94.5" x14ac:dyDescent="0.25">
      <c r="A35" s="78">
        <v>23</v>
      </c>
      <c r="B35" s="52"/>
      <c r="C35" s="79" t="s">
        <v>128</v>
      </c>
      <c r="D35" s="79" t="s">
        <v>129</v>
      </c>
      <c r="E35" s="78" t="s">
        <v>105</v>
      </c>
      <c r="F35" s="50">
        <v>11.592000000000001</v>
      </c>
      <c r="G35" s="51">
        <v>90.4</v>
      </c>
      <c r="H35" s="16">
        <f t="shared" si="2"/>
        <v>1047.92</v>
      </c>
    </row>
    <row r="36" spans="1:8" ht="63" x14ac:dyDescent="0.25">
      <c r="A36" s="78">
        <v>24</v>
      </c>
      <c r="B36" s="52"/>
      <c r="C36" s="79" t="s">
        <v>130</v>
      </c>
      <c r="D36" s="79" t="s">
        <v>131</v>
      </c>
      <c r="E36" s="78" t="s">
        <v>105</v>
      </c>
      <c r="F36" s="51">
        <v>1134.9449999999999</v>
      </c>
      <c r="G36" s="51">
        <v>0.55000000000000004</v>
      </c>
      <c r="H36" s="16">
        <f t="shared" si="2"/>
        <v>624.22</v>
      </c>
    </row>
    <row r="37" spans="1:8" ht="63" x14ac:dyDescent="0.25">
      <c r="A37" s="78">
        <v>25</v>
      </c>
      <c r="B37" s="52"/>
      <c r="C37" s="79" t="s">
        <v>132</v>
      </c>
      <c r="D37" s="79" t="s">
        <v>133</v>
      </c>
      <c r="E37" s="78" t="s">
        <v>105</v>
      </c>
      <c r="F37" s="50">
        <v>66.239999999999995</v>
      </c>
      <c r="G37" s="51">
        <v>4.91</v>
      </c>
      <c r="H37" s="16">
        <f t="shared" si="2"/>
        <v>325.24</v>
      </c>
    </row>
    <row r="38" spans="1:8" ht="15.75" x14ac:dyDescent="0.25">
      <c r="A38" s="77" t="s">
        <v>134</v>
      </c>
      <c r="B38" s="110"/>
      <c r="C38" s="110"/>
      <c r="D38" s="110"/>
      <c r="E38" s="111"/>
      <c r="F38" s="77"/>
      <c r="G38" s="15"/>
      <c r="H38" s="15">
        <f>SUM(H39:H51)</f>
        <v>2597387.54</v>
      </c>
    </row>
    <row r="39" spans="1:8" ht="31.5" x14ac:dyDescent="0.25">
      <c r="A39" s="78">
        <v>26</v>
      </c>
      <c r="B39" s="23"/>
      <c r="C39" s="79" t="s">
        <v>135</v>
      </c>
      <c r="D39" s="79" t="s">
        <v>136</v>
      </c>
      <c r="E39" s="78" t="s">
        <v>137</v>
      </c>
      <c r="F39" s="50">
        <v>103.69427</v>
      </c>
      <c r="G39" s="51">
        <v>12500</v>
      </c>
      <c r="H39" s="16">
        <f t="shared" ref="H39:H51" si="3">ROUND(F39*G39,2)</f>
        <v>1296178.3799999999</v>
      </c>
    </row>
    <row r="40" spans="1:8" ht="31.5" x14ac:dyDescent="0.25">
      <c r="A40" s="78">
        <v>27</v>
      </c>
      <c r="B40" s="23"/>
      <c r="C40" s="79" t="s">
        <v>138</v>
      </c>
      <c r="D40" s="79" t="s">
        <v>139</v>
      </c>
      <c r="E40" s="78" t="s">
        <v>140</v>
      </c>
      <c r="F40" s="50">
        <v>12010</v>
      </c>
      <c r="G40" s="51">
        <v>60</v>
      </c>
      <c r="H40" s="16">
        <f t="shared" si="3"/>
        <v>720600</v>
      </c>
    </row>
    <row r="41" spans="1:8" ht="47.25" x14ac:dyDescent="0.25">
      <c r="A41" s="78">
        <v>28</v>
      </c>
      <c r="B41" s="23"/>
      <c r="C41" s="79" t="s">
        <v>141</v>
      </c>
      <c r="D41" s="79" t="s">
        <v>142</v>
      </c>
      <c r="E41" s="78" t="s">
        <v>140</v>
      </c>
      <c r="F41" s="50">
        <v>217.19040000000001</v>
      </c>
      <c r="G41" s="51">
        <v>1597.37</v>
      </c>
      <c r="H41" s="16">
        <f t="shared" si="3"/>
        <v>346933.43</v>
      </c>
    </row>
    <row r="42" spans="1:8" ht="47.25" x14ac:dyDescent="0.25">
      <c r="A42" s="78">
        <v>29</v>
      </c>
      <c r="B42" s="23"/>
      <c r="C42" s="79" t="s">
        <v>143</v>
      </c>
      <c r="D42" s="79" t="s">
        <v>144</v>
      </c>
      <c r="E42" s="78" t="s">
        <v>137</v>
      </c>
      <c r="F42" s="50">
        <v>3.601302</v>
      </c>
      <c r="G42" s="51">
        <v>30090</v>
      </c>
      <c r="H42" s="16">
        <f t="shared" si="3"/>
        <v>108363.18</v>
      </c>
    </row>
    <row r="43" spans="1:8" ht="31.5" x14ac:dyDescent="0.25">
      <c r="A43" s="78">
        <v>30</v>
      </c>
      <c r="B43" s="23"/>
      <c r="C43" s="79" t="s">
        <v>145</v>
      </c>
      <c r="D43" s="79" t="s">
        <v>146</v>
      </c>
      <c r="E43" s="78" t="s">
        <v>137</v>
      </c>
      <c r="F43" s="50">
        <v>4.2240000000000002</v>
      </c>
      <c r="G43" s="51">
        <v>10869.98</v>
      </c>
      <c r="H43" s="16">
        <f t="shared" si="3"/>
        <v>45914.8</v>
      </c>
    </row>
    <row r="44" spans="1:8" ht="47.25" x14ac:dyDescent="0.25">
      <c r="A44" s="78">
        <v>31</v>
      </c>
      <c r="B44" s="23"/>
      <c r="C44" s="79" t="s">
        <v>147</v>
      </c>
      <c r="D44" s="79" t="s">
        <v>148</v>
      </c>
      <c r="E44" s="78" t="s">
        <v>140</v>
      </c>
      <c r="F44" s="50">
        <v>15.5136</v>
      </c>
      <c r="G44" s="51">
        <v>1733.42</v>
      </c>
      <c r="H44" s="16">
        <f t="shared" si="3"/>
        <v>26891.58</v>
      </c>
    </row>
    <row r="45" spans="1:8" ht="31.5" x14ac:dyDescent="0.25">
      <c r="A45" s="78">
        <v>32</v>
      </c>
      <c r="B45" s="23"/>
      <c r="C45" s="79" t="s">
        <v>149</v>
      </c>
      <c r="D45" s="79" t="s">
        <v>150</v>
      </c>
      <c r="E45" s="78" t="s">
        <v>140</v>
      </c>
      <c r="F45" s="50">
        <v>190.44</v>
      </c>
      <c r="G45" s="51">
        <v>131.08000000000001</v>
      </c>
      <c r="H45" s="16">
        <f t="shared" si="3"/>
        <v>24962.880000000001</v>
      </c>
    </row>
    <row r="46" spans="1:8" ht="47.25" x14ac:dyDescent="0.25">
      <c r="A46" s="78">
        <v>33</v>
      </c>
      <c r="B46" s="23"/>
      <c r="C46" s="79" t="s">
        <v>151</v>
      </c>
      <c r="D46" s="79" t="s">
        <v>152</v>
      </c>
      <c r="E46" s="78" t="s">
        <v>153</v>
      </c>
      <c r="F46" s="50" t="s">
        <v>154</v>
      </c>
      <c r="G46" s="51">
        <v>24.79</v>
      </c>
      <c r="H46" s="16">
        <f t="shared" si="3"/>
        <v>14997.95</v>
      </c>
    </row>
    <row r="47" spans="1:8" ht="31.5" x14ac:dyDescent="0.25">
      <c r="A47" s="78">
        <v>34</v>
      </c>
      <c r="B47" s="23"/>
      <c r="C47" s="79" t="s">
        <v>155</v>
      </c>
      <c r="D47" s="79" t="s">
        <v>156</v>
      </c>
      <c r="E47" s="78" t="s">
        <v>153</v>
      </c>
      <c r="F47" s="51">
        <v>1192.484107</v>
      </c>
      <c r="G47" s="51">
        <v>6.67</v>
      </c>
      <c r="H47" s="16">
        <f t="shared" si="3"/>
        <v>7953.87</v>
      </c>
    </row>
    <row r="48" spans="1:8" ht="31.5" x14ac:dyDescent="0.25">
      <c r="A48" s="78">
        <v>35</v>
      </c>
      <c r="B48" s="23"/>
      <c r="C48" s="79" t="s">
        <v>157</v>
      </c>
      <c r="D48" s="79" t="s">
        <v>158</v>
      </c>
      <c r="E48" s="78" t="s">
        <v>137</v>
      </c>
      <c r="F48" s="50">
        <v>0.37984099999999998</v>
      </c>
      <c r="G48" s="51">
        <v>10315.01</v>
      </c>
      <c r="H48" s="16">
        <f t="shared" si="3"/>
        <v>3918.06</v>
      </c>
    </row>
    <row r="49" spans="1:8" ht="126" x14ac:dyDescent="0.25">
      <c r="A49" s="78">
        <v>36</v>
      </c>
      <c r="B49" s="23"/>
      <c r="C49" s="79" t="s">
        <v>159</v>
      </c>
      <c r="D49" s="79" t="s">
        <v>160</v>
      </c>
      <c r="E49" s="78" t="s">
        <v>137</v>
      </c>
      <c r="F49" s="50">
        <v>7.1482000000000004E-2</v>
      </c>
      <c r="G49" s="51">
        <v>7441</v>
      </c>
      <c r="H49" s="16">
        <f t="shared" si="3"/>
        <v>531.9</v>
      </c>
    </row>
    <row r="50" spans="1:8" ht="47.25" x14ac:dyDescent="0.25">
      <c r="A50" s="78">
        <v>37</v>
      </c>
      <c r="B50" s="23"/>
      <c r="C50" s="79" t="s">
        <v>161</v>
      </c>
      <c r="D50" s="79" t="s">
        <v>162</v>
      </c>
      <c r="E50" s="78" t="s">
        <v>153</v>
      </c>
      <c r="F50" s="50">
        <v>3.24</v>
      </c>
      <c r="G50" s="51">
        <v>24.97</v>
      </c>
      <c r="H50" s="16">
        <f t="shared" si="3"/>
        <v>80.900000000000006</v>
      </c>
    </row>
    <row r="51" spans="1:8" ht="31.5" x14ac:dyDescent="0.25">
      <c r="A51" s="78">
        <v>38</v>
      </c>
      <c r="B51" s="23"/>
      <c r="C51" s="79" t="s">
        <v>163</v>
      </c>
      <c r="D51" s="79" t="s">
        <v>164</v>
      </c>
      <c r="E51" s="78" t="s">
        <v>140</v>
      </c>
      <c r="F51" s="50">
        <v>24.84</v>
      </c>
      <c r="G51" s="51">
        <v>2.44</v>
      </c>
      <c r="H51" s="16">
        <f t="shared" si="3"/>
        <v>60.61</v>
      </c>
    </row>
    <row r="54" spans="1:8" ht="15.75" x14ac:dyDescent="0.25">
      <c r="B54" s="68" t="s">
        <v>165</v>
      </c>
      <c r="C54" s="68"/>
    </row>
    <row r="55" spans="1:8" ht="15.75" x14ac:dyDescent="0.25">
      <c r="B55" s="12" t="s">
        <v>41</v>
      </c>
      <c r="C55" s="68"/>
    </row>
    <row r="56" spans="1:8" ht="15.75" x14ac:dyDescent="0.25">
      <c r="B56" s="68"/>
      <c r="C56" s="68"/>
    </row>
    <row r="57" spans="1:8" ht="15.75" x14ac:dyDescent="0.25">
      <c r="B57" s="68" t="s">
        <v>42</v>
      </c>
      <c r="C57" s="68"/>
    </row>
    <row r="58" spans="1:8" ht="15.75" x14ac:dyDescent="0.25">
      <c r="B58" s="12" t="s">
        <v>43</v>
      </c>
      <c r="C58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workbookViewId="0"/>
  </sheetViews>
  <sheetFormatPr defaultRowHeight="15" x14ac:dyDescent="0.25"/>
  <sheetData>
    <row r="1" spans="2:5" x14ac:dyDescent="0.25">
      <c r="B1" s="59"/>
      <c r="C1" s="59"/>
      <c r="D1" s="59"/>
      <c r="E1" s="59"/>
    </row>
    <row r="2" spans="2:5" x14ac:dyDescent="0.25">
      <c r="B2" s="59"/>
      <c r="C2" s="59"/>
      <c r="D2" s="59"/>
      <c r="E2" s="95" t="s">
        <v>166</v>
      </c>
    </row>
    <row r="3" spans="2:5" x14ac:dyDescent="0.25">
      <c r="B3" s="59"/>
      <c r="C3" s="59"/>
      <c r="D3" s="59"/>
      <c r="E3" s="59"/>
    </row>
    <row r="4" spans="2:5" x14ac:dyDescent="0.25">
      <c r="B4" s="59"/>
      <c r="C4" s="59"/>
      <c r="D4" s="59"/>
      <c r="E4" s="59"/>
    </row>
    <row r="5" spans="2:5" x14ac:dyDescent="0.25">
      <c r="B5" s="80" t="s">
        <v>167</v>
      </c>
    </row>
    <row r="6" spans="2:5" x14ac:dyDescent="0.25">
      <c r="B6" s="4"/>
      <c r="C6" s="59"/>
      <c r="D6" s="59"/>
      <c r="E6" s="59"/>
    </row>
    <row r="7" spans="2:5" ht="191.25" x14ac:dyDescent="0.25">
      <c r="B7" s="81" t="s">
        <v>168</v>
      </c>
    </row>
    <row r="8" spans="2:5" x14ac:dyDescent="0.25">
      <c r="B8" s="82" t="s">
        <v>4</v>
      </c>
    </row>
    <row r="9" spans="2:5" x14ac:dyDescent="0.25">
      <c r="B9" s="4"/>
      <c r="C9" s="59"/>
      <c r="D9" s="59"/>
      <c r="E9" s="59"/>
    </row>
    <row r="10" spans="2:5" ht="89.25" x14ac:dyDescent="0.25">
      <c r="B10" s="84" t="s">
        <v>169</v>
      </c>
      <c r="C10" s="84" t="s">
        <v>170</v>
      </c>
      <c r="D10" s="84" t="s">
        <v>171</v>
      </c>
      <c r="E10" s="84" t="s">
        <v>172</v>
      </c>
    </row>
    <row r="11" spans="2:5" ht="38.25" x14ac:dyDescent="0.25">
      <c r="B11" s="40" t="s">
        <v>173</v>
      </c>
      <c r="C11" s="60">
        <f>'Прил.5 Расчет СМР и ОБ'!J15</f>
        <v>6361376.1900000004</v>
      </c>
      <c r="D11" s="24">
        <f t="shared" ref="D11:D18" si="0">C11/$C$24</f>
        <v>0.13127118949681907</v>
      </c>
      <c r="E11" s="24">
        <f t="shared" ref="E11:E18" si="1">C11/$C$40</f>
        <v>0.11014939441977659</v>
      </c>
    </row>
    <row r="12" spans="2:5" ht="63.75" x14ac:dyDescent="0.25">
      <c r="B12" s="40" t="s">
        <v>174</v>
      </c>
      <c r="C12" s="60">
        <f>'Прил.5 Расчет СМР и ОБ'!J26</f>
        <v>5355786.2899999991</v>
      </c>
      <c r="D12" s="24">
        <f t="shared" si="0"/>
        <v>0.11052017927885749</v>
      </c>
      <c r="E12" s="24">
        <f t="shared" si="1"/>
        <v>9.2737262954612626E-2</v>
      </c>
    </row>
    <row r="13" spans="2:5" ht="51" x14ac:dyDescent="0.25">
      <c r="B13" s="40" t="s">
        <v>175</v>
      </c>
      <c r="C13" s="60">
        <f>'Прил.5 Расчет СМР и ОБ'!J36</f>
        <v>554529.99999999988</v>
      </c>
      <c r="D13" s="24">
        <f t="shared" si="0"/>
        <v>1.144309195643892E-2</v>
      </c>
      <c r="E13" s="24">
        <f t="shared" si="1"/>
        <v>9.6018757361995746E-3</v>
      </c>
    </row>
    <row r="14" spans="2:5" ht="51" x14ac:dyDescent="0.25">
      <c r="B14" s="40" t="s">
        <v>176</v>
      </c>
      <c r="C14" s="60">
        <f>C13+C12</f>
        <v>5910316.2899999991</v>
      </c>
      <c r="D14" s="24">
        <f t="shared" si="0"/>
        <v>0.12196327123529641</v>
      </c>
      <c r="E14" s="24">
        <f t="shared" si="1"/>
        <v>0.1023391386908122</v>
      </c>
    </row>
    <row r="15" spans="2:5" ht="63.75" x14ac:dyDescent="0.25">
      <c r="B15" s="40" t="s">
        <v>177</v>
      </c>
      <c r="C15" s="60">
        <f>'Прил.5 Расчет СМР и ОБ'!J17</f>
        <v>4050266.7</v>
      </c>
      <c r="D15" s="24">
        <f t="shared" si="0"/>
        <v>8.3579922269674173E-2</v>
      </c>
      <c r="E15" s="24">
        <f t="shared" si="1"/>
        <v>7.0131746797949854E-2</v>
      </c>
    </row>
    <row r="16" spans="2:5" ht="51" x14ac:dyDescent="0.25">
      <c r="B16" s="40" t="s">
        <v>178</v>
      </c>
      <c r="C16" s="60">
        <f>'Прил.5 Расчет СМР и ОБ'!J49</f>
        <v>19004241.870000001</v>
      </c>
      <c r="D16" s="24">
        <f t="shared" si="0"/>
        <v>0.39216505379477534</v>
      </c>
      <c r="E16" s="24">
        <f t="shared" si="1"/>
        <v>0.32906491785191255</v>
      </c>
    </row>
    <row r="17" spans="2:7" ht="38.25" x14ac:dyDescent="0.25">
      <c r="B17" s="40" t="s">
        <v>179</v>
      </c>
      <c r="C17" s="60">
        <f>'Прил.5 Расчет СМР и ОБ'!J60</f>
        <v>1878755.18</v>
      </c>
      <c r="D17" s="24">
        <f t="shared" si="0"/>
        <v>3.8769351141283534E-2</v>
      </c>
      <c r="E17" s="24">
        <f t="shared" si="1"/>
        <v>3.2531285551911107E-2</v>
      </c>
      <c r="G17" s="115"/>
    </row>
    <row r="18" spans="2:7" ht="38.25" x14ac:dyDescent="0.25">
      <c r="B18" s="40" t="s">
        <v>180</v>
      </c>
      <c r="C18" s="60">
        <f>C17+C16</f>
        <v>20882997.050000001</v>
      </c>
      <c r="D18" s="24">
        <f t="shared" si="0"/>
        <v>0.43093440493605889</v>
      </c>
      <c r="E18" s="24">
        <f t="shared" si="1"/>
        <v>0.36159620340382365</v>
      </c>
    </row>
    <row r="19" spans="2:7" x14ac:dyDescent="0.25">
      <c r="B19" s="40" t="s">
        <v>181</v>
      </c>
      <c r="C19" s="60">
        <f>C18+C14+C11</f>
        <v>33154689.530000001</v>
      </c>
      <c r="D19" s="24"/>
      <c r="E19" s="40"/>
    </row>
    <row r="20" spans="2:7" ht="38.25" x14ac:dyDescent="0.25">
      <c r="B20" s="40" t="s">
        <v>182</v>
      </c>
      <c r="C20" s="60">
        <f>ROUND(C21*(C11+C15),2)</f>
        <v>5414054.2999999998</v>
      </c>
      <c r="D20" s="24">
        <f>C20/$C$24</f>
        <v>0.11172257806079663</v>
      </c>
      <c r="E20" s="24">
        <f>C20/$C$40</f>
        <v>9.3746193384734777E-2</v>
      </c>
    </row>
    <row r="21" spans="2:7" ht="38.25" x14ac:dyDescent="0.25">
      <c r="B21" s="40" t="s">
        <v>183</v>
      </c>
      <c r="C21" s="25">
        <f>'Прил.5 Расчет СМР и ОБ'!D64</f>
        <v>0.52</v>
      </c>
      <c r="D21" s="24"/>
      <c r="E21" s="40"/>
    </row>
    <row r="22" spans="2:7" ht="51" x14ac:dyDescent="0.25">
      <c r="B22" s="40" t="s">
        <v>184</v>
      </c>
      <c r="C22" s="60">
        <f>ROUND(C23*(C11+C15),2)</f>
        <v>9891060.75</v>
      </c>
      <c r="D22" s="24">
        <f>C22/$C$24</f>
        <v>0.20410855627102903</v>
      </c>
      <c r="E22" s="24">
        <f>C22/$C$40</f>
        <v>0.17126708423475914</v>
      </c>
    </row>
    <row r="23" spans="2:7" ht="51" x14ac:dyDescent="0.25">
      <c r="B23" s="40" t="s">
        <v>185</v>
      </c>
      <c r="C23" s="25">
        <f>'Прил.5 Расчет СМР и ОБ'!D63</f>
        <v>0.95</v>
      </c>
      <c r="D23" s="24"/>
      <c r="E23" s="40"/>
    </row>
    <row r="24" spans="2:7" ht="38.25" x14ac:dyDescent="0.25">
      <c r="B24" s="40" t="s">
        <v>186</v>
      </c>
      <c r="C24" s="60">
        <f>C19+C20+C22</f>
        <v>48459804.579999998</v>
      </c>
      <c r="D24" s="24">
        <f>C24/$C$24</f>
        <v>1</v>
      </c>
      <c r="E24" s="24">
        <f>C24/$C$40</f>
        <v>0.83909801413390639</v>
      </c>
    </row>
    <row r="25" spans="2:7" ht="89.25" x14ac:dyDescent="0.25">
      <c r="B25" s="40" t="s">
        <v>187</v>
      </c>
      <c r="C25" s="60">
        <f>'Прил.5 Расчет СМР и ОБ'!J42</f>
        <v>0</v>
      </c>
      <c r="D25" s="24"/>
      <c r="E25" s="24">
        <f>C25/$C$40</f>
        <v>0</v>
      </c>
    </row>
    <row r="26" spans="2:7" ht="76.5" x14ac:dyDescent="0.25">
      <c r="B26" s="40" t="s">
        <v>188</v>
      </c>
      <c r="C26" s="60">
        <f>C25</f>
        <v>0</v>
      </c>
      <c r="D26" s="24"/>
      <c r="E26" s="24">
        <f>C26/$C$40</f>
        <v>0</v>
      </c>
    </row>
    <row r="27" spans="2:7" ht="63.75" x14ac:dyDescent="0.25">
      <c r="B27" s="40" t="s">
        <v>189</v>
      </c>
      <c r="C27" s="26">
        <f>C24+C25</f>
        <v>48459804.579999998</v>
      </c>
      <c r="D27" s="24"/>
      <c r="E27" s="24">
        <f>C27/$C$40</f>
        <v>0.83909801413390639</v>
      </c>
    </row>
    <row r="28" spans="2:7" ht="102" x14ac:dyDescent="0.25">
      <c r="B28" s="40" t="s">
        <v>190</v>
      </c>
      <c r="C28" s="40"/>
      <c r="D28" s="40"/>
      <c r="E28" s="40"/>
    </row>
    <row r="29" spans="2:7" ht="76.5" x14ac:dyDescent="0.25">
      <c r="B29" s="40" t="s">
        <v>191</v>
      </c>
      <c r="C29" s="26">
        <f>ROUND(C24*3.9%,2)</f>
        <v>1889932.38</v>
      </c>
      <c r="D29" s="40"/>
      <c r="E29" s="24">
        <f t="shared" ref="E29:E38" si="2">C29/$C$40</f>
        <v>3.2724822575117517E-2</v>
      </c>
    </row>
    <row r="30" spans="2:7" ht="165.75" x14ac:dyDescent="0.25">
      <c r="B30" s="40" t="s">
        <v>192</v>
      </c>
      <c r="C30" s="26">
        <f>ROUND((C24+C29)*2.1%,2)</f>
        <v>1057344.48</v>
      </c>
      <c r="D30" s="40"/>
      <c r="E30" s="24">
        <f t="shared" si="2"/>
        <v>1.8308279637380409E-2</v>
      </c>
    </row>
    <row r="31" spans="2:7" ht="38.25" x14ac:dyDescent="0.25">
      <c r="B31" s="40" t="s">
        <v>193</v>
      </c>
      <c r="C31" s="26">
        <v>0</v>
      </c>
      <c r="D31" s="40"/>
      <c r="E31" s="24">
        <f t="shared" si="2"/>
        <v>0</v>
      </c>
    </row>
    <row r="32" spans="2:7" ht="114.75" x14ac:dyDescent="0.25">
      <c r="B32" s="40" t="s">
        <v>194</v>
      </c>
      <c r="C32" s="26">
        <f>ROUND(C27*0%,2)</f>
        <v>0</v>
      </c>
      <c r="D32" s="40"/>
      <c r="E32" s="24">
        <f t="shared" si="2"/>
        <v>0</v>
      </c>
    </row>
    <row r="33" spans="2:12" ht="114.75" x14ac:dyDescent="0.25">
      <c r="B33" s="40" t="s">
        <v>195</v>
      </c>
      <c r="C33" s="26">
        <f>ROUND(C27*0%,2)</f>
        <v>0</v>
      </c>
      <c r="D33" s="40"/>
      <c r="E33" s="24">
        <f t="shared" si="2"/>
        <v>0</v>
      </c>
    </row>
    <row r="34" spans="2:12" ht="216.75" x14ac:dyDescent="0.25">
      <c r="B34" s="40" t="s">
        <v>196</v>
      </c>
      <c r="C34" s="26">
        <f>ROUND(C27*0%,2)</f>
        <v>0</v>
      </c>
      <c r="D34" s="40"/>
      <c r="E34" s="24">
        <f t="shared" si="2"/>
        <v>0</v>
      </c>
    </row>
    <row r="35" spans="2:12" ht="344.25" x14ac:dyDescent="0.25">
      <c r="B35" s="40" t="s">
        <v>197</v>
      </c>
      <c r="C35" s="26">
        <f>ROUND(C27*0%,2)</f>
        <v>0</v>
      </c>
      <c r="D35" s="40"/>
      <c r="E35" s="24">
        <f t="shared" si="2"/>
        <v>0</v>
      </c>
    </row>
    <row r="36" spans="2:12" ht="114.75" x14ac:dyDescent="0.25">
      <c r="B36" s="40" t="s">
        <v>198</v>
      </c>
      <c r="C36" s="26">
        <f>ROUND((C27+C32+C33+C34+C35+C29+C31+C30)*1.93%,2)</f>
        <v>992156.67</v>
      </c>
      <c r="D36" s="40"/>
      <c r="E36" s="24">
        <f t="shared" si="2"/>
        <v>1.7179530514456514E-2</v>
      </c>
      <c r="G36" s="5"/>
      <c r="L36" s="6"/>
    </row>
    <row r="37" spans="2:12" ht="38.25" x14ac:dyDescent="0.25">
      <c r="B37" s="40" t="s">
        <v>199</v>
      </c>
      <c r="C37" s="26">
        <f>ROUND((C27+C32+C33+C34+C35+C29+C31+C30)*0.2%,2)</f>
        <v>102814.16</v>
      </c>
      <c r="D37" s="40"/>
      <c r="E37" s="24">
        <f t="shared" si="2"/>
        <v>1.7802621828246282E-3</v>
      </c>
      <c r="G37" s="5"/>
      <c r="L37" s="6"/>
    </row>
    <row r="38" spans="2:12" ht="127.5" x14ac:dyDescent="0.25">
      <c r="B38" s="40" t="s">
        <v>200</v>
      </c>
      <c r="C38" s="60">
        <f>C27+C32+C33+C34+C35+C29+C31+C30+C36+C37</f>
        <v>52502052.269999996</v>
      </c>
      <c r="D38" s="40"/>
      <c r="E38" s="24">
        <f t="shared" si="2"/>
        <v>0.90909090904368539</v>
      </c>
    </row>
    <row r="39" spans="2:12" ht="38.25" x14ac:dyDescent="0.25">
      <c r="B39" s="40" t="s">
        <v>201</v>
      </c>
      <c r="C39" s="60">
        <f>ROUND(C38*10%,2)</f>
        <v>5250205.2300000004</v>
      </c>
      <c r="D39" s="40"/>
      <c r="E39" s="24">
        <f>C39/$C$38</f>
        <v>0.10000000005714064</v>
      </c>
    </row>
    <row r="40" spans="2:12" x14ac:dyDescent="0.25">
      <c r="B40" s="40" t="s">
        <v>202</v>
      </c>
      <c r="C40" s="60">
        <f>C39+C38</f>
        <v>57752257.5</v>
      </c>
      <c r="D40" s="40"/>
      <c r="E40" s="24">
        <f>C40/$C$40</f>
        <v>1</v>
      </c>
    </row>
    <row r="41" spans="2:12" ht="63.75" x14ac:dyDescent="0.25">
      <c r="B41" s="40" t="s">
        <v>203</v>
      </c>
      <c r="C41" s="60">
        <f>C40/'Прил.5 Расчет СМР и ОБ'!E67</f>
        <v>4812688.125</v>
      </c>
      <c r="D41" s="40"/>
      <c r="E41" s="40"/>
    </row>
    <row r="42" spans="2:12" x14ac:dyDescent="0.25">
      <c r="B42" s="62"/>
      <c r="C42" s="59"/>
      <c r="D42" s="59"/>
      <c r="E42" s="59"/>
    </row>
    <row r="43" spans="2:12" x14ac:dyDescent="0.25">
      <c r="B43" s="62" t="s">
        <v>165</v>
      </c>
      <c r="C43" s="59"/>
      <c r="D43" s="59"/>
      <c r="E43" s="59"/>
    </row>
    <row r="44" spans="2:12" x14ac:dyDescent="0.25">
      <c r="B44" s="62" t="s">
        <v>204</v>
      </c>
      <c r="C44" s="59"/>
      <c r="D44" s="59"/>
      <c r="E44" s="59"/>
    </row>
    <row r="45" spans="2:12" x14ac:dyDescent="0.25">
      <c r="B45" s="62"/>
      <c r="C45" s="59"/>
      <c r="D45" s="59"/>
      <c r="E45" s="59"/>
    </row>
    <row r="46" spans="2:12" x14ac:dyDescent="0.25">
      <c r="B46" s="62" t="s">
        <v>205</v>
      </c>
      <c r="C46" s="59"/>
      <c r="D46" s="59"/>
      <c r="E46" s="59"/>
    </row>
    <row r="47" spans="2:12" x14ac:dyDescent="0.25">
      <c r="B47" s="82" t="s">
        <v>206</v>
      </c>
      <c r="D47" s="59"/>
      <c r="E47" s="59"/>
    </row>
    <row r="49" spans="2:5" x14ac:dyDescent="0.25">
      <c r="B49" s="59"/>
      <c r="C49" s="59"/>
      <c r="D49" s="59"/>
      <c r="E49" s="59"/>
    </row>
    <row r="50" spans="2:5" x14ac:dyDescent="0.25">
      <c r="B50" s="59"/>
      <c r="C50" s="59"/>
      <c r="D50" s="59"/>
      <c r="E50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3"/>
  <sheetViews>
    <sheetView topLeftCell="A30" workbookViewId="0">
      <selection activeCell="E47" sqref="E47"/>
    </sheetView>
  </sheetViews>
  <sheetFormatPr defaultRowHeight="15" x14ac:dyDescent="0.25"/>
  <cols>
    <col min="2" max="3" width="30.5703125" customWidth="1"/>
    <col min="4" max="10" width="17.140625" customWidth="1"/>
  </cols>
  <sheetData>
    <row r="1" spans="1:14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ht="15.75" x14ac:dyDescent="0.25">
      <c r="A2" s="65"/>
      <c r="B2" s="65"/>
      <c r="C2" s="65"/>
      <c r="D2" s="65"/>
      <c r="E2" s="65"/>
      <c r="F2" s="65"/>
      <c r="G2" s="65"/>
      <c r="H2" s="91" t="s">
        <v>207</v>
      </c>
      <c r="K2" s="65"/>
      <c r="L2" s="65"/>
      <c r="M2" s="65"/>
      <c r="N2" s="65"/>
    </row>
    <row r="3" spans="1:14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4" x14ac:dyDescent="0.25">
      <c r="A4" s="80" t="s">
        <v>208</v>
      </c>
    </row>
    <row r="5" spans="1:14" x14ac:dyDescent="0.25">
      <c r="A5" s="80"/>
      <c r="B5" s="80"/>
      <c r="C5" s="27"/>
      <c r="D5" s="80"/>
      <c r="E5" s="80"/>
      <c r="F5" s="80"/>
      <c r="G5" s="80"/>
      <c r="H5" s="80"/>
      <c r="I5" s="80"/>
      <c r="J5" s="80"/>
    </row>
    <row r="6" spans="1:14" ht="51" x14ac:dyDescent="0.25">
      <c r="A6" s="28" t="s">
        <v>209</v>
      </c>
      <c r="B6" s="29"/>
      <c r="C6" s="29"/>
      <c r="D6" s="92" t="s">
        <v>210</v>
      </c>
    </row>
    <row r="7" spans="1:14" ht="51" x14ac:dyDescent="0.25">
      <c r="A7" s="92" t="s">
        <v>4</v>
      </c>
      <c r="I7" s="81"/>
      <c r="J7" s="81"/>
    </row>
    <row r="8" spans="1:14" x14ac:dyDescent="0.25">
      <c r="A8" s="92"/>
    </row>
    <row r="10" spans="1:14" ht="51" x14ac:dyDescent="0.25">
      <c r="A10" s="84" t="s">
        <v>211</v>
      </c>
      <c r="B10" s="84" t="s">
        <v>73</v>
      </c>
      <c r="C10" s="84" t="s">
        <v>169</v>
      </c>
      <c r="D10" s="84" t="s">
        <v>75</v>
      </c>
      <c r="E10" s="84" t="s">
        <v>212</v>
      </c>
      <c r="F10" s="84" t="s">
        <v>77</v>
      </c>
      <c r="G10" s="111"/>
      <c r="H10" s="84" t="s">
        <v>213</v>
      </c>
      <c r="I10" s="84" t="s">
        <v>214</v>
      </c>
      <c r="J10" s="111"/>
      <c r="K10" s="65"/>
      <c r="L10" s="65"/>
      <c r="M10" s="65"/>
      <c r="N10" s="65"/>
    </row>
    <row r="11" spans="1:14" x14ac:dyDescent="0.25">
      <c r="A11" s="113"/>
      <c r="B11" s="113"/>
      <c r="C11" s="113"/>
      <c r="D11" s="113"/>
      <c r="E11" s="113"/>
      <c r="F11" s="84" t="s">
        <v>215</v>
      </c>
      <c r="G11" s="84" t="s">
        <v>79</v>
      </c>
      <c r="H11" s="113"/>
      <c r="I11" s="84" t="s">
        <v>215</v>
      </c>
      <c r="J11" s="84" t="s">
        <v>79</v>
      </c>
      <c r="K11" s="65"/>
      <c r="L11" s="65"/>
      <c r="M11" s="65"/>
      <c r="N11" s="65"/>
    </row>
    <row r="12" spans="1:14" x14ac:dyDescent="0.25">
      <c r="A12" s="84">
        <v>1</v>
      </c>
      <c r="B12" s="84">
        <v>2</v>
      </c>
      <c r="C12" s="84">
        <v>3</v>
      </c>
      <c r="D12" s="84">
        <v>4</v>
      </c>
      <c r="E12" s="84">
        <v>5</v>
      </c>
      <c r="F12" s="84">
        <v>6</v>
      </c>
      <c r="G12" s="84">
        <v>7</v>
      </c>
      <c r="H12" s="84">
        <v>8</v>
      </c>
      <c r="I12" s="90">
        <v>9</v>
      </c>
      <c r="J12" s="90">
        <v>10</v>
      </c>
      <c r="K12" s="65"/>
      <c r="L12" s="65"/>
      <c r="M12" s="65"/>
      <c r="N12" s="65"/>
    </row>
    <row r="13" spans="1:14" ht="25.5" x14ac:dyDescent="0.25">
      <c r="A13" s="84"/>
      <c r="B13" s="88" t="s">
        <v>216</v>
      </c>
      <c r="C13" s="110"/>
      <c r="D13" s="110"/>
      <c r="E13" s="110"/>
      <c r="F13" s="110"/>
      <c r="G13" s="110"/>
      <c r="H13" s="111"/>
      <c r="I13" s="34"/>
      <c r="J13" s="34"/>
    </row>
    <row r="14" spans="1:14" ht="38.25" x14ac:dyDescent="0.25">
      <c r="A14" s="84">
        <v>1</v>
      </c>
      <c r="B14" s="30" t="s">
        <v>99</v>
      </c>
      <c r="C14" s="83" t="s">
        <v>217</v>
      </c>
      <c r="D14" s="84" t="s">
        <v>218</v>
      </c>
      <c r="E14" s="116">
        <f>G14/F14</f>
        <v>14114.439549180328</v>
      </c>
      <c r="F14" s="35">
        <v>9.76</v>
      </c>
      <c r="G14" s="35">
        <f>'Прил. 3'!H10</f>
        <v>137756.93</v>
      </c>
      <c r="H14" s="31">
        <f>G14/G15</f>
        <v>1</v>
      </c>
      <c r="I14" s="35">
        <f>ФОТр.тек.!E13</f>
        <v>450.69987855412063</v>
      </c>
      <c r="J14" s="35">
        <f>ROUND(I14*E14,2)</f>
        <v>6361376.1900000004</v>
      </c>
    </row>
    <row r="15" spans="1:14" ht="25.5" x14ac:dyDescent="0.25">
      <c r="A15" s="84"/>
      <c r="B15" s="84"/>
      <c r="C15" s="88" t="s">
        <v>219</v>
      </c>
      <c r="D15" s="84" t="s">
        <v>218</v>
      </c>
      <c r="E15" s="116">
        <f>SUM(E14:E14)</f>
        <v>14114.439549180328</v>
      </c>
      <c r="F15" s="35"/>
      <c r="G15" s="35">
        <f>SUM(G14:G14)</f>
        <v>137756.93</v>
      </c>
      <c r="H15" s="87">
        <v>1</v>
      </c>
      <c r="I15" s="34"/>
      <c r="J15" s="35">
        <f>SUM(J14:J14)</f>
        <v>6361376.1900000004</v>
      </c>
    </row>
    <row r="16" spans="1:14" x14ac:dyDescent="0.25">
      <c r="A16" s="84"/>
      <c r="B16" s="83" t="s">
        <v>101</v>
      </c>
      <c r="C16" s="110"/>
      <c r="D16" s="110"/>
      <c r="E16" s="110"/>
      <c r="F16" s="110"/>
      <c r="G16" s="110"/>
      <c r="H16" s="111"/>
      <c r="I16" s="34"/>
      <c r="J16" s="34"/>
    </row>
    <row r="17" spans="1:10" x14ac:dyDescent="0.25">
      <c r="A17" s="84">
        <v>2</v>
      </c>
      <c r="B17" s="84">
        <v>2</v>
      </c>
      <c r="C17" s="83" t="s">
        <v>101</v>
      </c>
      <c r="D17" s="84" t="s">
        <v>218</v>
      </c>
      <c r="E17" s="116">
        <f>'Прил. 3'!F21</f>
        <v>6065.8160618000002</v>
      </c>
      <c r="F17" s="35">
        <f>G17/E17</f>
        <v>15.076022594206913</v>
      </c>
      <c r="G17" s="35">
        <f>'Прил. 3'!H20</f>
        <v>91448.38</v>
      </c>
      <c r="H17" s="87">
        <v>1</v>
      </c>
      <c r="I17" s="35">
        <f>ROUND(F17*'Прил. 10'!D11,2)</f>
        <v>667.72</v>
      </c>
      <c r="J17" s="35">
        <f>ROUND(I17*E17,2)</f>
        <v>4050266.7</v>
      </c>
    </row>
    <row r="18" spans="1:10" x14ac:dyDescent="0.25">
      <c r="A18" s="84"/>
      <c r="B18" s="88" t="s">
        <v>102</v>
      </c>
      <c r="C18" s="110"/>
      <c r="D18" s="110"/>
      <c r="E18" s="110"/>
      <c r="F18" s="110"/>
      <c r="G18" s="110"/>
      <c r="H18" s="111"/>
      <c r="I18" s="34"/>
      <c r="J18" s="34"/>
    </row>
    <row r="19" spans="1:10" x14ac:dyDescent="0.25">
      <c r="A19" s="84"/>
      <c r="B19" s="83" t="s">
        <v>220</v>
      </c>
      <c r="C19" s="110"/>
      <c r="D19" s="110"/>
      <c r="E19" s="110"/>
      <c r="F19" s="110"/>
      <c r="G19" s="110"/>
      <c r="H19" s="111"/>
      <c r="I19" s="34"/>
      <c r="J19" s="34"/>
    </row>
    <row r="20" spans="1:10" ht="25.5" x14ac:dyDescent="0.25">
      <c r="A20" s="84">
        <v>3</v>
      </c>
      <c r="B20" s="30" t="str">
        <f>'Прил. 3'!C23</f>
        <v>91.21.22-447</v>
      </c>
      <c r="C20" s="83" t="str">
        <f>'Прил. 3'!D23</f>
        <v>Установки электрометаллизационные</v>
      </c>
      <c r="D20" s="84" t="str">
        <f>'Прил. 3'!E23</f>
        <v>маш.-ч.</v>
      </c>
      <c r="E20" s="116">
        <f>'Прил. 3'!F23</f>
        <v>2241.8701219999998</v>
      </c>
      <c r="F20" s="86">
        <f>'Прил. 3'!G23</f>
        <v>74.239999999999995</v>
      </c>
      <c r="G20" s="35">
        <f t="shared" ref="G20:G25" si="0">ROUND(E20*F20,2)</f>
        <v>166436.44</v>
      </c>
      <c r="H20" s="31">
        <f t="shared" ref="H20:H25" si="1">G20/$G$37</f>
        <v>0.37931936835091501</v>
      </c>
      <c r="I20" s="35">
        <f>ROUND(F20*'Прил. 10'!$D$12,2)</f>
        <v>1000.01</v>
      </c>
      <c r="J20" s="35">
        <f t="shared" ref="J20:J25" si="2">ROUND(I20*E20,2)</f>
        <v>2241892.54</v>
      </c>
    </row>
    <row r="21" spans="1:10" ht="25.5" x14ac:dyDescent="0.25">
      <c r="A21" s="84">
        <v>4</v>
      </c>
      <c r="B21" s="30" t="str">
        <f>'Прил. 3'!C24</f>
        <v>91.14.03-002</v>
      </c>
      <c r="C21" s="83" t="str">
        <f>'Прил. 3'!D24</f>
        <v>Автомобили-самосвалы, грузоподъемность до 10 т</v>
      </c>
      <c r="D21" s="84" t="str">
        <f>'Прил. 3'!E24</f>
        <v>маш.-ч.</v>
      </c>
      <c r="E21" s="116">
        <f>'Прил. 3'!F24</f>
        <v>1108.2</v>
      </c>
      <c r="F21" s="86">
        <f>'Прил. 3'!G24</f>
        <v>87.49</v>
      </c>
      <c r="G21" s="35">
        <f t="shared" si="0"/>
        <v>96956.42</v>
      </c>
      <c r="H21" s="31">
        <f t="shared" si="1"/>
        <v>0.22096992697011555</v>
      </c>
      <c r="I21" s="35">
        <f>ROUND(F21*'Прил. 10'!D12,2)</f>
        <v>1178.49</v>
      </c>
      <c r="J21" s="35">
        <f>ROUND(I21*E21,2)</f>
        <v>1306002.6200000001</v>
      </c>
    </row>
    <row r="22" spans="1:10" ht="25.5" x14ac:dyDescent="0.25">
      <c r="A22" s="84">
        <v>5</v>
      </c>
      <c r="B22" s="30" t="str">
        <f>'Прил. 3'!C25</f>
        <v>91.05.05-015</v>
      </c>
      <c r="C22" s="83" t="str">
        <f>'Прил. 3'!D25</f>
        <v>Краны на автомобильном ходу, грузоподъемность 16 т</v>
      </c>
      <c r="D22" s="84" t="str">
        <f>'Прил. 3'!E25</f>
        <v>маш.-ч.</v>
      </c>
      <c r="E22" s="116">
        <f>'Прил. 3'!F25</f>
        <v>359.92114700000002</v>
      </c>
      <c r="F22" s="86">
        <f>'Прил. 3'!G25</f>
        <v>115.4</v>
      </c>
      <c r="G22" s="35">
        <f t="shared" si="0"/>
        <v>41534.9</v>
      </c>
      <c r="H22" s="31">
        <f t="shared" si="1"/>
        <v>9.4660712717229589E-2</v>
      </c>
      <c r="I22" s="35">
        <f>ROUND(F22*'Прил. 10'!$D$12,2)</f>
        <v>1554.44</v>
      </c>
      <c r="J22" s="35">
        <f t="shared" si="2"/>
        <v>559475.82999999996</v>
      </c>
    </row>
    <row r="23" spans="1:10" ht="38.25" x14ac:dyDescent="0.25">
      <c r="A23" s="84">
        <v>6</v>
      </c>
      <c r="B23" s="30" t="str">
        <f>'Прил. 3'!C26</f>
        <v>91.01.05-086</v>
      </c>
      <c r="C23" s="83" t="str">
        <f>'Прил. 3'!D26</f>
        <v>Экскаваторы одноковшовые дизельные на гусеничном ходу, емкость ковша 0,65 м3</v>
      </c>
      <c r="D23" s="84" t="str">
        <f>'Прил. 3'!E26</f>
        <v>маш.-ч.</v>
      </c>
      <c r="E23" s="116">
        <f>'Прил. 3'!F26</f>
        <v>351.68</v>
      </c>
      <c r="F23" s="86">
        <f>'Прил. 3'!G26</f>
        <v>115.27</v>
      </c>
      <c r="G23" s="35">
        <f t="shared" si="0"/>
        <v>40538.15</v>
      </c>
      <c r="H23" s="31">
        <f t="shared" si="1"/>
        <v>9.2389055258059141E-2</v>
      </c>
      <c r="I23" s="35">
        <f>ROUND(F23*'Прил. 10'!$D$12,2)</f>
        <v>1552.69</v>
      </c>
      <c r="J23" s="35">
        <f t="shared" si="2"/>
        <v>546050.02</v>
      </c>
    </row>
    <row r="24" spans="1:10" ht="25.5" x14ac:dyDescent="0.25">
      <c r="A24" s="84">
        <v>7</v>
      </c>
      <c r="B24" s="30" t="str">
        <f>'Прил. 3'!C27</f>
        <v>91.05.08-007</v>
      </c>
      <c r="C24" s="83" t="str">
        <f>'Прил. 3'!D27</f>
        <v>Краны на пневмоколесном ходу, грузоподъемность 25 т</v>
      </c>
      <c r="D24" s="84" t="str">
        <f>'Прил. 3'!E27</f>
        <v>маш.-ч.</v>
      </c>
      <c r="E24" s="116">
        <f>'Прил. 3'!F27</f>
        <v>260.02636799999999</v>
      </c>
      <c r="F24" s="86">
        <f>'Прил. 3'!G27</f>
        <v>102.51</v>
      </c>
      <c r="G24" s="35">
        <f t="shared" si="0"/>
        <v>26655.3</v>
      </c>
      <c r="H24" s="31">
        <f t="shared" si="1"/>
        <v>6.0749145795260605E-2</v>
      </c>
      <c r="I24" s="35">
        <f>ROUND(F24*'Прил. 10'!$D$12,2)</f>
        <v>1380.81</v>
      </c>
      <c r="J24" s="35">
        <f t="shared" si="2"/>
        <v>359047.01</v>
      </c>
    </row>
    <row r="25" spans="1:10" ht="63.75" x14ac:dyDescent="0.25">
      <c r="A25" s="84">
        <v>8</v>
      </c>
      <c r="B25" s="30" t="str">
        <f>'Прил. 3'!C28</f>
        <v>91.18.01-007</v>
      </c>
      <c r="C25" s="83" t="str">
        <f>'Прил. 3'!D28</f>
        <v>Компрессоры передвижные с двигателем внутреннего сгорания, давление до 686 кПа (7 ат), производительность до 5 м3/мин</v>
      </c>
      <c r="D25" s="84" t="str">
        <f>'Прил. 3'!E28</f>
        <v>маш.-ч.</v>
      </c>
      <c r="E25" s="116">
        <f>'Прил. 3'!F28</f>
        <v>283.19580000000002</v>
      </c>
      <c r="F25" s="86">
        <f>'Прил. 3'!G28</f>
        <v>90</v>
      </c>
      <c r="G25" s="35">
        <f t="shared" si="0"/>
        <v>25487.62</v>
      </c>
      <c r="H25" s="31">
        <f t="shared" si="1"/>
        <v>5.808792785503071E-2</v>
      </c>
      <c r="I25" s="35">
        <f>ROUND(F25*'Прил. 10'!$D$12,2)</f>
        <v>1212.3</v>
      </c>
      <c r="J25" s="35">
        <f t="shared" si="2"/>
        <v>343318.27</v>
      </c>
    </row>
    <row r="26" spans="1:10" ht="25.5" x14ac:dyDescent="0.25">
      <c r="A26" s="84"/>
      <c r="B26" s="84"/>
      <c r="C26" s="83" t="s">
        <v>221</v>
      </c>
      <c r="D26" s="84"/>
      <c r="E26" s="116"/>
      <c r="F26" s="35"/>
      <c r="G26" s="35">
        <f>SUM(G20:G25)</f>
        <v>397608.83</v>
      </c>
      <c r="H26" s="87">
        <f>G26/G37</f>
        <v>0.90617613694661059</v>
      </c>
      <c r="I26" s="36"/>
      <c r="J26" s="35">
        <f>SUM(J20:J25)</f>
        <v>5355786.2899999991</v>
      </c>
    </row>
    <row r="27" spans="1:10" ht="25.5" x14ac:dyDescent="0.25">
      <c r="A27" s="84">
        <v>9</v>
      </c>
      <c r="B27" s="30" t="str">
        <f>'Прил. 3'!C29</f>
        <v>91.06.06-014</v>
      </c>
      <c r="C27" s="83" t="str">
        <f>'Прил. 3'!D29</f>
        <v>Автогидроподъемники, высота подъема 28 м</v>
      </c>
      <c r="D27" s="84" t="str">
        <f>'Прил. 3'!E29</f>
        <v>маш.-ч.</v>
      </c>
      <c r="E27" s="116">
        <f>'Прил. 3'!F29</f>
        <v>77.409946000000005</v>
      </c>
      <c r="F27" s="86">
        <f>'Прил. 3'!G29</f>
        <v>243.49</v>
      </c>
      <c r="G27" s="35">
        <f t="shared" ref="G27:G35" si="3">ROUND(E27*F27,2)</f>
        <v>18848.55</v>
      </c>
      <c r="H27" s="31">
        <f t="shared" ref="H27:H35" si="4">G27/$G$37</f>
        <v>4.2957059645896287E-2</v>
      </c>
      <c r="I27" s="35">
        <f>ROUND(F27*'Прил. 10'!$D$12,2)</f>
        <v>3279.81</v>
      </c>
      <c r="J27" s="35">
        <f t="shared" ref="J27:J35" si="5">ROUND(I27*E27,2)</f>
        <v>253889.91</v>
      </c>
    </row>
    <row r="28" spans="1:10" ht="25.5" x14ac:dyDescent="0.25">
      <c r="A28" s="84">
        <v>10</v>
      </c>
      <c r="B28" s="30" t="str">
        <f>'Прил. 3'!C30</f>
        <v>91.14.02-001</v>
      </c>
      <c r="C28" s="83" t="str">
        <f>'Прил. 3'!D30</f>
        <v>Автомобили бортовые, грузоподъемность до 5 т</v>
      </c>
      <c r="D28" s="84" t="str">
        <f>'Прил. 3'!E30</f>
        <v>маш.-ч.</v>
      </c>
      <c r="E28" s="116">
        <f>'Прил. 3'!F30</f>
        <v>143.09809300000001</v>
      </c>
      <c r="F28" s="86">
        <f>'Прил. 3'!G30</f>
        <v>65.709999999999994</v>
      </c>
      <c r="G28" s="35">
        <f t="shared" si="3"/>
        <v>9402.98</v>
      </c>
      <c r="H28" s="31">
        <f t="shared" si="4"/>
        <v>2.1429997146155531E-2</v>
      </c>
      <c r="I28" s="35">
        <f>ROUND(F28*'Прил. 10'!$D$12,2)</f>
        <v>885.11</v>
      </c>
      <c r="J28" s="35">
        <f t="shared" si="5"/>
        <v>126657.55</v>
      </c>
    </row>
    <row r="29" spans="1:10" ht="25.5" x14ac:dyDescent="0.25">
      <c r="A29" s="84">
        <v>11</v>
      </c>
      <c r="B29" s="30" t="str">
        <f>'Прил. 3'!C31</f>
        <v>91.01.01-036</v>
      </c>
      <c r="C29" s="83" t="str">
        <f>'Прил. 3'!D31</f>
        <v>Бульдозеры, мощность 96 кВт (130 л.с.)</v>
      </c>
      <c r="D29" s="84" t="str">
        <f>'Прил. 3'!E31</f>
        <v>маш.-ч.</v>
      </c>
      <c r="E29" s="116">
        <f>'Прил. 3'!F31</f>
        <v>58.044330000000002</v>
      </c>
      <c r="F29" s="86">
        <f>'Прил. 3'!G31</f>
        <v>94.05</v>
      </c>
      <c r="G29" s="35">
        <f t="shared" si="3"/>
        <v>5459.07</v>
      </c>
      <c r="H29" s="31">
        <f t="shared" si="4"/>
        <v>1.2441572195268232E-2</v>
      </c>
      <c r="I29" s="35">
        <f>ROUND(F29*'Прил. 10'!$D$12,2)</f>
        <v>1266.8499999999999</v>
      </c>
      <c r="J29" s="35">
        <f t="shared" si="5"/>
        <v>73533.460000000006</v>
      </c>
    </row>
    <row r="30" spans="1:10" ht="51" x14ac:dyDescent="0.25">
      <c r="A30" s="84">
        <v>12</v>
      </c>
      <c r="B30" s="30" t="str">
        <f>'Прил. 3'!C32</f>
        <v>91.17.04-036</v>
      </c>
      <c r="C30" s="83" t="str">
        <f>'Прил. 3'!D32</f>
        <v>Агрегаты сварочные передвижные с дизельным двигателем, номинальный сварочный ток 250-400 А</v>
      </c>
      <c r="D30" s="84" t="str">
        <f>'Прил. 3'!E32</f>
        <v>маш.-ч.</v>
      </c>
      <c r="E30" s="116">
        <f>'Прил. 3'!F32</f>
        <v>155.38489999999999</v>
      </c>
      <c r="F30" s="86">
        <f>'Прил. 3'!G32</f>
        <v>14</v>
      </c>
      <c r="G30" s="35">
        <f t="shared" si="3"/>
        <v>2175.39</v>
      </c>
      <c r="H30" s="31">
        <f t="shared" si="4"/>
        <v>4.9578539454274368E-3</v>
      </c>
      <c r="I30" s="35">
        <f>ROUND(F30*'Прил. 10'!$D$12,2)</f>
        <v>188.58</v>
      </c>
      <c r="J30" s="35">
        <f t="shared" si="5"/>
        <v>29302.48</v>
      </c>
    </row>
    <row r="31" spans="1:10" ht="25.5" x14ac:dyDescent="0.25">
      <c r="A31" s="84">
        <v>13</v>
      </c>
      <c r="B31" s="30" t="str">
        <f>'Прил. 3'!C33</f>
        <v>91.06.05-011</v>
      </c>
      <c r="C31" s="83" t="str">
        <f>'Прил. 3'!D33</f>
        <v>Погрузчики, грузоподъемность 5 т</v>
      </c>
      <c r="D31" s="84" t="str">
        <f>'Прил. 3'!E33</f>
        <v>маш.-ч.</v>
      </c>
      <c r="E31" s="116">
        <f>'Прил. 3'!F33</f>
        <v>23.849682000000001</v>
      </c>
      <c r="F31" s="86">
        <f>'Прил. 3'!G33</f>
        <v>89.99</v>
      </c>
      <c r="G31" s="35">
        <f t="shared" si="3"/>
        <v>2146.23</v>
      </c>
      <c r="H31" s="31">
        <f t="shared" si="4"/>
        <v>4.8913964269830827E-3</v>
      </c>
      <c r="I31" s="35">
        <f>ROUND(F31*'Прил. 10'!$D$12,2)</f>
        <v>1212.17</v>
      </c>
      <c r="J31" s="35">
        <f t="shared" si="5"/>
        <v>28909.87</v>
      </c>
    </row>
    <row r="32" spans="1:10" ht="25.5" x14ac:dyDescent="0.25">
      <c r="A32" s="84">
        <v>14</v>
      </c>
      <c r="B32" s="30" t="str">
        <f>'Прил. 3'!C34</f>
        <v>91.14.02-002</v>
      </c>
      <c r="C32" s="83" t="str">
        <f>'Прил. 3'!D34</f>
        <v>Автомобили бортовые, грузоподъемность до 8 т</v>
      </c>
      <c r="D32" s="84" t="str">
        <f>'Прил. 3'!E34</f>
        <v>маш.-ч.</v>
      </c>
      <c r="E32" s="116">
        <f>'Прил. 3'!F34</f>
        <v>13.258452999999999</v>
      </c>
      <c r="F32" s="86">
        <f>'Прил. 3'!G34</f>
        <v>85.84</v>
      </c>
      <c r="G32" s="35">
        <f t="shared" si="3"/>
        <v>1138.1099999999999</v>
      </c>
      <c r="H32" s="31">
        <f t="shared" si="4"/>
        <v>2.5938260053739422E-3</v>
      </c>
      <c r="I32" s="35">
        <f>ROUND(F32*'Прил. 10'!$D$12,2)</f>
        <v>1156.26</v>
      </c>
      <c r="J32" s="35">
        <f t="shared" si="5"/>
        <v>15330.22</v>
      </c>
    </row>
    <row r="33" spans="1:12" ht="51" x14ac:dyDescent="0.25">
      <c r="A33" s="84">
        <v>15</v>
      </c>
      <c r="B33" s="30" t="str">
        <f>'Прил. 3'!C35</f>
        <v>91.06.05-057</v>
      </c>
      <c r="C33" s="83" t="str">
        <f>'Прил. 3'!D35</f>
        <v>Погрузчики одноковшовые универсальные фронтальные пневмоколесные, грузоподъемность 3 т</v>
      </c>
      <c r="D33" s="84" t="str">
        <f>'Прил. 3'!E35</f>
        <v>маш.-ч.</v>
      </c>
      <c r="E33" s="116">
        <f>'Прил. 3'!F35</f>
        <v>11.592000000000001</v>
      </c>
      <c r="F33" s="86">
        <f>'Прил. 3'!G35</f>
        <v>90.4</v>
      </c>
      <c r="G33" s="35">
        <f t="shared" si="3"/>
        <v>1047.92</v>
      </c>
      <c r="H33" s="31">
        <f t="shared" si="4"/>
        <v>2.3882771854666614E-3</v>
      </c>
      <c r="I33" s="35">
        <f>ROUND(F33*'Прил. 10'!$D$12,2)</f>
        <v>1217.69</v>
      </c>
      <c r="J33" s="35">
        <f t="shared" si="5"/>
        <v>14115.46</v>
      </c>
    </row>
    <row r="34" spans="1:12" ht="38.25" x14ac:dyDescent="0.25">
      <c r="A34" s="84">
        <v>16</v>
      </c>
      <c r="B34" s="30" t="str">
        <f>'Прил. 3'!C36</f>
        <v>91.08.09-023</v>
      </c>
      <c r="C34" s="83" t="str">
        <f>'Прил. 3'!D36</f>
        <v>Трамбовки пневматические при работе от передвижных компрессорных станций</v>
      </c>
      <c r="D34" s="84" t="str">
        <f>'Прил. 3'!E36</f>
        <v>маш.-ч.</v>
      </c>
      <c r="E34" s="116">
        <f>'Прил. 3'!F36</f>
        <v>1134.9449999999999</v>
      </c>
      <c r="F34" s="86">
        <f>'Прил. 3'!G36</f>
        <v>0.55000000000000004</v>
      </c>
      <c r="G34" s="35">
        <f t="shared" si="3"/>
        <v>624.22</v>
      </c>
      <c r="H34" s="31">
        <f t="shared" si="4"/>
        <v>1.4226375913352159E-3</v>
      </c>
      <c r="I34" s="35">
        <f>ROUND(F34*'Прил. 10'!$D$12,2)</f>
        <v>7.41</v>
      </c>
      <c r="J34" s="35">
        <f t="shared" si="5"/>
        <v>8409.94</v>
      </c>
    </row>
    <row r="35" spans="1:12" ht="38.25" x14ac:dyDescent="0.25">
      <c r="A35" s="84">
        <v>17</v>
      </c>
      <c r="B35" s="30" t="str">
        <f>'Прил. 3'!C37</f>
        <v>91.08.09-024</v>
      </c>
      <c r="C35" s="83" t="str">
        <f>'Прил. 3'!D37</f>
        <v>Трамбовки пневматические при работе от стационарного компрессора</v>
      </c>
      <c r="D35" s="84" t="str">
        <f>'Прил. 3'!E37</f>
        <v>маш.-ч.</v>
      </c>
      <c r="E35" s="116">
        <f>'Прил. 3'!F37</f>
        <v>66.239999999999995</v>
      </c>
      <c r="F35" s="86">
        <f>'Прил. 3'!G37</f>
        <v>4.91</v>
      </c>
      <c r="G35" s="35">
        <f t="shared" si="3"/>
        <v>325.24</v>
      </c>
      <c r="H35" s="31">
        <f t="shared" si="4"/>
        <v>7.4124291148291565E-4</v>
      </c>
      <c r="I35" s="35">
        <f>ROUND(F35*'Прил. 10'!$D$12,2)</f>
        <v>66.14</v>
      </c>
      <c r="J35" s="35">
        <f t="shared" si="5"/>
        <v>4381.1099999999997</v>
      </c>
    </row>
    <row r="36" spans="1:12" ht="25.5" x14ac:dyDescent="0.25">
      <c r="A36" s="84"/>
      <c r="B36" s="84"/>
      <c r="C36" s="83" t="s">
        <v>222</v>
      </c>
      <c r="D36" s="84"/>
      <c r="E36" s="85"/>
      <c r="F36" s="35"/>
      <c r="G36" s="36">
        <f>SUM(G27:G35)</f>
        <v>41167.71</v>
      </c>
      <c r="H36" s="31">
        <f>G36/G37</f>
        <v>9.3823863053389314E-2</v>
      </c>
      <c r="I36" s="35"/>
      <c r="J36" s="35">
        <f>SUM(J27:J35)</f>
        <v>554529.99999999988</v>
      </c>
    </row>
    <row r="37" spans="1:12" ht="25.5" x14ac:dyDescent="0.25">
      <c r="A37" s="84"/>
      <c r="B37" s="84"/>
      <c r="C37" s="88" t="s">
        <v>223</v>
      </c>
      <c r="D37" s="84"/>
      <c r="E37" s="85"/>
      <c r="F37" s="35"/>
      <c r="G37" s="35">
        <f>G36+G26</f>
        <v>438776.54000000004</v>
      </c>
      <c r="H37" s="32">
        <v>1</v>
      </c>
      <c r="I37" s="33"/>
      <c r="J37" s="38">
        <f>J36+J26</f>
        <v>5910316.2899999991</v>
      </c>
    </row>
    <row r="38" spans="1:12" x14ac:dyDescent="0.25">
      <c r="A38" s="84"/>
      <c r="B38" s="88" t="s">
        <v>53</v>
      </c>
      <c r="C38" s="110"/>
      <c r="D38" s="110"/>
      <c r="E38" s="110"/>
      <c r="F38" s="110"/>
      <c r="G38" s="110"/>
      <c r="H38" s="111"/>
      <c r="I38" s="34"/>
      <c r="J38" s="34"/>
    </row>
    <row r="39" spans="1:12" x14ac:dyDescent="0.25">
      <c r="A39" s="84"/>
      <c r="B39" s="83" t="s">
        <v>224</v>
      </c>
      <c r="C39" s="110"/>
      <c r="D39" s="110"/>
      <c r="E39" s="110"/>
      <c r="F39" s="110"/>
      <c r="G39" s="110"/>
      <c r="H39" s="111"/>
      <c r="I39" s="34"/>
      <c r="J39" s="34"/>
      <c r="K39" s="65"/>
      <c r="L39" s="65"/>
    </row>
    <row r="40" spans="1:12" x14ac:dyDescent="0.25">
      <c r="A40" s="84"/>
      <c r="B40" s="84"/>
      <c r="C40" s="83" t="s">
        <v>225</v>
      </c>
      <c r="D40" s="84"/>
      <c r="E40" s="116"/>
      <c r="F40" s="86"/>
      <c r="G40" s="35">
        <v>0</v>
      </c>
      <c r="H40" s="87">
        <v>0</v>
      </c>
      <c r="I40" s="36"/>
      <c r="J40" s="35">
        <v>0</v>
      </c>
      <c r="K40" s="65"/>
      <c r="L40" s="65"/>
    </row>
    <row r="41" spans="1:12" x14ac:dyDescent="0.25">
      <c r="A41" s="84"/>
      <c r="B41" s="84"/>
      <c r="C41" s="83" t="s">
        <v>226</v>
      </c>
      <c r="D41" s="84"/>
      <c r="E41" s="116"/>
      <c r="F41" s="86"/>
      <c r="G41" s="35">
        <v>0</v>
      </c>
      <c r="H41" s="87">
        <v>0</v>
      </c>
      <c r="I41" s="36"/>
      <c r="J41" s="35">
        <v>0</v>
      </c>
      <c r="K41" s="65"/>
      <c r="L41" s="65"/>
    </row>
    <row r="42" spans="1:12" ht="25.5" x14ac:dyDescent="0.25">
      <c r="A42" s="84"/>
      <c r="B42" s="84"/>
      <c r="C42" s="88" t="s">
        <v>227</v>
      </c>
      <c r="D42" s="84"/>
      <c r="E42" s="85"/>
      <c r="F42" s="86"/>
      <c r="G42" s="35">
        <f>G40+G41</f>
        <v>0</v>
      </c>
      <c r="H42" s="87">
        <v>0</v>
      </c>
      <c r="I42" s="36"/>
      <c r="J42" s="35">
        <f>J41+J40</f>
        <v>0</v>
      </c>
      <c r="K42" s="65"/>
      <c r="L42" s="65"/>
    </row>
    <row r="43" spans="1:12" ht="25.5" x14ac:dyDescent="0.25">
      <c r="A43" s="84"/>
      <c r="B43" s="84"/>
      <c r="C43" s="83" t="s">
        <v>228</v>
      </c>
      <c r="D43" s="84"/>
      <c r="E43" s="117"/>
      <c r="F43" s="86"/>
      <c r="G43" s="35">
        <f>G42</f>
        <v>0</v>
      </c>
      <c r="H43" s="87"/>
      <c r="I43" s="36"/>
      <c r="J43" s="35">
        <f>J42</f>
        <v>0</v>
      </c>
      <c r="K43" s="65"/>
      <c r="L43" s="65"/>
    </row>
    <row r="44" spans="1:12" x14ac:dyDescent="0.25">
      <c r="A44" s="84"/>
      <c r="B44" s="88" t="s">
        <v>134</v>
      </c>
      <c r="C44" s="110"/>
      <c r="D44" s="110"/>
      <c r="E44" s="110"/>
      <c r="F44" s="110"/>
      <c r="G44" s="110"/>
      <c r="H44" s="111"/>
      <c r="I44" s="34"/>
      <c r="J44" s="34"/>
    </row>
    <row r="45" spans="1:12" x14ac:dyDescent="0.25">
      <c r="A45" s="90"/>
      <c r="B45" s="89" t="s">
        <v>229</v>
      </c>
      <c r="C45" s="118"/>
      <c r="D45" s="118"/>
      <c r="E45" s="118"/>
      <c r="F45" s="118"/>
      <c r="G45" s="118"/>
      <c r="H45" s="119"/>
      <c r="I45" s="37"/>
      <c r="J45" s="37"/>
    </row>
    <row r="46" spans="1:12" ht="25.5" x14ac:dyDescent="0.25">
      <c r="A46" s="84">
        <v>18</v>
      </c>
      <c r="B46" s="30" t="str">
        <f>'Прил. 3'!C39</f>
        <v>22.2.02.07-0003</v>
      </c>
      <c r="C46" s="83" t="str">
        <f>'Прил. 3'!D39</f>
        <v>Конструкции стальные порталов ОРУ</v>
      </c>
      <c r="D46" s="84" t="str">
        <f>'Прил. 3'!E39</f>
        <v>т</v>
      </c>
      <c r="E46" s="116">
        <f>'Прил. 3'!F39</f>
        <v>103.69427</v>
      </c>
      <c r="F46" s="86">
        <f>'Прил. 3'!G39</f>
        <v>12500</v>
      </c>
      <c r="G46" s="35">
        <f>ROUND(E46*F46,2)</f>
        <v>1296178.3799999999</v>
      </c>
      <c r="H46" s="31">
        <f>G46/G61</f>
        <v>0.49903156923590997</v>
      </c>
      <c r="I46" s="35">
        <f>ROUND(F46*'Прил. 10'!$D$13,2)</f>
        <v>100500</v>
      </c>
      <c r="J46" s="35">
        <f>ROUND(I46*E46,2)</f>
        <v>10421274.140000001</v>
      </c>
    </row>
    <row r="47" spans="1:12" ht="25.5" x14ac:dyDescent="0.25">
      <c r="A47" s="84">
        <v>19</v>
      </c>
      <c r="B47" s="30" t="str">
        <f>'Прил. 3'!C40</f>
        <v>02.2.04.03-0003</v>
      </c>
      <c r="C47" s="83" t="str">
        <f>'Прил. 3'!D40</f>
        <v>Смесь песчано-гравийная природная</v>
      </c>
      <c r="D47" s="84" t="str">
        <f>'Прил. 3'!E40</f>
        <v>м3</v>
      </c>
      <c r="E47" s="116">
        <f>'Прил. 3'!F40</f>
        <v>12010</v>
      </c>
      <c r="F47" s="86">
        <f>'Прил. 3'!G40</f>
        <v>60</v>
      </c>
      <c r="G47" s="35">
        <f>ROUND(E47*F47,2)</f>
        <v>720600</v>
      </c>
      <c r="H47" s="53">
        <f>G47/G61</f>
        <v>0.27743260830457361</v>
      </c>
      <c r="I47" s="35">
        <f>ROUND(F47*'Прил. 10'!$D$13,2)</f>
        <v>482.4</v>
      </c>
      <c r="J47" s="35">
        <f>ROUND(I47*E47,2)</f>
        <v>5793624</v>
      </c>
    </row>
    <row r="48" spans="1:12" ht="25.5" x14ac:dyDescent="0.25">
      <c r="A48" s="84">
        <v>20</v>
      </c>
      <c r="B48" s="30" t="str">
        <f>'Прил. 3'!C41</f>
        <v>05.1.05.16-0221</v>
      </c>
      <c r="C48" s="83" t="str">
        <f>'Прил. 3'!D41</f>
        <v>Фундаменты сборные железобетонные ВЛ и ОРУ</v>
      </c>
      <c r="D48" s="84" t="str">
        <f>'Прил. 3'!E41</f>
        <v>м3</v>
      </c>
      <c r="E48" s="116">
        <f>'Прил. 3'!F41</f>
        <v>217.19040000000001</v>
      </c>
      <c r="F48" s="86">
        <f>'Прил. 3'!G41</f>
        <v>1597.37</v>
      </c>
      <c r="G48" s="35">
        <f>ROUND(E48*F48,2)</f>
        <v>346933.43</v>
      </c>
      <c r="H48" s="53">
        <f>G48/$G$61</f>
        <v>0.13357014486948682</v>
      </c>
      <c r="I48" s="35">
        <f>ROUND(F48*'Прил. 10'!$D$13,2)</f>
        <v>12842.85</v>
      </c>
      <c r="J48" s="35">
        <f>ROUND(I48*E48,2)</f>
        <v>2789343.73</v>
      </c>
    </row>
    <row r="49" spans="1:10" x14ac:dyDescent="0.25">
      <c r="A49" s="84"/>
      <c r="B49" s="30"/>
      <c r="C49" s="83" t="s">
        <v>230</v>
      </c>
      <c r="D49" s="84"/>
      <c r="E49" s="116"/>
      <c r="F49" s="86"/>
      <c r="G49" s="35">
        <f>SUM(G46:G48)</f>
        <v>2363711.81</v>
      </c>
      <c r="H49" s="54">
        <f>G49/G61</f>
        <v>0.9100343224099704</v>
      </c>
      <c r="I49" s="38"/>
      <c r="J49" s="38">
        <f>SUM(J46:J48)</f>
        <v>19004241.870000001</v>
      </c>
    </row>
    <row r="50" spans="1:10" ht="25.5" x14ac:dyDescent="0.25">
      <c r="A50" s="84">
        <v>21</v>
      </c>
      <c r="B50" s="30" t="str">
        <f>'Прил. 3'!C42</f>
        <v>10.1.02.03-0001</v>
      </c>
      <c r="C50" s="83" t="str">
        <f>'Прил. 3'!D42</f>
        <v>Проволока алюминиевая, марка АМЦ, диаметр 1,4-1,8 мм</v>
      </c>
      <c r="D50" s="84" t="str">
        <f>'Прил. 3'!E42</f>
        <v>т</v>
      </c>
      <c r="E50" s="116">
        <f>'Прил. 3'!F42</f>
        <v>3.601302</v>
      </c>
      <c r="F50" s="86">
        <f>'Прил. 3'!G42</f>
        <v>30090</v>
      </c>
      <c r="G50" s="35">
        <f t="shared" ref="G50:G59" si="6">ROUND(E50*F50,2)</f>
        <v>108363.18</v>
      </c>
      <c r="H50" s="53">
        <f t="shared" ref="H50:H59" si="7">G50/$G$61</f>
        <v>4.1720066155395509E-2</v>
      </c>
      <c r="I50" s="35">
        <f>ROUND(F50*'Прил. 10'!$D$13,2)</f>
        <v>241923.6</v>
      </c>
      <c r="J50" s="35">
        <f t="shared" ref="J50:J59" si="8">ROUND(I50*E50,2)</f>
        <v>871239.94</v>
      </c>
    </row>
    <row r="51" spans="1:10" ht="25.5" x14ac:dyDescent="0.25">
      <c r="A51" s="84">
        <v>22</v>
      </c>
      <c r="B51" s="30" t="str">
        <f>'Прил. 3'!C43</f>
        <v>08.1.02.11-0015</v>
      </c>
      <c r="C51" s="83" t="str">
        <f>'Прил. 3'!D43</f>
        <v>Поковки оцинкованные, масса 4,5 кг</v>
      </c>
      <c r="D51" s="84" t="str">
        <f>'Прил. 3'!E43</f>
        <v>т</v>
      </c>
      <c r="E51" s="116">
        <f>'Прил. 3'!F43</f>
        <v>4.2240000000000002</v>
      </c>
      <c r="F51" s="86">
        <f>'Прил. 3'!G43</f>
        <v>10869.98</v>
      </c>
      <c r="G51" s="35">
        <f t="shared" si="6"/>
        <v>45914.8</v>
      </c>
      <c r="H51" s="53">
        <f t="shared" si="7"/>
        <v>1.7677300477078595E-2</v>
      </c>
      <c r="I51" s="35">
        <f>ROUND(F51*'Прил. 10'!$D$13,2)</f>
        <v>87394.64</v>
      </c>
      <c r="J51" s="35">
        <f t="shared" si="8"/>
        <v>369154.96</v>
      </c>
    </row>
    <row r="52" spans="1:10" ht="25.5" x14ac:dyDescent="0.25">
      <c r="A52" s="84">
        <v>23</v>
      </c>
      <c r="B52" s="30" t="str">
        <f>'Прил. 3'!C44</f>
        <v>05.1.03.13-0183</v>
      </c>
      <c r="C52" s="83" t="str">
        <f>'Прил. 3'!D44</f>
        <v>Ригели сборные железобетонные ВЛ и ОРУ</v>
      </c>
      <c r="D52" s="84" t="str">
        <f>'Прил. 3'!E44</f>
        <v>м3</v>
      </c>
      <c r="E52" s="116">
        <f>'Прил. 3'!F44</f>
        <v>15.5136</v>
      </c>
      <c r="F52" s="86">
        <f>'Прил. 3'!G44</f>
        <v>1733.42</v>
      </c>
      <c r="G52" s="35">
        <f t="shared" si="6"/>
        <v>26891.58</v>
      </c>
      <c r="H52" s="53">
        <f t="shared" si="7"/>
        <v>1.0353318319221629E-2</v>
      </c>
      <c r="I52" s="35">
        <f>ROUND(F52*'Прил. 10'!$D$13,2)</f>
        <v>13936.7</v>
      </c>
      <c r="J52" s="35">
        <f t="shared" si="8"/>
        <v>216208.39</v>
      </c>
    </row>
    <row r="53" spans="1:10" ht="25.5" x14ac:dyDescent="0.25">
      <c r="A53" s="84">
        <v>24</v>
      </c>
      <c r="B53" s="30" t="str">
        <f>'Прил. 3'!C45</f>
        <v>02.2.05.04-1567</v>
      </c>
      <c r="C53" s="83" t="str">
        <f>'Прил. 3'!D45</f>
        <v>Щебень М 400, фракция 5(3)-10 мм, группа 2</v>
      </c>
      <c r="D53" s="84" t="str">
        <f>'Прил. 3'!E45</f>
        <v>м3</v>
      </c>
      <c r="E53" s="116">
        <f>'Прил. 3'!F45</f>
        <v>190.44</v>
      </c>
      <c r="F53" s="86">
        <f>'Прил. 3'!G45</f>
        <v>131.08000000000001</v>
      </c>
      <c r="G53" s="35">
        <f t="shared" si="6"/>
        <v>24962.880000000001</v>
      </c>
      <c r="H53" s="53">
        <f t="shared" si="7"/>
        <v>9.6107645145629677E-3</v>
      </c>
      <c r="I53" s="35">
        <f>ROUND(F53*'Прил. 10'!$D$13,2)</f>
        <v>1053.8800000000001</v>
      </c>
      <c r="J53" s="35">
        <f t="shared" si="8"/>
        <v>200700.91</v>
      </c>
    </row>
    <row r="54" spans="1:10" ht="25.5" x14ac:dyDescent="0.25">
      <c r="A54" s="84">
        <v>25</v>
      </c>
      <c r="B54" s="30" t="str">
        <f>'Прил. 3'!C46</f>
        <v>01.7.15.03-0036</v>
      </c>
      <c r="C54" s="83" t="str">
        <f>'Прил. 3'!D46</f>
        <v>Болты с гайками и шайбами оцинкованные, диаметр 24 мм</v>
      </c>
      <c r="D54" s="84" t="str">
        <f>'Прил. 3'!E46</f>
        <v>кг</v>
      </c>
      <c r="E54" s="116" t="str">
        <f>'Прил. 3'!F46</f>
        <v>605</v>
      </c>
      <c r="F54" s="86">
        <f>'Прил. 3'!G46</f>
        <v>24.79</v>
      </c>
      <c r="G54" s="35">
        <f t="shared" si="6"/>
        <v>14997.95</v>
      </c>
      <c r="H54" s="53">
        <f t="shared" si="7"/>
        <v>5.7742442238711902E-3</v>
      </c>
      <c r="I54" s="35">
        <f>ROUND(F54*'Прил. 10'!$D$13,2)</f>
        <v>199.31</v>
      </c>
      <c r="J54" s="35">
        <f t="shared" si="8"/>
        <v>120582.55</v>
      </c>
    </row>
    <row r="55" spans="1:10" x14ac:dyDescent="0.25">
      <c r="A55" s="84">
        <v>26</v>
      </c>
      <c r="B55" s="30" t="str">
        <f>'Прил. 3'!C47</f>
        <v>14.5.09.11-0102</v>
      </c>
      <c r="C55" s="83" t="str">
        <f>'Прил. 3'!D47</f>
        <v>Уайт-спирит</v>
      </c>
      <c r="D55" s="84" t="str">
        <f>'Прил. 3'!E47</f>
        <v>кг</v>
      </c>
      <c r="E55" s="116">
        <f>'Прил. 3'!F47</f>
        <v>1192.484107</v>
      </c>
      <c r="F55" s="86">
        <f>'Прил. 3'!G47</f>
        <v>6.67</v>
      </c>
      <c r="G55" s="35">
        <f t="shared" si="6"/>
        <v>7953.87</v>
      </c>
      <c r="H55" s="53">
        <f t="shared" si="7"/>
        <v>3.0622577022141255E-3</v>
      </c>
      <c r="I55" s="35">
        <f>ROUND(F55*'Прил. 10'!$D$13,2)</f>
        <v>53.63</v>
      </c>
      <c r="J55" s="35">
        <f t="shared" si="8"/>
        <v>63952.92</v>
      </c>
    </row>
    <row r="56" spans="1:10" ht="25.5" x14ac:dyDescent="0.25">
      <c r="A56" s="84">
        <v>27</v>
      </c>
      <c r="B56" s="30" t="str">
        <f>'Прил. 3'!C48</f>
        <v>01.7.11.07-0032</v>
      </c>
      <c r="C56" s="83" t="str">
        <f>'Прил. 3'!D48</f>
        <v>Электроды сварочные Э42, диаметр 4 мм</v>
      </c>
      <c r="D56" s="84" t="str">
        <f>'Прил. 3'!E48</f>
        <v>т</v>
      </c>
      <c r="E56" s="116">
        <f>'Прил. 3'!F48</f>
        <v>0.37984099999999998</v>
      </c>
      <c r="F56" s="86">
        <f>'Прил. 3'!G48</f>
        <v>10315.01</v>
      </c>
      <c r="G56" s="35">
        <f t="shared" si="6"/>
        <v>3918.06</v>
      </c>
      <c r="H56" s="53">
        <f t="shared" si="7"/>
        <v>1.5084618447041599E-3</v>
      </c>
      <c r="I56" s="35">
        <f>ROUND(F56*'Прил. 10'!$D$13,2)</f>
        <v>82932.679999999993</v>
      </c>
      <c r="J56" s="35">
        <f t="shared" si="8"/>
        <v>31501.23</v>
      </c>
    </row>
    <row r="57" spans="1:10" ht="63.75" x14ac:dyDescent="0.25">
      <c r="A57" s="84">
        <v>28</v>
      </c>
      <c r="B57" s="30" t="str">
        <f>'Прил. 3'!C49</f>
        <v>07.2.07.12-0002</v>
      </c>
      <c r="C57" s="83" t="str">
        <f>'Прил. 3'!D49</f>
        <v>Элементы конструктивные вспомогательного назначения массой не более 50 кг с преобладанием толстолистовой стали с отверстиями</v>
      </c>
      <c r="D57" s="84" t="str">
        <f>'Прил. 3'!E49</f>
        <v>т</v>
      </c>
      <c r="E57" s="116">
        <f>'Прил. 3'!F49</f>
        <v>7.1482000000000004E-2</v>
      </c>
      <c r="F57" s="86">
        <f>'Прил. 3'!G49</f>
        <v>7441</v>
      </c>
      <c r="G57" s="35">
        <f t="shared" si="6"/>
        <v>531.9</v>
      </c>
      <c r="H57" s="53">
        <f t="shared" si="7"/>
        <v>2.0478268714571563E-4</v>
      </c>
      <c r="I57" s="35">
        <f>ROUND(F57*'Прил. 10'!$D$13,2)</f>
        <v>59825.64</v>
      </c>
      <c r="J57" s="35">
        <f t="shared" si="8"/>
        <v>4276.46</v>
      </c>
    </row>
    <row r="58" spans="1:10" ht="25.5" x14ac:dyDescent="0.25">
      <c r="A58" s="84">
        <v>29</v>
      </c>
      <c r="B58" s="30" t="str">
        <f>'Прил. 3'!C50</f>
        <v>01.7.15.03-0035</v>
      </c>
      <c r="C58" s="83" t="str">
        <f>'Прил. 3'!D50</f>
        <v>Болты с гайками и шайбами оцинкованные, диаметр 20 мм</v>
      </c>
      <c r="D58" s="84" t="str">
        <f>'Прил. 3'!E50</f>
        <v>кг</v>
      </c>
      <c r="E58" s="116">
        <f>'Прил. 3'!F50</f>
        <v>3.24</v>
      </c>
      <c r="F58" s="86">
        <f>'Прил. 3'!G50</f>
        <v>24.97</v>
      </c>
      <c r="G58" s="35">
        <f t="shared" si="6"/>
        <v>80.900000000000006</v>
      </c>
      <c r="H58" s="53">
        <f t="shared" si="7"/>
        <v>3.1146680560421877E-5</v>
      </c>
      <c r="I58" s="35">
        <f>ROUND(F58*'Прил. 10'!$D$13,2)</f>
        <v>200.76</v>
      </c>
      <c r="J58" s="35">
        <f t="shared" si="8"/>
        <v>650.46</v>
      </c>
    </row>
    <row r="59" spans="1:10" x14ac:dyDescent="0.25">
      <c r="A59" s="84">
        <v>30</v>
      </c>
      <c r="B59" s="30" t="str">
        <f>'Прил. 3'!C51</f>
        <v>01.7.03.01-0001</v>
      </c>
      <c r="C59" s="83" t="str">
        <f>'Прил. 3'!D51</f>
        <v>Вода</v>
      </c>
      <c r="D59" s="84" t="str">
        <f>'Прил. 3'!E51</f>
        <v>м3</v>
      </c>
      <c r="E59" s="116">
        <f>'Прил. 3'!F51</f>
        <v>24.84</v>
      </c>
      <c r="F59" s="86">
        <f>'Прил. 3'!G51</f>
        <v>2.44</v>
      </c>
      <c r="G59" s="35">
        <f t="shared" si="6"/>
        <v>60.61</v>
      </c>
      <c r="H59" s="53">
        <f t="shared" si="7"/>
        <v>2.3334985275243138E-5</v>
      </c>
      <c r="I59" s="35">
        <f>ROUND(F59*'Прил. 10'!$D$13,2)</f>
        <v>19.62</v>
      </c>
      <c r="J59" s="35">
        <f t="shared" si="8"/>
        <v>487.36</v>
      </c>
    </row>
    <row r="60" spans="1:10" x14ac:dyDescent="0.25">
      <c r="A60" s="93"/>
      <c r="B60" s="93"/>
      <c r="C60" s="55" t="s">
        <v>231</v>
      </c>
      <c r="D60" s="93"/>
      <c r="E60" s="56"/>
      <c r="F60" s="57"/>
      <c r="G60" s="38">
        <f>SUM(G50:G59)</f>
        <v>233675.72999999998</v>
      </c>
      <c r="H60" s="87">
        <f>G60/G61</f>
        <v>8.9965677590029547E-2</v>
      </c>
      <c r="I60" s="35"/>
      <c r="J60" s="38">
        <f>SUM(J50:J59)</f>
        <v>1878755.18</v>
      </c>
    </row>
    <row r="61" spans="1:10" ht="25.5" x14ac:dyDescent="0.25">
      <c r="A61" s="84"/>
      <c r="B61" s="84"/>
      <c r="C61" s="88" t="s">
        <v>232</v>
      </c>
      <c r="D61" s="84"/>
      <c r="E61" s="85"/>
      <c r="F61" s="86"/>
      <c r="G61" s="35">
        <f>G49+G60</f>
        <v>2597387.54</v>
      </c>
      <c r="H61" s="87">
        <v>1</v>
      </c>
      <c r="I61" s="35"/>
      <c r="J61" s="35">
        <f>J49+J60</f>
        <v>20882997.050000001</v>
      </c>
    </row>
    <row r="62" spans="1:10" x14ac:dyDescent="0.25">
      <c r="A62" s="84"/>
      <c r="B62" s="84"/>
      <c r="C62" s="83" t="s">
        <v>233</v>
      </c>
      <c r="D62" s="84"/>
      <c r="E62" s="85"/>
      <c r="F62" s="86"/>
      <c r="G62" s="35">
        <f>G15+G37+G61</f>
        <v>3173921.01</v>
      </c>
      <c r="H62" s="87"/>
      <c r="I62" s="35"/>
      <c r="J62" s="35">
        <f>J15+J37+J61</f>
        <v>33154689.530000001</v>
      </c>
    </row>
    <row r="63" spans="1:10" x14ac:dyDescent="0.25">
      <c r="A63" s="84"/>
      <c r="B63" s="84"/>
      <c r="C63" s="83" t="s">
        <v>234</v>
      </c>
      <c r="D63" s="39">
        <f>ROUND(G63/(G$17+$G$15),2)</f>
        <v>0.95</v>
      </c>
      <c r="E63" s="85"/>
      <c r="F63" s="86"/>
      <c r="G63" s="35">
        <v>218617.45</v>
      </c>
      <c r="H63" s="87"/>
      <c r="I63" s="35"/>
      <c r="J63" s="35">
        <f>ROUND(D63*(J15+J17),2)</f>
        <v>9891060.75</v>
      </c>
    </row>
    <row r="64" spans="1:10" x14ac:dyDescent="0.25">
      <c r="A64" s="84"/>
      <c r="B64" s="84"/>
      <c r="C64" s="83" t="s">
        <v>235</v>
      </c>
      <c r="D64" s="39">
        <f>ROUND(G64/(G$15+G$17),2)</f>
        <v>0.52</v>
      </c>
      <c r="E64" s="85"/>
      <c r="F64" s="86"/>
      <c r="G64" s="35">
        <v>120007.8</v>
      </c>
      <c r="H64" s="87"/>
      <c r="I64" s="35"/>
      <c r="J64" s="35">
        <f>ROUND(D64*(J15+J17),2)</f>
        <v>5414054.2999999998</v>
      </c>
    </row>
    <row r="65" spans="1:10" x14ac:dyDescent="0.25">
      <c r="A65" s="84"/>
      <c r="B65" s="84"/>
      <c r="C65" s="83" t="s">
        <v>236</v>
      </c>
      <c r="D65" s="84"/>
      <c r="E65" s="85"/>
      <c r="F65" s="86"/>
      <c r="G65" s="35">
        <f>G15+G37+G61+G63+G64</f>
        <v>3512546.26</v>
      </c>
      <c r="H65" s="87"/>
      <c r="I65" s="35"/>
      <c r="J65" s="35">
        <f>J15+J37+J61+J63+J64</f>
        <v>48459804.579999998</v>
      </c>
    </row>
    <row r="66" spans="1:10" ht="25.5" x14ac:dyDescent="0.25">
      <c r="A66" s="84"/>
      <c r="B66" s="84"/>
      <c r="C66" s="83" t="s">
        <v>237</v>
      </c>
      <c r="D66" s="84"/>
      <c r="E66" s="85"/>
      <c r="F66" s="86"/>
      <c r="G66" s="35">
        <f>G65+G42</f>
        <v>3512546.26</v>
      </c>
      <c r="H66" s="87"/>
      <c r="I66" s="35"/>
      <c r="J66" s="35">
        <f>J65+J42</f>
        <v>48459804.579999998</v>
      </c>
    </row>
    <row r="67" spans="1:10" ht="25.5" x14ac:dyDescent="0.25">
      <c r="A67" s="84"/>
      <c r="B67" s="84"/>
      <c r="C67" s="83" t="s">
        <v>203</v>
      </c>
      <c r="D67" s="84" t="s">
        <v>238</v>
      </c>
      <c r="E67" s="85">
        <v>12</v>
      </c>
      <c r="F67" s="86"/>
      <c r="G67" s="35">
        <f>G66/E67</f>
        <v>292712.1883333333</v>
      </c>
      <c r="H67" s="87"/>
      <c r="I67" s="35"/>
      <c r="J67" s="35">
        <f>J66/E67</f>
        <v>4038317.0483333333</v>
      </c>
    </row>
    <row r="69" spans="1:10" x14ac:dyDescent="0.25">
      <c r="A69" s="59" t="s">
        <v>239</v>
      </c>
    </row>
    <row r="70" spans="1:10" x14ac:dyDescent="0.25">
      <c r="A70" s="64" t="s">
        <v>41</v>
      </c>
    </row>
    <row r="71" spans="1:10" x14ac:dyDescent="0.25">
      <c r="A71" s="59"/>
    </row>
    <row r="72" spans="1:10" x14ac:dyDescent="0.25">
      <c r="A72" s="59" t="s">
        <v>42</v>
      </c>
    </row>
    <row r="73" spans="1:10" x14ac:dyDescent="0.25">
      <c r="A73" s="6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defaultRowHeight="15" x14ac:dyDescent="0.25"/>
  <sheetData>
    <row r="1" spans="1:7" x14ac:dyDescent="0.25">
      <c r="A1" s="95" t="s">
        <v>240</v>
      </c>
    </row>
    <row r="2" spans="1:7" x14ac:dyDescent="0.25">
      <c r="A2" s="95"/>
      <c r="B2" s="95"/>
      <c r="C2" s="95"/>
      <c r="D2" s="95"/>
      <c r="E2" s="95"/>
      <c r="F2" s="95"/>
      <c r="G2" s="95"/>
    </row>
    <row r="3" spans="1:7" x14ac:dyDescent="0.25">
      <c r="A3" s="80" t="s">
        <v>241</v>
      </c>
    </row>
    <row r="4" spans="1:7" ht="191.25" x14ac:dyDescent="0.25">
      <c r="A4" s="92" t="s">
        <v>242</v>
      </c>
    </row>
    <row r="5" spans="1:7" x14ac:dyDescent="0.25">
      <c r="A5" s="59"/>
      <c r="B5" s="59"/>
      <c r="C5" s="59"/>
      <c r="D5" s="59"/>
      <c r="E5" s="59"/>
      <c r="F5" s="59"/>
      <c r="G5" s="59"/>
    </row>
    <row r="6" spans="1:7" ht="76.5" x14ac:dyDescent="0.25">
      <c r="A6" s="96" t="s">
        <v>211</v>
      </c>
      <c r="B6" s="96" t="s">
        <v>73</v>
      </c>
      <c r="C6" s="96" t="s">
        <v>169</v>
      </c>
      <c r="D6" s="96" t="s">
        <v>75</v>
      </c>
      <c r="E6" s="84" t="s">
        <v>212</v>
      </c>
      <c r="F6" s="96" t="s">
        <v>77</v>
      </c>
      <c r="G6" s="111"/>
    </row>
    <row r="7" spans="1:7" ht="25.5" x14ac:dyDescent="0.25">
      <c r="A7" s="113"/>
      <c r="B7" s="113"/>
      <c r="C7" s="113"/>
      <c r="D7" s="113"/>
      <c r="E7" s="113"/>
      <c r="F7" s="84" t="s">
        <v>215</v>
      </c>
      <c r="G7" s="84" t="s">
        <v>79</v>
      </c>
    </row>
    <row r="8" spans="1:7" x14ac:dyDescent="0.25">
      <c r="A8" s="84">
        <v>1</v>
      </c>
      <c r="B8" s="84">
        <v>2</v>
      </c>
      <c r="C8" s="84">
        <v>3</v>
      </c>
      <c r="D8" s="84">
        <v>4</v>
      </c>
      <c r="E8" s="84">
        <v>5</v>
      </c>
      <c r="F8" s="84">
        <v>6</v>
      </c>
      <c r="G8" s="84">
        <v>7</v>
      </c>
    </row>
    <row r="9" spans="1:7" ht="51" x14ac:dyDescent="0.25">
      <c r="A9" s="40"/>
      <c r="B9" s="83" t="s">
        <v>243</v>
      </c>
      <c r="C9" s="110"/>
      <c r="D9" s="110"/>
      <c r="E9" s="110"/>
      <c r="F9" s="110"/>
      <c r="G9" s="111"/>
    </row>
    <row r="10" spans="1:7" ht="63.75" x14ac:dyDescent="0.25">
      <c r="A10" s="84"/>
      <c r="B10" s="88"/>
      <c r="C10" s="83" t="s">
        <v>244</v>
      </c>
      <c r="D10" s="88"/>
      <c r="E10" s="41"/>
      <c r="F10" s="86"/>
      <c r="G10" s="86">
        <v>0</v>
      </c>
    </row>
    <row r="11" spans="1:7" ht="63.75" x14ac:dyDescent="0.25">
      <c r="A11" s="84"/>
      <c r="B11" s="83" t="s">
        <v>245</v>
      </c>
      <c r="C11" s="110"/>
      <c r="D11" s="110"/>
      <c r="E11" s="110"/>
      <c r="F11" s="110"/>
      <c r="G11" s="111"/>
    </row>
    <row r="12" spans="1:7" x14ac:dyDescent="0.25">
      <c r="A12" s="84">
        <v>1</v>
      </c>
      <c r="B12" s="83"/>
      <c r="C12" s="83"/>
      <c r="D12" s="84"/>
      <c r="E12" s="84"/>
      <c r="F12" s="86"/>
      <c r="G12" s="35"/>
    </row>
    <row r="13" spans="1:7" ht="76.5" x14ac:dyDescent="0.25">
      <c r="A13" s="84"/>
      <c r="B13" s="83"/>
      <c r="C13" s="83" t="s">
        <v>246</v>
      </c>
      <c r="D13" s="83"/>
      <c r="E13" s="94"/>
      <c r="F13" s="86"/>
      <c r="G13" s="35">
        <f>SUM(G12:G12)</f>
        <v>0</v>
      </c>
    </row>
    <row r="14" spans="1:7" ht="51" x14ac:dyDescent="0.25">
      <c r="A14" s="84"/>
      <c r="B14" s="83"/>
      <c r="C14" s="83" t="s">
        <v>247</v>
      </c>
      <c r="D14" s="83"/>
      <c r="E14" s="94"/>
      <c r="F14" s="86"/>
      <c r="G14" s="35">
        <f>G10+G13</f>
        <v>0</v>
      </c>
    </row>
    <row r="15" spans="1:7" x14ac:dyDescent="0.25">
      <c r="A15" s="66"/>
      <c r="B15" s="63"/>
      <c r="C15" s="66"/>
      <c r="D15" s="66"/>
      <c r="E15" s="66"/>
      <c r="F15" s="66"/>
      <c r="G15" s="66"/>
    </row>
    <row r="16" spans="1:7" x14ac:dyDescent="0.25">
      <c r="A16" s="59" t="s">
        <v>239</v>
      </c>
      <c r="B16" s="65"/>
      <c r="C16" s="65"/>
      <c r="D16" s="66"/>
      <c r="E16" s="66"/>
      <c r="F16" s="66"/>
      <c r="G16" s="66"/>
    </row>
    <row r="17" spans="1:7" x14ac:dyDescent="0.25">
      <c r="A17" s="64" t="s">
        <v>41</v>
      </c>
      <c r="B17" s="65"/>
      <c r="C17" s="65"/>
      <c r="D17" s="66"/>
      <c r="E17" s="66"/>
      <c r="F17" s="66"/>
      <c r="G17" s="66"/>
    </row>
    <row r="18" spans="1:7" x14ac:dyDescent="0.25">
      <c r="A18" s="59"/>
      <c r="B18" s="65"/>
      <c r="C18" s="65"/>
      <c r="D18" s="66"/>
      <c r="E18" s="66"/>
      <c r="F18" s="66"/>
      <c r="G18" s="66"/>
    </row>
    <row r="19" spans="1:7" x14ac:dyDescent="0.25">
      <c r="A19" s="59" t="s">
        <v>42</v>
      </c>
      <c r="B19" s="65"/>
      <c r="C19" s="65"/>
      <c r="D19" s="66"/>
      <c r="E19" s="66"/>
      <c r="F19" s="66"/>
      <c r="G19" s="66"/>
    </row>
    <row r="20" spans="1:7" x14ac:dyDescent="0.25">
      <c r="A20" s="64" t="s">
        <v>43</v>
      </c>
      <c r="B20" s="65"/>
      <c r="C20" s="65"/>
      <c r="D20" s="66"/>
      <c r="E20" s="66"/>
      <c r="F20" s="66"/>
      <c r="G20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/>
  </sheetViews>
  <sheetFormatPr defaultRowHeight="15" x14ac:dyDescent="0.25"/>
  <sheetData>
    <row r="1" spans="1:5" x14ac:dyDescent="0.25">
      <c r="B1" s="59"/>
      <c r="C1" s="59"/>
      <c r="D1" s="95" t="s">
        <v>248</v>
      </c>
    </row>
    <row r="2" spans="1:5" x14ac:dyDescent="0.25">
      <c r="A2" s="95"/>
      <c r="B2" s="95"/>
      <c r="C2" s="95"/>
      <c r="D2" s="95"/>
    </row>
    <row r="3" spans="1:5" x14ac:dyDescent="0.25">
      <c r="A3" s="80" t="s">
        <v>249</v>
      </c>
    </row>
    <row r="4" spans="1:5" x14ac:dyDescent="0.25">
      <c r="A4" s="80"/>
      <c r="B4" s="80"/>
      <c r="C4" s="80"/>
      <c r="D4" s="80"/>
    </row>
    <row r="5" spans="1:5" ht="89.25" x14ac:dyDescent="0.25">
      <c r="A5" s="92" t="s">
        <v>250</v>
      </c>
      <c r="D5" s="92" t="str">
        <f>'Прил.5 Расчет СМР и ОБ'!D6:J6</f>
        <v>Устройство порталов и ошиновки ОРУ 500 кВ</v>
      </c>
    </row>
    <row r="6" spans="1:5" ht="51" x14ac:dyDescent="0.25">
      <c r="A6" s="92" t="s">
        <v>4</v>
      </c>
      <c r="D6" s="92"/>
    </row>
    <row r="7" spans="1:5" x14ac:dyDescent="0.25">
      <c r="A7" s="59"/>
      <c r="B7" s="59"/>
      <c r="C7" s="59"/>
      <c r="D7" s="59"/>
    </row>
    <row r="8" spans="1:5" ht="126" x14ac:dyDescent="0.25">
      <c r="A8" s="75" t="s">
        <v>251</v>
      </c>
      <c r="B8" s="75" t="s">
        <v>252</v>
      </c>
      <c r="C8" s="75" t="s">
        <v>253</v>
      </c>
      <c r="D8" s="75" t="s">
        <v>254</v>
      </c>
    </row>
    <row r="9" spans="1:5" x14ac:dyDescent="0.25">
      <c r="A9" s="113"/>
      <c r="B9" s="113"/>
      <c r="C9" s="113"/>
      <c r="D9" s="113"/>
    </row>
    <row r="10" spans="1:5" x14ac:dyDescent="0.25">
      <c r="A10" s="84">
        <v>1</v>
      </c>
      <c r="B10" s="84">
        <v>2</v>
      </c>
      <c r="C10" s="84">
        <v>3</v>
      </c>
      <c r="D10" s="84">
        <v>4</v>
      </c>
    </row>
    <row r="11" spans="1:5" ht="102" x14ac:dyDescent="0.25">
      <c r="A11" s="84" t="s">
        <v>255</v>
      </c>
      <c r="B11" s="84" t="s">
        <v>256</v>
      </c>
      <c r="C11" s="60" t="str">
        <f>D5</f>
        <v>Устройство порталов и ошиновки ОРУ 500 кВ</v>
      </c>
      <c r="D11" s="61">
        <f>'Прил.4 РМ'!C41/1000</f>
        <v>4812.6881249999997</v>
      </c>
      <c r="E11" s="62"/>
    </row>
    <row r="12" spans="1:5" x14ac:dyDescent="0.25">
      <c r="A12" s="66"/>
      <c r="B12" s="63"/>
      <c r="C12" s="66"/>
      <c r="D12" s="66"/>
    </row>
    <row r="13" spans="1:5" x14ac:dyDescent="0.25">
      <c r="A13" s="59" t="s">
        <v>257</v>
      </c>
      <c r="B13" s="65"/>
      <c r="C13" s="65"/>
      <c r="D13" s="66"/>
    </row>
    <row r="14" spans="1:5" x14ac:dyDescent="0.25">
      <c r="A14" s="64" t="s">
        <v>41</v>
      </c>
      <c r="B14" s="65"/>
      <c r="C14" s="65"/>
      <c r="D14" s="66"/>
    </row>
    <row r="15" spans="1:5" x14ac:dyDescent="0.25">
      <c r="A15" s="59"/>
      <c r="B15" s="65"/>
      <c r="C15" s="65"/>
      <c r="D15" s="66"/>
    </row>
    <row r="16" spans="1:5" x14ac:dyDescent="0.25">
      <c r="A16" s="59" t="s">
        <v>42</v>
      </c>
      <c r="B16" s="65"/>
      <c r="C16" s="65"/>
      <c r="D16" s="66"/>
    </row>
    <row r="17" spans="1:4" x14ac:dyDescent="0.25">
      <c r="A17" s="64" t="s">
        <v>43</v>
      </c>
      <c r="B17" s="65"/>
      <c r="C17" s="65"/>
      <c r="D17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28"/>
  <sheetViews>
    <sheetView workbookViewId="0"/>
  </sheetViews>
  <sheetFormatPr defaultRowHeight="15" x14ac:dyDescent="0.25"/>
  <sheetData>
    <row r="4" spans="2:5" ht="15.75" x14ac:dyDescent="0.25">
      <c r="B4" s="70" t="s">
        <v>258</v>
      </c>
    </row>
    <row r="5" spans="2:5" ht="18.75" x14ac:dyDescent="0.25">
      <c r="B5" s="42"/>
    </row>
    <row r="6" spans="2:5" ht="15.75" x14ac:dyDescent="0.25">
      <c r="B6" s="72" t="s">
        <v>259</v>
      </c>
    </row>
    <row r="7" spans="2:5" x14ac:dyDescent="0.25">
      <c r="B7" s="97"/>
    </row>
    <row r="8" spans="2:5" x14ac:dyDescent="0.25">
      <c r="B8" s="97"/>
      <c r="C8" s="97"/>
      <c r="D8" s="97"/>
      <c r="E8" s="97"/>
    </row>
    <row r="9" spans="2:5" ht="157.5" x14ac:dyDescent="0.25">
      <c r="B9" s="75" t="s">
        <v>260</v>
      </c>
      <c r="C9" s="75" t="s">
        <v>261</v>
      </c>
      <c r="D9" s="75" t="s">
        <v>262</v>
      </c>
    </row>
    <row r="10" spans="2:5" ht="15.75" x14ac:dyDescent="0.25">
      <c r="B10" s="75">
        <v>1</v>
      </c>
      <c r="C10" s="75">
        <v>2</v>
      </c>
      <c r="D10" s="75">
        <v>3</v>
      </c>
    </row>
    <row r="11" spans="2:5" ht="157.5" x14ac:dyDescent="0.25">
      <c r="B11" s="75" t="s">
        <v>263</v>
      </c>
      <c r="C11" s="75" t="s">
        <v>264</v>
      </c>
      <c r="D11" s="75">
        <v>44.29</v>
      </c>
    </row>
    <row r="12" spans="2:5" ht="157.5" x14ac:dyDescent="0.25">
      <c r="B12" s="75" t="s">
        <v>265</v>
      </c>
      <c r="C12" s="75" t="s">
        <v>264</v>
      </c>
      <c r="D12" s="75">
        <v>13.47</v>
      </c>
    </row>
    <row r="13" spans="2:5" ht="157.5" x14ac:dyDescent="0.25">
      <c r="B13" s="75" t="s">
        <v>266</v>
      </c>
      <c r="C13" s="75" t="s">
        <v>264</v>
      </c>
      <c r="D13" s="75">
        <v>8.0399999999999991</v>
      </c>
    </row>
    <row r="14" spans="2:5" ht="157.5" x14ac:dyDescent="0.25">
      <c r="B14" s="75" t="s">
        <v>267</v>
      </c>
      <c r="C14" s="43" t="s">
        <v>268</v>
      </c>
      <c r="D14" s="75">
        <v>6.26</v>
      </c>
    </row>
    <row r="15" spans="2:5" ht="393.75" x14ac:dyDescent="0.25">
      <c r="B15" s="75" t="s">
        <v>269</v>
      </c>
      <c r="C15" s="75" t="s">
        <v>270</v>
      </c>
      <c r="D15" s="44">
        <v>3.9E-2</v>
      </c>
    </row>
    <row r="16" spans="2:5" ht="409.5" x14ac:dyDescent="0.25">
      <c r="B16" s="75" t="s">
        <v>271</v>
      </c>
      <c r="C16" s="75" t="s">
        <v>272</v>
      </c>
      <c r="D16" s="44">
        <v>2.1000000000000001E-2</v>
      </c>
    </row>
    <row r="17" spans="2:4" ht="63" x14ac:dyDescent="0.25">
      <c r="B17" s="75" t="s">
        <v>193</v>
      </c>
      <c r="C17" s="75"/>
      <c r="D17" s="75" t="s">
        <v>273</v>
      </c>
    </row>
    <row r="18" spans="2:4" ht="110.25" x14ac:dyDescent="0.25">
      <c r="B18" s="75" t="s">
        <v>274</v>
      </c>
      <c r="C18" s="75" t="s">
        <v>275</v>
      </c>
      <c r="D18" s="44">
        <v>2.1399999999999999E-2</v>
      </c>
    </row>
    <row r="19" spans="2:4" ht="94.5" x14ac:dyDescent="0.25">
      <c r="B19" s="75" t="s">
        <v>199</v>
      </c>
      <c r="C19" s="75" t="s">
        <v>276</v>
      </c>
      <c r="D19" s="44">
        <v>2E-3</v>
      </c>
    </row>
    <row r="20" spans="2:4" ht="94.5" x14ac:dyDescent="0.25">
      <c r="B20" s="75" t="s">
        <v>201</v>
      </c>
      <c r="C20" s="75" t="s">
        <v>277</v>
      </c>
      <c r="D20" s="44">
        <v>0.03</v>
      </c>
    </row>
    <row r="21" spans="2:4" ht="18.75" x14ac:dyDescent="0.25">
      <c r="B21" s="45"/>
    </row>
    <row r="23" spans="2:4" x14ac:dyDescent="0.25">
      <c r="B23" s="66"/>
      <c r="C23" s="63"/>
    </row>
    <row r="24" spans="2:4" x14ac:dyDescent="0.25">
      <c r="B24" s="59" t="s">
        <v>257</v>
      </c>
      <c r="C24" s="65"/>
    </row>
    <row r="25" spans="2:4" x14ac:dyDescent="0.25">
      <c r="B25" s="64" t="s">
        <v>41</v>
      </c>
      <c r="C25" s="65"/>
    </row>
    <row r="26" spans="2:4" x14ac:dyDescent="0.25">
      <c r="B26" s="59"/>
      <c r="C26" s="65"/>
    </row>
    <row r="27" spans="2:4" x14ac:dyDescent="0.25">
      <c r="B27" s="59" t="s">
        <v>42</v>
      </c>
      <c r="C27" s="65"/>
    </row>
    <row r="28" spans="2:4" x14ac:dyDescent="0.25">
      <c r="B28" s="64" t="s">
        <v>43</v>
      </c>
      <c r="C28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workbookViewId="0"/>
  </sheetViews>
  <sheetFormatPr defaultRowHeight="15" x14ac:dyDescent="0.25"/>
  <sheetData>
    <row r="2" spans="1:7" ht="15.75" x14ac:dyDescent="0.25">
      <c r="A2" s="72" t="s">
        <v>278</v>
      </c>
    </row>
    <row r="4" spans="1:7" ht="15.75" x14ac:dyDescent="0.25">
      <c r="A4" s="67" t="s">
        <v>279</v>
      </c>
      <c r="B4" s="68"/>
      <c r="C4" s="68"/>
      <c r="D4" s="68"/>
      <c r="E4" s="68"/>
      <c r="F4" s="68"/>
      <c r="G4" s="68"/>
    </row>
    <row r="5" spans="1:7" ht="15.75" x14ac:dyDescent="0.25">
      <c r="A5" s="98" t="s">
        <v>211</v>
      </c>
      <c r="B5" s="98" t="s">
        <v>280</v>
      </c>
      <c r="C5" s="98" t="s">
        <v>281</v>
      </c>
      <c r="D5" s="98" t="s">
        <v>282</v>
      </c>
      <c r="E5" s="98" t="s">
        <v>283</v>
      </c>
      <c r="F5" s="98" t="s">
        <v>284</v>
      </c>
      <c r="G5" s="68"/>
    </row>
    <row r="6" spans="1:7" ht="15.75" x14ac:dyDescent="0.25">
      <c r="A6" s="98">
        <v>1</v>
      </c>
      <c r="B6" s="98">
        <v>2</v>
      </c>
      <c r="C6" s="98">
        <v>3</v>
      </c>
      <c r="D6" s="98">
        <v>4</v>
      </c>
      <c r="E6" s="98">
        <v>5</v>
      </c>
      <c r="F6" s="98">
        <v>6</v>
      </c>
      <c r="G6" s="68"/>
    </row>
    <row r="7" spans="1:7" ht="409.5" x14ac:dyDescent="0.25">
      <c r="A7" s="99" t="s">
        <v>285</v>
      </c>
      <c r="B7" s="100" t="s">
        <v>286</v>
      </c>
      <c r="C7" s="101" t="s">
        <v>287</v>
      </c>
      <c r="D7" s="101" t="s">
        <v>288</v>
      </c>
      <c r="E7" s="102">
        <v>47872.94</v>
      </c>
      <c r="F7" s="100" t="s">
        <v>289</v>
      </c>
      <c r="G7" s="68"/>
    </row>
    <row r="8" spans="1:7" ht="204.75" x14ac:dyDescent="0.25">
      <c r="A8" s="99" t="s">
        <v>290</v>
      </c>
      <c r="B8" s="100" t="s">
        <v>291</v>
      </c>
      <c r="C8" s="101" t="s">
        <v>292</v>
      </c>
      <c r="D8" s="101" t="s">
        <v>293</v>
      </c>
      <c r="E8" s="103">
        <f>1973/12</f>
        <v>164.41666666666666</v>
      </c>
      <c r="F8" s="100" t="s">
        <v>294</v>
      </c>
      <c r="G8" s="69"/>
    </row>
    <row r="9" spans="1:7" ht="63" x14ac:dyDescent="0.25">
      <c r="A9" s="99" t="s">
        <v>295</v>
      </c>
      <c r="B9" s="100" t="s">
        <v>296</v>
      </c>
      <c r="C9" s="101" t="s">
        <v>297</v>
      </c>
      <c r="D9" s="101" t="s">
        <v>288</v>
      </c>
      <c r="E9" s="103">
        <v>1</v>
      </c>
      <c r="F9" s="100"/>
      <c r="G9" s="69"/>
    </row>
    <row r="10" spans="1:7" ht="47.25" x14ac:dyDescent="0.25">
      <c r="A10" s="99" t="s">
        <v>298</v>
      </c>
      <c r="B10" s="100" t="s">
        <v>299</v>
      </c>
      <c r="C10" s="101"/>
      <c r="D10" s="101"/>
      <c r="E10" s="104">
        <v>4.0999999999999996</v>
      </c>
      <c r="F10" s="100" t="s">
        <v>300</v>
      </c>
      <c r="G10" s="69"/>
    </row>
    <row r="11" spans="1:7" ht="409.5" x14ac:dyDescent="0.25">
      <c r="A11" s="99" t="s">
        <v>301</v>
      </c>
      <c r="B11" s="100" t="s">
        <v>302</v>
      </c>
      <c r="C11" s="101" t="s">
        <v>303</v>
      </c>
      <c r="D11" s="101" t="s">
        <v>288</v>
      </c>
      <c r="E11" s="105">
        <v>1.359</v>
      </c>
      <c r="F11" s="100" t="s">
        <v>304</v>
      </c>
      <c r="G11" s="68"/>
    </row>
    <row r="12" spans="1:7" ht="409.5" x14ac:dyDescent="0.25">
      <c r="A12" s="99" t="s">
        <v>305</v>
      </c>
      <c r="B12" s="106" t="s">
        <v>306</v>
      </c>
      <c r="C12" s="101" t="s">
        <v>307</v>
      </c>
      <c r="D12" s="101" t="s">
        <v>288</v>
      </c>
      <c r="E12" s="120">
        <v>1.139</v>
      </c>
      <c r="F12" s="107" t="s">
        <v>308</v>
      </c>
      <c r="G12" s="69" t="s">
        <v>309</v>
      </c>
    </row>
    <row r="13" spans="1:7" ht="378" x14ac:dyDescent="0.25">
      <c r="A13" s="99" t="s">
        <v>310</v>
      </c>
      <c r="B13" s="108" t="s">
        <v>311</v>
      </c>
      <c r="C13" s="101" t="s">
        <v>312</v>
      </c>
      <c r="D13" s="101" t="s">
        <v>313</v>
      </c>
      <c r="E13" s="109">
        <f>((E7*E9/E8)*E11)*E12</f>
        <v>450.69987855412063</v>
      </c>
      <c r="F13" s="100" t="s">
        <v>314</v>
      </c>
      <c r="G13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D.Stromov</dc:creator>
  <cp:lastModifiedBy>D.Stromov</cp:lastModifiedBy>
  <dcterms:created xsi:type="dcterms:W3CDTF">2025-01-30T15:29:16Z</dcterms:created>
  <dcterms:modified xsi:type="dcterms:W3CDTF">2025-01-31T06:10:02Z</dcterms:modified>
</cp:coreProperties>
</file>