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vertical="center" wrapText="1"/>
    </xf>
    <xf numFmtId="167" fontId="9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3" zoomScale="60" zoomScaleNormal="85" workbookViewId="0">
      <selection activeCell="D29" sqref="D29"/>
    </sheetView>
  </sheetViews>
  <sheetFormatPr baseColWidth="8" defaultRowHeight="15.75"/>
  <cols>
    <col width="9.140625" customWidth="1" style="105" min="1" max="2"/>
    <col width="36.85546875" customWidth="1" style="105" min="3" max="3"/>
    <col width="52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>
        <f>_xlfn.CONCAT(TEXT('Прил.5 Расчет СМР и ОБ'!A6,0)," - ",TEXT('Прил.5 Расчет СМР и ОБ'!D6,0))</f>
        <v/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6" t="n">
        <v>1</v>
      </c>
      <c r="C12" s="117" t="inlineStr">
        <is>
          <t>Наименование объекта-представителя</t>
        </is>
      </c>
      <c r="D12" s="89" t="inlineStr">
        <is>
          <t>Строительство ПС 330 кВ Мурманская с заходами ВЛ 330 кВ. Корректировка -2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6" t="n">
        <v>2</v>
      </c>
      <c r="C13" s="117" t="inlineStr">
        <is>
          <t>Наименование субъекта Российской Федерации</t>
        </is>
      </c>
      <c r="D13" s="89" t="inlineStr">
        <is>
          <t>Мурманская область</t>
        </is>
      </c>
      <c r="E13" s="105" t="n"/>
      <c r="F13" s="105" t="n"/>
      <c r="G13" s="105" t="n"/>
      <c r="H13" s="105" t="n"/>
      <c r="I13" s="105" t="n"/>
    </row>
    <row r="14">
      <c r="B14" s="136" t="n">
        <v>3</v>
      </c>
      <c r="C14" s="117" t="inlineStr">
        <is>
          <t>Климатический район и подрайон</t>
        </is>
      </c>
      <c r="D14" s="89" t="inlineStr">
        <is>
          <t>IIА</t>
        </is>
      </c>
      <c r="E14" s="105" t="n"/>
      <c r="F14" s="105" t="n"/>
      <c r="G14" s="105" t="n"/>
      <c r="H14" s="105" t="n"/>
      <c r="I14" s="105" t="n"/>
    </row>
    <row r="15">
      <c r="B15" s="136" t="n">
        <v>4</v>
      </c>
      <c r="C15" s="117" t="inlineStr">
        <is>
          <t>Мощность объекта</t>
        </is>
      </c>
      <c r="D15" s="89" t="n">
        <v>4</v>
      </c>
      <c r="E15" s="105" t="n"/>
      <c r="F15" s="105" t="n"/>
      <c r="G15" s="105" t="n"/>
      <c r="H15" s="105" t="n"/>
      <c r="I15" s="105" t="n"/>
    </row>
    <row r="16" ht="100.5" customHeight="1" s="103">
      <c r="B16" s="136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Выключатель 330 кВ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6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89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89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89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89" t="n"/>
      <c r="E21" s="105" t="n"/>
      <c r="F21" s="105" t="n"/>
      <c r="G21" s="105" t="n"/>
      <c r="H21" s="105" t="n"/>
      <c r="I21" s="105" t="n"/>
    </row>
    <row r="22">
      <c r="B22" s="136" t="n">
        <v>7</v>
      </c>
      <c r="C22" s="62" t="inlineStr">
        <is>
          <t>Сопоставимый уровень цен</t>
        </is>
      </c>
      <c r="D22" s="89" t="inlineStr">
        <is>
          <t>3 квартал 2013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6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6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89">
        <f>D17/D15</f>
        <v/>
      </c>
      <c r="E24" s="60" t="n"/>
      <c r="F24" s="105" t="n"/>
      <c r="G24" s="105" t="n"/>
      <c r="H24" s="105" t="n"/>
      <c r="I24" s="105" t="n"/>
    </row>
    <row r="25">
      <c r="B25" s="136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G18" sqref="G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5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3">
      <c r="A10" s="105" t="n"/>
      <c r="B10" s="174" t="n"/>
      <c r="C10" s="174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2013г., тыс. руб.</t>
        </is>
      </c>
      <c r="G10" s="172" t="n"/>
      <c r="H10" s="172" t="n"/>
      <c r="I10" s="172" t="n"/>
      <c r="J10" s="173" t="n"/>
    </row>
    <row r="11" ht="63" customHeight="1" s="103">
      <c r="A11" s="105" t="n"/>
      <c r="B11" s="175" t="n"/>
      <c r="C11" s="175" t="n"/>
      <c r="D11" s="175" t="n"/>
      <c r="E11" s="175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78.75" customHeight="1" s="103">
      <c r="A12" s="105" t="n"/>
      <c r="B12" s="126" t="n"/>
      <c r="C12" s="126" t="inlineStr">
        <is>
          <t>Выключатель 330 кВ без устройства фундаментов, номинальный ток 3150 А, номинальный ток отключения 50 кА</t>
        </is>
      </c>
      <c r="D12" s="126" t="n"/>
      <c r="E12" s="126" t="n"/>
      <c r="F12" s="176" t="n">
        <v>1598.8265904</v>
      </c>
      <c r="G12" s="173" t="n"/>
      <c r="H12" s="126" t="n">
        <v>86769.6759366</v>
      </c>
      <c r="I12" s="126" t="n"/>
      <c r="J12" s="126" t="n"/>
    </row>
    <row r="13" ht="15.75" customHeight="1" s="103">
      <c r="A13" s="105" t="n"/>
      <c r="B13" s="133" t="inlineStr">
        <is>
          <t>Всего по объекту:</t>
        </is>
      </c>
      <c r="C13" s="177" t="n"/>
      <c r="D13" s="177" t="n"/>
      <c r="E13" s="178" t="n"/>
      <c r="F13" s="179">
        <f>F12</f>
        <v/>
      </c>
      <c r="G13" s="173" t="n"/>
      <c r="H13" s="125">
        <f>H12</f>
        <v/>
      </c>
      <c r="I13" s="125" t="n"/>
      <c r="J13" s="125" t="n"/>
    </row>
    <row r="14" ht="15.75" customHeight="1" s="103">
      <c r="A14" s="105" t="n"/>
      <c r="B14" s="134" t="inlineStr">
        <is>
          <t>Всего по объекту в сопоставимом уровне цен 3кв. 2013г:</t>
        </is>
      </c>
      <c r="C14" s="172" t="n"/>
      <c r="D14" s="172" t="n"/>
      <c r="E14" s="173" t="n"/>
      <c r="F14" s="179">
        <f>F12</f>
        <v/>
      </c>
      <c r="G14" s="173" t="n"/>
      <c r="H14" s="87">
        <f>H12</f>
        <v/>
      </c>
      <c r="I14" s="87" t="n"/>
      <c r="J14" s="87">
        <f>H12+F12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32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6">
    <mergeCell ref="B7:J7"/>
    <mergeCell ref="F12:G12"/>
    <mergeCell ref="B3:J3"/>
    <mergeCell ref="D10:D11"/>
    <mergeCell ref="E17:K17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2" workbookViewId="0">
      <selection activeCell="D43" sqref="D43"/>
    </sheetView>
  </sheetViews>
  <sheetFormatPr baseColWidth="8" defaultRowHeight="15.75"/>
  <cols>
    <col width="9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5">
        <f>'Прил.1 Сравнит табл'!B7</f>
        <v/>
      </c>
      <c r="K6" s="105" t="n"/>
    </row>
    <row r="7" ht="36.75" customHeight="1" s="103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3" t="n"/>
      <c r="K9" s="105" t="n"/>
    </row>
    <row r="10" ht="33" customHeight="1" s="103">
      <c r="A10" s="175" t="n"/>
      <c r="B10" s="175" t="n"/>
      <c r="C10" s="175" t="n"/>
      <c r="D10" s="175" t="n"/>
      <c r="E10" s="175" t="n"/>
      <c r="F10" s="175" t="n"/>
      <c r="G10" s="136" t="inlineStr">
        <is>
          <t>на ед.изм.</t>
        </is>
      </c>
      <c r="H10" s="136" t="inlineStr">
        <is>
          <t>общая</t>
        </is>
      </c>
      <c r="K10" s="105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0" t="n"/>
      <c r="K11" s="105" t="n"/>
    </row>
    <row r="12">
      <c r="A12" s="142" t="inlineStr">
        <is>
          <t>Затраты труда рабочих</t>
        </is>
      </c>
      <c r="B12" s="172" t="n"/>
      <c r="C12" s="172" t="n"/>
      <c r="D12" s="172" t="n"/>
      <c r="E12" s="173" t="n"/>
      <c r="F12" s="68" t="n">
        <v>7711.2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7711.2</v>
      </c>
      <c r="G13" s="73" t="n">
        <v>9.619999999999999</v>
      </c>
      <c r="H13" s="73">
        <f>ROUND(F13*G13,2)</f>
        <v/>
      </c>
      <c r="K13" s="105" t="n"/>
    </row>
    <row r="14">
      <c r="A14" s="142" t="inlineStr">
        <is>
          <t>Затраты труда машинистов</t>
        </is>
      </c>
      <c r="B14" s="172" t="n"/>
      <c r="C14" s="172" t="n"/>
      <c r="D14" s="172" t="n"/>
      <c r="E14" s="173" t="n"/>
      <c r="F14" s="142" t="n">
        <v>1139.68</v>
      </c>
      <c r="G14" s="68" t="n"/>
      <c r="H14" s="68">
        <f>H15</f>
        <v/>
      </c>
      <c r="K14" s="105" t="n"/>
    </row>
    <row r="15">
      <c r="A15" s="143" t="n">
        <v>2</v>
      </c>
      <c r="B15" s="106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1139.68</v>
      </c>
      <c r="G15" s="73" t="n"/>
      <c r="H15" s="73" t="n">
        <v>14020.1</v>
      </c>
      <c r="K15" s="105" t="n"/>
    </row>
    <row r="16">
      <c r="A16" s="142" t="inlineStr">
        <is>
          <t>Машины и механизмы</t>
        </is>
      </c>
      <c r="B16" s="172" t="n"/>
      <c r="C16" s="172" t="n"/>
      <c r="D16" s="172" t="n"/>
      <c r="E16" s="173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3" t="n">
        <v>3</v>
      </c>
      <c r="B17" s="106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700.4</v>
      </c>
      <c r="G17" s="73" t="n">
        <v>115.4</v>
      </c>
      <c r="H17" s="73">
        <f>ROUND(F17*G17,2)</f>
        <v/>
      </c>
      <c r="K17" s="105" t="n"/>
    </row>
    <row r="18" ht="31.5" customHeight="1" s="103">
      <c r="A18" s="143" t="n">
        <v>4</v>
      </c>
      <c r="B18" s="106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344.76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6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94.52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3" t="n">
        <v>6</v>
      </c>
      <c r="B20" s="106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2.448</v>
      </c>
      <c r="G20" s="73" t="n">
        <v>8.1</v>
      </c>
      <c r="H20" s="73">
        <f>ROUND(F20*G20,2)</f>
        <v/>
      </c>
      <c r="K20" s="105" t="n"/>
    </row>
    <row r="21">
      <c r="A21" s="142" t="inlineStr">
        <is>
          <t>Оборудование</t>
        </is>
      </c>
      <c r="B21" s="172" t="n"/>
      <c r="C21" s="172" t="n"/>
      <c r="D21" s="172" t="n"/>
      <c r="E21" s="173" t="n"/>
      <c r="F21" s="142" t="n"/>
      <c r="G21" s="68" t="n"/>
      <c r="H21" s="68">
        <f>SUM(H22:H22)</f>
        <v/>
      </c>
      <c r="J21" s="81" t="n"/>
    </row>
    <row r="22">
      <c r="A22" s="143" t="n">
        <v>7</v>
      </c>
      <c r="B22" s="106" t="n"/>
      <c r="C22" s="144" t="inlineStr">
        <is>
          <t>Прайс из СД ОП</t>
        </is>
      </c>
      <c r="D22" s="144" t="inlineStr">
        <is>
          <t>Выключатель колонковый 330 кВ 3150/40 кА</t>
        </is>
      </c>
      <c r="E22" s="143" t="inlineStr">
        <is>
          <t>компл</t>
        </is>
      </c>
      <c r="F22" s="143" t="n">
        <v>4</v>
      </c>
      <c r="G22" s="73" t="n">
        <v>5505690.097</v>
      </c>
      <c r="H22" s="73">
        <f>ROUND(F22*G22,2)</f>
        <v/>
      </c>
    </row>
    <row r="23">
      <c r="A23" s="142" t="inlineStr">
        <is>
          <t>Материалы</t>
        </is>
      </c>
      <c r="B23" s="172" t="n"/>
      <c r="C23" s="172" t="n"/>
      <c r="D23" s="172" t="n"/>
      <c r="E23" s="173" t="n"/>
      <c r="F23" s="142" t="n"/>
      <c r="G23" s="68" t="n"/>
      <c r="H23" s="68">
        <f>SUM(H24:H38)</f>
        <v/>
      </c>
      <c r="J23" s="81" t="n"/>
    </row>
    <row r="24" ht="31.5" customHeight="1" s="103">
      <c r="A24" s="143" t="n">
        <v>8</v>
      </c>
      <c r="B24" s="86" t="n"/>
      <c r="C24" s="144" t="inlineStr">
        <is>
          <t>01.3.01.07-0009</t>
        </is>
      </c>
      <c r="D24" s="144" t="inlineStr">
        <is>
          <t>Спирт этиловый ректификованный технический, сорт I</t>
        </is>
      </c>
      <c r="E24" s="143" t="inlineStr">
        <is>
          <t>кг</t>
        </is>
      </c>
      <c r="F24" s="143" t="n">
        <v>48</v>
      </c>
      <c r="G24" s="73" t="n">
        <v>38.89</v>
      </c>
      <c r="H24" s="73">
        <f>ROUND(F24*G24,2)</f>
        <v/>
      </c>
    </row>
    <row r="25">
      <c r="A25" s="143" t="n">
        <v>9</v>
      </c>
      <c r="B25" s="86" t="n"/>
      <c r="C25" s="144" t="inlineStr">
        <is>
          <t>01.7.20.08-0031</t>
        </is>
      </c>
      <c r="D25" s="144" t="inlineStr">
        <is>
          <t>Бязь суровая</t>
        </is>
      </c>
      <c r="E25" s="143" t="inlineStr">
        <is>
          <t>10 м2</t>
        </is>
      </c>
      <c r="F25" s="143" t="n">
        <v>11.96</v>
      </c>
      <c r="G25" s="73" t="n">
        <v>79.09999999999999</v>
      </c>
      <c r="H25" s="73">
        <f>ROUND(F25*G25,2)</f>
        <v/>
      </c>
    </row>
    <row r="26" ht="31.5" customHeight="1" s="103">
      <c r="A26" s="143" t="n">
        <v>10</v>
      </c>
      <c r="B26" s="86" t="n"/>
      <c r="C26" s="144" t="inlineStr">
        <is>
          <t>999-9950</t>
        </is>
      </c>
      <c r="D26" s="144" t="inlineStr">
        <is>
          <t>Вспомогательные ненормируемые ресурсы (2% от Оплаты труда рабочих)</t>
        </is>
      </c>
      <c r="E26" s="143" t="inlineStr">
        <is>
          <t>руб</t>
        </is>
      </c>
      <c r="F26" s="143" t="n">
        <v>872.72</v>
      </c>
      <c r="G26" s="73" t="n">
        <v>1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01.7.15.03-0042</t>
        </is>
      </c>
      <c r="D27" s="144" t="inlineStr">
        <is>
          <t>Болты с гайками и шайбами строительные</t>
        </is>
      </c>
      <c r="E27" s="143" t="inlineStr">
        <is>
          <t>кг</t>
        </is>
      </c>
      <c r="F27" s="143" t="n">
        <v>56</v>
      </c>
      <c r="G27" s="73" t="n">
        <v>9.039999999999999</v>
      </c>
      <c r="H27" s="73">
        <f>ROUND(F27*G27,2)</f>
        <v/>
      </c>
    </row>
    <row r="28" ht="15" customHeight="1" s="103">
      <c r="A28" s="143" t="n">
        <v>12</v>
      </c>
      <c r="B28" s="86" t="n"/>
      <c r="C28" s="144" t="inlineStr">
        <is>
          <t>01.3.01.06-0050</t>
        </is>
      </c>
      <c r="D28" s="144" t="inlineStr">
        <is>
          <t>Смазка универсальная тугоплавкая УТ (консталин жировой)</t>
        </is>
      </c>
      <c r="E28" s="143" t="inlineStr">
        <is>
          <t>т</t>
        </is>
      </c>
      <c r="F28" s="143" t="n">
        <v>0.0152</v>
      </c>
      <c r="G28" s="73" t="n">
        <v>17500</v>
      </c>
      <c r="H28" s="73">
        <f>ROUND(F28*G28,2)</f>
        <v/>
      </c>
    </row>
    <row r="29">
      <c r="A29" s="143" t="n">
        <v>13</v>
      </c>
      <c r="B29" s="86" t="n"/>
      <c r="C29" s="144" t="inlineStr">
        <is>
          <t>01.7.17.11-0001</t>
        </is>
      </c>
      <c r="D29" s="144" t="inlineStr">
        <is>
          <t>Бумага шлифовальная</t>
        </is>
      </c>
      <c r="E29" s="143" t="inlineStr">
        <is>
          <t>кг</t>
        </is>
      </c>
      <c r="F29" s="143" t="n">
        <v>4</v>
      </c>
      <c r="G29" s="73" t="n">
        <v>50</v>
      </c>
      <c r="H29" s="73">
        <f>ROUND(F29*G29,2)</f>
        <v/>
      </c>
    </row>
    <row r="30" ht="47.25" customHeight="1" s="103">
      <c r="A30" s="143" t="n">
        <v>14</v>
      </c>
      <c r="B30" s="86" t="n"/>
      <c r="C30" s="144" t="inlineStr">
        <is>
          <t>11.1.03.06-0021</t>
        </is>
      </c>
      <c r="D30" s="144" t="inlineStr">
        <is>
          <t>Доска обрезная, лиственных пород (береза, липа), длина 4-6,5 м, все ширины, толщина 19-22 мм, сорт II</t>
        </is>
      </c>
      <c r="E30" s="143" t="inlineStr">
        <is>
          <t>м3</t>
        </is>
      </c>
      <c r="F30" s="143" t="n">
        <v>0.08</v>
      </c>
      <c r="G30" s="73" t="n">
        <v>1784</v>
      </c>
      <c r="H30" s="73">
        <f>ROUND(F30*G30,2)</f>
        <v/>
      </c>
    </row>
    <row r="31" ht="15" customHeight="1" s="103">
      <c r="A31" s="143" t="n">
        <v>15</v>
      </c>
      <c r="B31" s="86" t="n"/>
      <c r="C31" s="144" t="inlineStr">
        <is>
          <t>10.2.02.07-0109</t>
        </is>
      </c>
      <c r="D31" s="144" t="inlineStr">
        <is>
          <t>Проволока латунная, круглая, твердая, нормальной точности, марка Л68, диаметр 0,50 мм</t>
        </is>
      </c>
      <c r="E31" s="143" t="inlineStr">
        <is>
          <t>т</t>
        </is>
      </c>
      <c r="F31" s="143" t="n">
        <v>0.0016</v>
      </c>
      <c r="G31" s="73" t="n">
        <v>62000</v>
      </c>
      <c r="H31" s="73">
        <f>ROUND(F31*G31,2)</f>
        <v/>
      </c>
    </row>
    <row r="32">
      <c r="A32" s="143" t="n">
        <v>16</v>
      </c>
      <c r="B32" s="86" t="n"/>
      <c r="C32" s="144" t="inlineStr">
        <is>
          <t>01.7.11.07-0034</t>
        </is>
      </c>
      <c r="D32" s="144" t="inlineStr">
        <is>
          <t>Электроды сварочные Э42А, диаметр 4 мм</t>
        </is>
      </c>
      <c r="E32" s="143" t="inlineStr">
        <is>
          <t>кг</t>
        </is>
      </c>
      <c r="F32" s="143" t="n">
        <v>8</v>
      </c>
      <c r="G32" s="73" t="n">
        <v>10.57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14.4.02.09-0001</t>
        </is>
      </c>
      <c r="D33" s="144" t="inlineStr">
        <is>
          <t>Краска</t>
        </is>
      </c>
      <c r="E33" s="143" t="inlineStr">
        <is>
          <t>кг</t>
        </is>
      </c>
      <c r="F33" s="143" t="n">
        <v>1.44</v>
      </c>
      <c r="G33" s="73" t="n">
        <v>28.6</v>
      </c>
      <c r="H33" s="73">
        <f>ROUND(F33*G33,2)</f>
        <v/>
      </c>
    </row>
    <row r="34" ht="31.5" customHeight="1" s="103">
      <c r="A34" s="143" t="n">
        <v>18</v>
      </c>
      <c r="B34" s="86" t="n"/>
      <c r="C34" s="144" t="inlineStr">
        <is>
          <t>01.7.15.06-0121</t>
        </is>
      </c>
      <c r="D34" s="144" t="inlineStr">
        <is>
          <t>Гвозди строительные с плоской головкой, размер 1,6х50 мм</t>
        </is>
      </c>
      <c r="E34" s="143" t="inlineStr">
        <is>
          <t>т</t>
        </is>
      </c>
      <c r="F34" s="143" t="n">
        <v>0.0032</v>
      </c>
      <c r="G34" s="73" t="n">
        <v>8475</v>
      </c>
      <c r="H34" s="73">
        <f>ROUND(F34*G34,2)</f>
        <v/>
      </c>
    </row>
    <row r="35">
      <c r="A35" s="143" t="n">
        <v>19</v>
      </c>
      <c r="B35" s="86" t="n"/>
      <c r="C35" s="144" t="inlineStr">
        <is>
          <t>01.3.02.09-0022</t>
        </is>
      </c>
      <c r="D35" s="144" t="inlineStr">
        <is>
          <t>Пропан-бутан смесь техническая</t>
        </is>
      </c>
      <c r="E35" s="143" t="inlineStr">
        <is>
          <t>кг</t>
        </is>
      </c>
      <c r="F35" s="143" t="n">
        <v>4</v>
      </c>
      <c r="G35" s="73" t="n">
        <v>6.09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2.8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0.4088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0.04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1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924208.08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27" workbookViewId="0">
      <selection activeCell="D63" sqref="D63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2" t="inlineStr">
        <is>
          <t>Выключатель 330 кВ без устройства фундаментов, номинальный ток 3150 А, номинальный ток отключения 50 кА</t>
        </is>
      </c>
    </row>
    <row r="7" ht="12.75" customFormat="1" customHeight="1" s="97">
      <c r="A7" s="132">
        <f>'Прил.1 Сравнит табл'!B9</f>
        <v/>
      </c>
      <c r="I7" s="146" t="n"/>
      <c r="J7" s="146" t="n"/>
    </row>
    <row r="8" ht="12.75" customFormat="1" customHeight="1" s="97"/>
    <row r="9" ht="27" customHeight="1" s="103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3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3" t="n"/>
    </row>
    <row r="10" ht="28.5" customHeight="1" s="103">
      <c r="A10" s="175" t="n"/>
      <c r="B10" s="175" t="n"/>
      <c r="C10" s="175" t="n"/>
      <c r="D10" s="175" t="n"/>
      <c r="E10" s="175" t="n"/>
      <c r="F10" s="149" t="inlineStr">
        <is>
          <t>на ед. изм.</t>
        </is>
      </c>
      <c r="G10" s="149" t="inlineStr">
        <is>
          <t>общая</t>
        </is>
      </c>
      <c r="H10" s="175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59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28" t="n"/>
      <c r="J12" s="28" t="n"/>
      <c r="L12" s="182" t="n"/>
    </row>
    <row r="13" ht="25.5" customHeight="1" s="103">
      <c r="A13" s="149" t="n">
        <v>1</v>
      </c>
      <c r="B13" s="32" t="inlineStr">
        <is>
          <t>1-4-0</t>
        </is>
      </c>
      <c r="C13" s="148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3">
        <f>G13/F13</f>
        <v/>
      </c>
      <c r="F13" s="14" t="n">
        <v>9.619999999999999</v>
      </c>
      <c r="G13" s="14">
        <f>Прил.3!H12</f>
        <v/>
      </c>
      <c r="H13" s="160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59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3">
        <f>SUM(E13:E13)</f>
        <v/>
      </c>
      <c r="F14" s="14" t="n"/>
      <c r="G14" s="14">
        <f>SUM(G13:G13)</f>
        <v/>
      </c>
      <c r="H14" s="160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48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28" t="n"/>
      <c r="J15" s="28" t="n"/>
      <c r="L15" s="182" t="n"/>
    </row>
    <row r="16" ht="14.25" customFormat="1" customHeight="1" s="98">
      <c r="A16" s="149" t="n">
        <v>2</v>
      </c>
      <c r="B16" s="149" t="n">
        <v>2</v>
      </c>
      <c r="C16" s="148" t="inlineStr">
        <is>
          <t>Затраты труда машинистов</t>
        </is>
      </c>
      <c r="D16" s="149" t="inlineStr">
        <is>
          <t>чел.-ч.</t>
        </is>
      </c>
      <c r="E16" s="183">
        <f>Прил.3!F15</f>
        <v/>
      </c>
      <c r="F16" s="14">
        <f>G16/E16</f>
        <v/>
      </c>
      <c r="G16" s="14">
        <f>Прил.3!H15</f>
        <v/>
      </c>
      <c r="H16" s="160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59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60" t="n"/>
      <c r="J17" s="160" t="n"/>
    </row>
    <row r="18" ht="14.25" customFormat="1" customHeight="1" s="98">
      <c r="A18" s="149" t="n"/>
      <c r="B18" s="148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48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3" t="n">
        <v>700.4</v>
      </c>
      <c r="F19" s="166" t="n">
        <v>115.4</v>
      </c>
      <c r="G19" s="14">
        <f>ROUND(E19*F19,2)</f>
        <v/>
      </c>
      <c r="H19" s="160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48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3" t="n">
        <v>344.76</v>
      </c>
      <c r="F20" s="166" t="n">
        <v>29.6</v>
      </c>
      <c r="G20" s="14">
        <f>ROUND(E20*F20,2)</f>
        <v/>
      </c>
      <c r="H20" s="160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48" t="inlineStr">
        <is>
          <t>Итого основные машины и механизмы</t>
        </is>
      </c>
      <c r="D21" s="149" t="n"/>
      <c r="E21" s="184" t="n"/>
      <c r="F21" s="14" t="n"/>
      <c r="G21" s="14">
        <f>SUM(G19:G20)</f>
        <v/>
      </c>
      <c r="H21" s="160">
        <f>G21/G25</f>
        <v/>
      </c>
      <c r="I21" s="14" t="n"/>
      <c r="J21" s="14">
        <f>SUM(J19:J20)</f>
        <v/>
      </c>
      <c r="L21" s="182" t="n"/>
    </row>
    <row r="22" hidden="1" outlineLevel="1" ht="25.5" customFormat="1" customHeight="1" s="98">
      <c r="A22" s="149" t="n">
        <v>5</v>
      </c>
      <c r="B22" s="32" t="inlineStr">
        <is>
          <t>91.14.02-001</t>
        </is>
      </c>
      <c r="C22" s="148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3" t="n">
        <v>94.52</v>
      </c>
      <c r="F22" s="166" t="n">
        <v>65.70999999999999</v>
      </c>
      <c r="G22" s="14">
        <f>ROUND(E22*F22,2)</f>
        <v/>
      </c>
      <c r="H22" s="160">
        <f>G22/$G$25</f>
        <v/>
      </c>
      <c r="I22" s="14">
        <f>ROUND(F22*Прил.10!$D$11,2)</f>
        <v/>
      </c>
      <c r="J22" s="14">
        <f>ROUND(I22*E22,2)</f>
        <v/>
      </c>
      <c r="L22" s="182" t="n"/>
    </row>
    <row r="23" hidden="1" outlineLevel="1" ht="25.5" customFormat="1" customHeight="1" s="98">
      <c r="A23" s="149" t="n">
        <v>6</v>
      </c>
      <c r="B23" s="32" t="inlineStr">
        <is>
          <t>91.17.04-233</t>
        </is>
      </c>
      <c r="C23" s="148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3" t="n">
        <v>2.448</v>
      </c>
      <c r="F23" s="166" t="n">
        <v>8.1</v>
      </c>
      <c r="G23" s="14">
        <f>ROUND(E23*F23,2)</f>
        <v/>
      </c>
      <c r="H23" s="160">
        <f>G23/$G$25</f>
        <v/>
      </c>
      <c r="I23" s="14">
        <f>ROUND(F23*Прил.10!$D$11,2)</f>
        <v/>
      </c>
      <c r="J23" s="14">
        <f>ROUND(I23*E23,2)</f>
        <v/>
      </c>
      <c r="L23" s="182" t="n"/>
    </row>
    <row r="24" collapsed="1" ht="14.25" customFormat="1" customHeight="1" s="98">
      <c r="A24" s="149" t="n"/>
      <c r="B24" s="149" t="n"/>
      <c r="C24" s="148" t="inlineStr">
        <is>
          <t>Итого прочие машины и механизмы</t>
        </is>
      </c>
      <c r="D24" s="149" t="n"/>
      <c r="E24" s="150" t="n"/>
      <c r="F24" s="14" t="n"/>
      <c r="G24" s="14">
        <f>SUM(G22:G23)</f>
        <v/>
      </c>
      <c r="H24" s="160">
        <f>G24/G25</f>
        <v/>
      </c>
      <c r="I24" s="14" t="n"/>
      <c r="J24" s="14">
        <f>SUM(J22:J23)</f>
        <v/>
      </c>
      <c r="K24" s="185" t="n"/>
      <c r="L24" s="182" t="n"/>
    </row>
    <row r="25" ht="25.5" customFormat="1" customHeight="1" s="98">
      <c r="A25" s="149" t="n"/>
      <c r="B25" s="161" t="n"/>
      <c r="C25" s="153" t="inlineStr">
        <is>
          <t>Итого по разделу «Машины и механизмы»</t>
        </is>
      </c>
      <c r="D25" s="16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3" t="inlineStr">
        <is>
          <t xml:space="preserve">Оборудование </t>
        </is>
      </c>
      <c r="C26" s="186" t="n"/>
      <c r="D26" s="186" t="n"/>
      <c r="E26" s="186" t="n"/>
      <c r="F26" s="186" t="n"/>
      <c r="G26" s="186" t="n"/>
      <c r="H26" s="186" t="n"/>
      <c r="I26" s="186" t="n"/>
      <c r="J26" s="187" t="n"/>
    </row>
    <row r="27" ht="15" customHeight="1" s="103">
      <c r="A27" s="149" t="n"/>
      <c r="B27" s="148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 ht="25.5" customHeight="1" s="103">
      <c r="A28" s="149" t="n">
        <v>7</v>
      </c>
      <c r="B28" s="32" t="inlineStr">
        <is>
          <t>БЦ.1.347</t>
        </is>
      </c>
      <c r="C28" s="148" t="inlineStr">
        <is>
          <t>Выключатель колонковый 330 кВ 3150/50 кА</t>
        </is>
      </c>
      <c r="D28" s="149" t="inlineStr">
        <is>
          <t>компл</t>
        </is>
      </c>
      <c r="E28" s="183" t="n">
        <v>4</v>
      </c>
      <c r="F28" s="151">
        <f>ROUND(I28/Прил.10!$D$13,2)</f>
        <v/>
      </c>
      <c r="G28" s="14">
        <f>ROUND(E28*F28,2)</f>
        <v/>
      </c>
      <c r="H28" s="160">
        <f>G28/$G$31</f>
        <v/>
      </c>
      <c r="I28" s="14" t="n">
        <v>36422452.83</v>
      </c>
      <c r="J28" s="14">
        <f>ROUND(I28*E28,2)</f>
        <v/>
      </c>
    </row>
    <row r="29">
      <c r="A29" s="53" t="n"/>
      <c r="B29" s="149" t="n"/>
      <c r="C29" s="148" t="inlineStr">
        <is>
          <t>Итого основное оборудование</t>
        </is>
      </c>
      <c r="D29" s="149" t="n"/>
      <c r="E29" s="183" t="n"/>
      <c r="F29" s="151" t="n"/>
      <c r="G29" s="14">
        <f>SUM(G28:G28)</f>
        <v/>
      </c>
      <c r="H29" s="160">
        <f>G29/$G$31</f>
        <v/>
      </c>
      <c r="I29" s="14" t="n"/>
      <c r="J29" s="14">
        <f>SUM(J28:J28)</f>
        <v/>
      </c>
      <c r="K29" s="185" t="n"/>
    </row>
    <row r="30">
      <c r="A30" s="53" t="n"/>
      <c r="B30" s="149" t="n"/>
      <c r="C30" s="148" t="inlineStr">
        <is>
          <t>Итого прочее оборудование</t>
        </is>
      </c>
      <c r="D30" s="149" t="n"/>
      <c r="E30" s="150" t="n"/>
      <c r="F30" s="151" t="n"/>
      <c r="G30" s="14" t="n">
        <v>0</v>
      </c>
      <c r="H30" s="160">
        <f>G30/$G$31</f>
        <v/>
      </c>
      <c r="I30" s="14" t="n"/>
      <c r="J30" s="14" t="n">
        <v>0</v>
      </c>
      <c r="K30" s="185" t="n"/>
      <c r="L30" s="188" t="n"/>
    </row>
    <row r="31">
      <c r="A31" s="149" t="n"/>
      <c r="B31" s="149" t="n"/>
      <c r="C31" s="159" t="inlineStr">
        <is>
          <t>Итого по разделу «Оборудование»</t>
        </is>
      </c>
      <c r="D31" s="149" t="n"/>
      <c r="E31" s="150" t="n"/>
      <c r="F31" s="151" t="n"/>
      <c r="G31" s="14">
        <f>G29+G30</f>
        <v/>
      </c>
      <c r="H31" s="160">
        <f>(G29+G30)/G31</f>
        <v/>
      </c>
      <c r="I31" s="14" t="n"/>
      <c r="J31" s="14">
        <f>J30+J29</f>
        <v/>
      </c>
      <c r="K31" s="185" t="n"/>
    </row>
    <row r="32" ht="25.5" customHeight="1" s="103">
      <c r="A32" s="149" t="n"/>
      <c r="B32" s="149" t="n"/>
      <c r="C32" s="148" t="inlineStr">
        <is>
          <t>в том числе технологическое оборудование</t>
        </is>
      </c>
      <c r="D32" s="149" t="n"/>
      <c r="E32" s="150" t="n"/>
      <c r="F32" s="151" t="n"/>
      <c r="G32" s="14">
        <f>'Прил.6 Расчет ОБ'!G15</f>
        <v/>
      </c>
      <c r="H32" s="160">
        <f>G32/$G$31</f>
        <v/>
      </c>
      <c r="I32" s="14" t="n"/>
      <c r="J32" s="14">
        <f>ROUND(G32*Прил.10!$D$13,2)</f>
        <v/>
      </c>
      <c r="K32" s="185" t="n"/>
    </row>
    <row r="33" ht="14.25" customFormat="1" customHeight="1" s="98">
      <c r="A33" s="162" t="n"/>
      <c r="B33" s="189" t="inlineStr">
        <is>
          <t>Материалы</t>
        </is>
      </c>
      <c r="J33" s="190" t="n"/>
      <c r="K33" s="185" t="n"/>
    </row>
    <row r="34" ht="14.25" customFormat="1" customHeight="1" s="98">
      <c r="A34" s="149" t="n"/>
      <c r="B34" s="148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60" t="n"/>
      <c r="J34" s="160" t="n"/>
    </row>
    <row r="35" ht="25.5" customFormat="1" customHeight="1" s="98">
      <c r="A35" s="149" t="n">
        <v>8</v>
      </c>
      <c r="B35" s="32" t="inlineStr">
        <is>
          <t>01.3.01.07-0009</t>
        </is>
      </c>
      <c r="C35" s="148" t="inlineStr">
        <is>
          <t>Спирт этиловый ректификованный технический, сорт I</t>
        </is>
      </c>
      <c r="D35" s="149" t="inlineStr">
        <is>
          <t>кг</t>
        </is>
      </c>
      <c r="E35" s="183" t="n">
        <v>48</v>
      </c>
      <c r="F35" s="166" t="n">
        <v>38.89</v>
      </c>
      <c r="G35" s="14">
        <f>ROUND(E35*F35,2)</f>
        <v/>
      </c>
      <c r="H35" s="160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9" t="n">
        <v>9</v>
      </c>
      <c r="B36" s="32" t="inlineStr">
        <is>
          <t>01.7.20.08-0031</t>
        </is>
      </c>
      <c r="C36" s="148" t="inlineStr">
        <is>
          <t>Бязь суровая</t>
        </is>
      </c>
      <c r="D36" s="149" t="inlineStr">
        <is>
          <t>10 м2</t>
        </is>
      </c>
      <c r="E36" s="183" t="n">
        <v>11.96</v>
      </c>
      <c r="F36" s="166" t="n">
        <v>79.09999999999999</v>
      </c>
      <c r="G36" s="14">
        <f>ROUND(E36*F36,2)</f>
        <v/>
      </c>
      <c r="H36" s="160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9" t="n">
        <v>10</v>
      </c>
      <c r="B37" s="32" t="inlineStr">
        <is>
          <t>999-9950</t>
        </is>
      </c>
      <c r="C37" s="148" t="inlineStr">
        <is>
          <t>Вспомогательные ненормируемые ресурсы (2% от Оплаты труда рабочих)</t>
        </is>
      </c>
      <c r="D37" s="149" t="inlineStr">
        <is>
          <t>руб</t>
        </is>
      </c>
      <c r="E37" s="183" t="n">
        <v>872.72</v>
      </c>
      <c r="F37" s="166" t="n">
        <v>1</v>
      </c>
      <c r="G37" s="14">
        <f>ROUND(E37*F37,2)</f>
        <v/>
      </c>
      <c r="H37" s="160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01.7.15.03-0042</t>
        </is>
      </c>
      <c r="C38" s="148" t="inlineStr">
        <is>
          <t>Болты с гайками и шайбами строительные</t>
        </is>
      </c>
      <c r="D38" s="149" t="inlineStr">
        <is>
          <t>кг</t>
        </is>
      </c>
      <c r="E38" s="183" t="n">
        <v>56</v>
      </c>
      <c r="F38" s="166" t="n">
        <v>9.039999999999999</v>
      </c>
      <c r="G38" s="14">
        <f>ROUND(E38*F38,2)</f>
        <v/>
      </c>
      <c r="H38" s="160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9" t="n">
        <v>12</v>
      </c>
      <c r="B39" s="32" t="inlineStr">
        <is>
          <t>01.3.01.06-0050</t>
        </is>
      </c>
      <c r="C39" s="148" t="inlineStr">
        <is>
          <t>Смазка универсальная тугоплавкая УТ (консталин жировой)</t>
        </is>
      </c>
      <c r="D39" s="149" t="inlineStr">
        <is>
          <t>т</t>
        </is>
      </c>
      <c r="E39" s="183" t="n">
        <v>0.0152</v>
      </c>
      <c r="F39" s="166" t="n">
        <v>17500</v>
      </c>
      <c r="G39" s="14">
        <f>ROUND(E39*F39,2)</f>
        <v/>
      </c>
      <c r="H39" s="160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9" t="n"/>
      <c r="C40" s="148" t="inlineStr">
        <is>
          <t>Итого основные материалы</t>
        </is>
      </c>
      <c r="D40" s="149" t="n"/>
      <c r="E40" s="183" t="n"/>
      <c r="F40" s="151" t="n"/>
      <c r="G40" s="14">
        <f>SUM(G35:G39)</f>
        <v/>
      </c>
      <c r="H40" s="160">
        <f>G40/$G$52</f>
        <v/>
      </c>
      <c r="I40" s="14" t="n"/>
      <c r="J40" s="14">
        <f>SUM(J35:J39)</f>
        <v/>
      </c>
      <c r="K40" s="185" t="n"/>
    </row>
    <row r="41" hidden="1" outlineLevel="1" ht="14.25" customFormat="1" customHeight="1" s="98">
      <c r="A41" s="149" t="n">
        <v>13</v>
      </c>
      <c r="B41" s="48" t="inlineStr">
        <is>
          <t>01.7.17.11-0001</t>
        </is>
      </c>
      <c r="C41" s="148" t="inlineStr">
        <is>
          <t>Бумага шлифовальная</t>
        </is>
      </c>
      <c r="D41" s="149" t="inlineStr">
        <is>
          <t>кг</t>
        </is>
      </c>
      <c r="E41" s="183" t="n">
        <v>4</v>
      </c>
      <c r="F41" s="166" t="n">
        <v>50</v>
      </c>
      <c r="G41" s="14">
        <f>ROUND(F41*E41,2)</f>
        <v/>
      </c>
      <c r="H41" s="160">
        <f>G41/$G$52</f>
        <v/>
      </c>
      <c r="I41" s="14">
        <f>ROUND(F41*Прил.10!$D$12,2)</f>
        <v/>
      </c>
      <c r="J41" s="14">
        <f>ROUND(I41*E41,2)</f>
        <v/>
      </c>
    </row>
    <row r="42" hidden="1" outlineLevel="1" ht="38.25" customFormat="1" customHeight="1" s="98">
      <c r="A42" s="149" t="n">
        <v>14</v>
      </c>
      <c r="B42" s="32" t="inlineStr">
        <is>
          <t>11.1.03.06-0021</t>
        </is>
      </c>
      <c r="C42" s="148" t="inlineStr">
        <is>
          <t>Доска обрезная, лиственных пород (береза, липа), длина 4-6,5 м, все ширины, толщина 19-22 мм, сорт II</t>
        </is>
      </c>
      <c r="D42" s="149" t="inlineStr">
        <is>
          <t>м3</t>
        </is>
      </c>
      <c r="E42" s="183" t="n">
        <v>0.08</v>
      </c>
      <c r="F42" s="166" t="n">
        <v>1784</v>
      </c>
      <c r="G42" s="14">
        <f>ROUND(F42*E42,2)</f>
        <v/>
      </c>
      <c r="H42" s="160">
        <f>G42/$G$52</f>
        <v/>
      </c>
      <c r="I42" s="14">
        <f>ROUND(F42*Прил.10!$D$12,2)</f>
        <v/>
      </c>
      <c r="J42" s="14">
        <f>ROUND(I42*E42,2)</f>
        <v/>
      </c>
    </row>
    <row r="43" hidden="1" outlineLevel="1" ht="38.25" customFormat="1" customHeight="1" s="98">
      <c r="A43" s="149" t="n">
        <v>15</v>
      </c>
      <c r="B43" s="32" t="inlineStr">
        <is>
          <t>10.2.02.07-0109</t>
        </is>
      </c>
      <c r="C43" s="148" t="inlineStr">
        <is>
          <t>Проволока латунная, круглая, твердая, нормальной точности, марка Л68, диаметр 0,50 мм</t>
        </is>
      </c>
      <c r="D43" s="149" t="inlineStr">
        <is>
          <t>т</t>
        </is>
      </c>
      <c r="E43" s="183" t="n">
        <v>0.0016</v>
      </c>
      <c r="F43" s="166" t="n">
        <v>62000</v>
      </c>
      <c r="G43" s="14">
        <f>ROUND(F43*E43,2)</f>
        <v/>
      </c>
      <c r="H43" s="160">
        <f>G43/$G$52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8">
      <c r="A44" s="149" t="n">
        <v>16</v>
      </c>
      <c r="B44" s="32" t="inlineStr">
        <is>
          <t>01.7.11.07-0034</t>
        </is>
      </c>
      <c r="C44" s="148" t="inlineStr">
        <is>
          <t>Электроды сварочные Э42А, диаметр 4 мм</t>
        </is>
      </c>
      <c r="D44" s="149" t="inlineStr">
        <is>
          <t>кг</t>
        </is>
      </c>
      <c r="E44" s="183" t="n">
        <v>8</v>
      </c>
      <c r="F44" s="166" t="n">
        <v>10.57</v>
      </c>
      <c r="G44" s="14">
        <f>ROUND(F44*E44,2)</f>
        <v/>
      </c>
      <c r="H44" s="160">
        <f>G44/$G$52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98">
      <c r="A45" s="149" t="n">
        <v>17</v>
      </c>
      <c r="B45" s="32" t="inlineStr">
        <is>
          <t>14.4.02.09-0001</t>
        </is>
      </c>
      <c r="C45" s="148" t="inlineStr">
        <is>
          <t>Краска</t>
        </is>
      </c>
      <c r="D45" s="149" t="inlineStr">
        <is>
          <t>кг</t>
        </is>
      </c>
      <c r="E45" s="183" t="n">
        <v>1.44</v>
      </c>
      <c r="F45" s="166" t="n">
        <v>28.6</v>
      </c>
      <c r="G45" s="14">
        <f>ROUND(F45*E45,2)</f>
        <v/>
      </c>
      <c r="H45" s="160">
        <f>G45/$G$52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8">
      <c r="A46" s="149" t="n">
        <v>18</v>
      </c>
      <c r="B46" s="32" t="inlineStr">
        <is>
          <t>01.7.15.06-0121</t>
        </is>
      </c>
      <c r="C46" s="148" t="inlineStr">
        <is>
          <t>Гвозди строительные с плоской головкой, размер 1,6х50 мм</t>
        </is>
      </c>
      <c r="D46" s="149" t="inlineStr">
        <is>
          <t>т</t>
        </is>
      </c>
      <c r="E46" s="183" t="n">
        <v>0.0032</v>
      </c>
      <c r="F46" s="166" t="n">
        <v>8475</v>
      </c>
      <c r="G46" s="14">
        <f>ROUND(F46*E46,2)</f>
        <v/>
      </c>
      <c r="H46" s="160">
        <f>G46/$G$52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98">
      <c r="A47" s="149" t="n">
        <v>19</v>
      </c>
      <c r="B47" s="32" t="inlineStr">
        <is>
          <t>01.3.02.09-0022</t>
        </is>
      </c>
      <c r="C47" s="148" t="inlineStr">
        <is>
          <t>Пропан-бутан смесь техническая</t>
        </is>
      </c>
      <c r="D47" s="149" t="inlineStr">
        <is>
          <t>кг</t>
        </is>
      </c>
      <c r="E47" s="183" t="n">
        <v>4</v>
      </c>
      <c r="F47" s="166" t="n">
        <v>6.09</v>
      </c>
      <c r="G47" s="14">
        <f>ROUND(F47*E47,2)</f>
        <v/>
      </c>
      <c r="H47" s="160">
        <f>G47/$G$52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98">
      <c r="A48" s="149" t="n">
        <v>20</v>
      </c>
      <c r="B48" s="32" t="inlineStr">
        <is>
          <t>01.3.02.08-0001</t>
        </is>
      </c>
      <c r="C48" s="148" t="inlineStr">
        <is>
          <t>Кислород газообразный технический</t>
        </is>
      </c>
      <c r="D48" s="149" t="inlineStr">
        <is>
          <t>м3</t>
        </is>
      </c>
      <c r="E48" s="183" t="n">
        <v>2.8</v>
      </c>
      <c r="F48" s="166" t="n">
        <v>6.22</v>
      </c>
      <c r="G48" s="14">
        <f>ROUND(F48*E48,2)</f>
        <v/>
      </c>
      <c r="H48" s="160">
        <f>G48/$G$52</f>
        <v/>
      </c>
      <c r="I48" s="14">
        <f>ROUND(F48*Прил.10!$D$12,2)</f>
        <v/>
      </c>
      <c r="J48" s="14">
        <f>ROUND(I48*E48,2)</f>
        <v/>
      </c>
    </row>
    <row r="49" hidden="1" outlineLevel="1" ht="25.5" customFormat="1" customHeight="1" s="98">
      <c r="A49" s="149" t="n">
        <v>21</v>
      </c>
      <c r="B49" s="32" t="inlineStr">
        <is>
          <t>01.7.07.12-0022</t>
        </is>
      </c>
      <c r="C49" s="148" t="inlineStr">
        <is>
          <t>Пленка полиэтиленовая, толщина 0,2-0,5 мм</t>
        </is>
      </c>
      <c r="D49" s="149" t="inlineStr">
        <is>
          <t>м2</t>
        </is>
      </c>
      <c r="E49" s="183" t="n">
        <v>0.4088</v>
      </c>
      <c r="F49" s="166" t="n">
        <v>12.19</v>
      </c>
      <c r="G49" s="14">
        <f>ROUND(F49*E49,2)</f>
        <v/>
      </c>
      <c r="H49" s="160">
        <f>G49/$G$52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8">
      <c r="A50" s="149" t="n">
        <v>22</v>
      </c>
      <c r="B50" s="32" t="inlineStr">
        <is>
          <t>01.7.02.09-0002</t>
        </is>
      </c>
      <c r="C50" s="148" t="inlineStr">
        <is>
          <t>Шпагат бумажный</t>
        </is>
      </c>
      <c r="D50" s="149" t="inlineStr">
        <is>
          <t>кг</t>
        </is>
      </c>
      <c r="E50" s="183" t="n">
        <v>0.04</v>
      </c>
      <c r="F50" s="166" t="n">
        <v>11.5</v>
      </c>
      <c r="G50" s="14">
        <f>ROUND(F50*E50,2)</f>
        <v/>
      </c>
      <c r="H50" s="160">
        <f>G50/$G$52</f>
        <v/>
      </c>
      <c r="I50" s="14">
        <f>ROUND(F50*Прил.10!$D$12,2)</f>
        <v/>
      </c>
      <c r="J50" s="14">
        <f>ROUND(I50*E50,2)</f>
        <v/>
      </c>
    </row>
    <row r="51" collapsed="1" customFormat="1" s="98">
      <c r="A51" s="149" t="n"/>
      <c r="B51" s="149" t="n"/>
      <c r="C51" s="148" t="inlineStr">
        <is>
          <t>Итого прочие материалы</t>
        </is>
      </c>
      <c r="D51" s="149" t="n"/>
      <c r="E51" s="150" t="n"/>
      <c r="F51" s="151" t="n"/>
      <c r="G51" s="14">
        <f>SUM(G41:G50)</f>
        <v/>
      </c>
      <c r="H51" s="160">
        <f>G51/G52</f>
        <v/>
      </c>
      <c r="I51" s="14" t="n"/>
      <c r="J51" s="14">
        <f>SUM(J41:J50)</f>
        <v/>
      </c>
      <c r="L51" s="188" t="n"/>
    </row>
    <row r="52" ht="14.25" customFormat="1" customHeight="1" s="98">
      <c r="A52" s="149" t="n"/>
      <c r="B52" s="149" t="n"/>
      <c r="C52" s="159" t="inlineStr">
        <is>
          <t>Итого по разделу «Материалы»</t>
        </is>
      </c>
      <c r="D52" s="149" t="n"/>
      <c r="E52" s="150" t="n"/>
      <c r="F52" s="151" t="n"/>
      <c r="G52" s="14">
        <f>G40+G51</f>
        <v/>
      </c>
      <c r="H52" s="160" t="n">
        <v>1</v>
      </c>
      <c r="I52" s="151" t="n"/>
      <c r="J52" s="14">
        <f>J40+J51</f>
        <v/>
      </c>
      <c r="K52" s="185" t="n"/>
    </row>
    <row r="53" ht="14.25" customFormat="1" customHeight="1" s="98">
      <c r="A53" s="149" t="n"/>
      <c r="B53" s="149" t="n"/>
      <c r="C53" s="148" t="inlineStr">
        <is>
          <t>ИТОГО ПО РМ</t>
        </is>
      </c>
      <c r="D53" s="149" t="n"/>
      <c r="E53" s="150" t="n"/>
      <c r="F53" s="151" t="n"/>
      <c r="G53" s="14">
        <f>G14+G25+G52</f>
        <v/>
      </c>
      <c r="H53" s="160" t="n"/>
      <c r="I53" s="151" t="n"/>
      <c r="J53" s="14">
        <f>J14+J25+J52</f>
        <v/>
      </c>
    </row>
    <row r="54" ht="14.25" customFormat="1" customHeight="1" s="98">
      <c r="A54" s="149" t="n"/>
      <c r="B54" s="149" t="n"/>
      <c r="C54" s="148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1" t="n"/>
      <c r="G54" s="14" t="n">
        <v>85555.78999999999</v>
      </c>
      <c r="H54" s="160" t="n"/>
      <c r="I54" s="151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48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1" t="n"/>
      <c r="G55" s="14" t="n">
        <v>44982.93</v>
      </c>
      <c r="H55" s="160" t="n"/>
      <c r="I55" s="151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48" t="inlineStr">
        <is>
          <t>Итого СМР (с НР и СП)</t>
        </is>
      </c>
      <c r="D56" s="149" t="n"/>
      <c r="E56" s="150" t="n"/>
      <c r="F56" s="151" t="n"/>
      <c r="G56" s="14">
        <f>G14+G25+G52+G54+G55</f>
        <v/>
      </c>
      <c r="H56" s="160" t="n"/>
      <c r="I56" s="151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48" t="inlineStr">
        <is>
          <t>ВСЕГО СМР + ОБОРУДОВАНИЕ</t>
        </is>
      </c>
      <c r="D57" s="149" t="n"/>
      <c r="E57" s="150" t="n"/>
      <c r="F57" s="151" t="n"/>
      <c r="G57" s="14">
        <f>G56+G31</f>
        <v/>
      </c>
      <c r="H57" s="160" t="n"/>
      <c r="I57" s="151" t="n"/>
      <c r="J57" s="14">
        <f>J56+J31</f>
        <v/>
      </c>
      <c r="L57" s="41" t="n"/>
    </row>
    <row r="58" ht="14.25" customFormat="1" customHeight="1" s="98">
      <c r="A58" s="149" t="n"/>
      <c r="B58" s="149" t="n"/>
      <c r="C58" s="148" t="inlineStr">
        <is>
          <t>ИТОГО ПОКАЗАТЕЛЬ НА ЕД. ИЗМ.</t>
        </is>
      </c>
      <c r="D58" s="149" t="inlineStr">
        <is>
          <t>ед.</t>
        </is>
      </c>
      <c r="E58" s="43" t="n">
        <v>4</v>
      </c>
      <c r="F58" s="151" t="n"/>
      <c r="G58" s="14">
        <f>G57/E58</f>
        <v/>
      </c>
      <c r="H58" s="160" t="n"/>
      <c r="I58" s="151" t="n"/>
      <c r="J58" s="14">
        <f>J57/E58</f>
        <v/>
      </c>
      <c r="L58" s="182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F20" sqref="F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9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3">
      <c r="A11" s="7" t="n"/>
      <c r="B11" s="148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 s="103">
      <c r="A12" s="149" t="n"/>
      <c r="B12" s="159" t="n"/>
      <c r="C12" s="148" t="inlineStr">
        <is>
          <t>ИТОГО ИНЖЕНЕРНОЕ ОБОРУДОВАНИЕ</t>
        </is>
      </c>
      <c r="D12" s="159" t="n"/>
      <c r="E12" s="8" t="n"/>
      <c r="F12" s="151" t="n"/>
      <c r="G12" s="151" t="n">
        <v>0</v>
      </c>
    </row>
    <row r="13">
      <c r="A13" s="149" t="n"/>
      <c r="B13" s="148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 ht="25.5" customHeight="1" s="103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1" t="n"/>
      <c r="G15" s="14">
        <f>SUM(G14:G14)</f>
        <v/>
      </c>
    </row>
    <row r="16" ht="19.5" customHeight="1" s="103">
      <c r="A16" s="149" t="n"/>
      <c r="B16" s="148" t="n"/>
      <c r="C16" s="148" t="inlineStr">
        <is>
          <t>Всего по разделу «Оборудование»</t>
        </is>
      </c>
      <c r="D16" s="148" t="n"/>
      <c r="E16" s="166" t="n"/>
      <c r="F16" s="151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47.25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 s="103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 s="103">
      <c r="A11" s="136" t="inlineStr">
        <is>
          <t>И6-04-2</t>
        </is>
      </c>
      <c r="B11" s="136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C26" sqref="C26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3">
      <c r="B9" s="136" t="n">
        <v>1</v>
      </c>
      <c r="C9" s="136" t="n">
        <v>2</v>
      </c>
      <c r="D9" s="136" t="n">
        <v>3</v>
      </c>
    </row>
    <row r="10" ht="31.5" customHeight="1" s="103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3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3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3">
      <c r="B13" s="136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3">
      <c r="B14" s="136" t="inlineStr">
        <is>
          <t>Временные здания и сооружения</t>
        </is>
      </c>
      <c r="C14" s="13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3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2" t="n">
        <v>0.002</v>
      </c>
    </row>
    <row r="19" ht="24" customHeight="1" s="103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6" t="n"/>
      <c r="D10" s="136" t="n"/>
      <c r="E10" s="191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2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3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2025-01-24T12:02:32Z</dcterms:modified>
  <cp:lastModifiedBy>Николай Трофименко</cp:lastModifiedBy>
  <cp:lastPrinted>2023-11-24T13:06:40Z</cp:lastPrinted>
</cp:coreProperties>
</file>