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'Прил.3'!$11:$13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2" fillId="0" borderId="1" applyAlignment="1" pivotButton="0" quotePrefix="0" xfId="0">
      <alignment horizontal="center" vertical="center" wrapText="1"/>
    </xf>
    <xf numFmtId="166" fontId="12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7" zoomScale="60" zoomScaleNormal="85" workbookViewId="0">
      <selection activeCell="D31" sqref="D31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26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27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25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25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25" t="n"/>
      <c r="E10" s="106" t="n"/>
      <c r="F10" s="106" t="n"/>
      <c r="G10" s="106" t="n"/>
      <c r="H10" s="106" t="n"/>
      <c r="I10" s="106" t="n"/>
    </row>
    <row r="11">
      <c r="B11" s="132" t="inlineStr">
        <is>
          <t>№ п/п</t>
        </is>
      </c>
      <c r="C11" s="132" t="inlineStr">
        <is>
          <t>Параметр</t>
        </is>
      </c>
      <c r="D11" s="132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2" t="n">
        <v>1</v>
      </c>
      <c r="C12" s="58" t="inlineStr">
        <is>
          <t>Наименование объекта-представителя</t>
        </is>
      </c>
      <c r="D12" s="132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2" t="n">
        <v>2</v>
      </c>
      <c r="C13" s="58" t="inlineStr">
        <is>
          <t>Наименование субъекта Российской Федерации</t>
        </is>
      </c>
      <c r="D13" s="132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32" t="n">
        <v>3</v>
      </c>
      <c r="C14" s="58" t="inlineStr">
        <is>
          <t>Климатический район и подрайон</t>
        </is>
      </c>
      <c r="D14" s="132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32" t="n">
        <v>4</v>
      </c>
      <c r="C15" s="58" t="inlineStr">
        <is>
          <t>Мощность объекта</t>
        </is>
      </c>
      <c r="D15" s="132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32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2" t="inlineStr">
        <is>
          <t>Выключатель колонковый однополюсный
40кА/3150А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2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58" t="inlineStr">
        <is>
          <t>строительно-монтажные работы</t>
        </is>
      </c>
      <c r="D18" s="176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58" t="inlineStr">
        <is>
          <t>оборудование и инвентарь</t>
        </is>
      </c>
      <c r="D19" s="176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58" t="inlineStr">
        <is>
          <t>пусконаладочные работы</t>
        </is>
      </c>
      <c r="D20" s="176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6" t="n"/>
      <c r="E21" s="106" t="n"/>
      <c r="F21" s="106" t="n"/>
      <c r="G21" s="106" t="n"/>
      <c r="H21" s="106" t="n"/>
      <c r="I21" s="106" t="n"/>
    </row>
    <row r="22">
      <c r="B22" s="132" t="n">
        <v>7</v>
      </c>
      <c r="C22" s="62" t="inlineStr">
        <is>
          <t>Сопоставимый уровень цен</t>
        </is>
      </c>
      <c r="D22" s="132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2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6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2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6">
        <f>D17/D15</f>
        <v/>
      </c>
      <c r="E24" s="60" t="n"/>
      <c r="F24" s="106" t="n"/>
      <c r="G24" s="106" t="n"/>
      <c r="H24" s="106" t="n"/>
      <c r="I24" s="106" t="n"/>
    </row>
    <row r="25">
      <c r="B25" s="132" t="n">
        <v>10</v>
      </c>
      <c r="C25" s="58" t="inlineStr">
        <is>
          <t>Примечание</t>
        </is>
      </c>
      <c r="D25" s="58" t="n"/>
      <c r="E25" s="106" t="n"/>
      <c r="F25" s="106" t="n"/>
      <c r="G25" s="106" t="n"/>
      <c r="H25" s="106" t="n"/>
      <c r="I25" s="106" t="n"/>
    </row>
    <row r="26">
      <c r="B26" s="165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1"/>
  <sheetViews>
    <sheetView view="pageBreakPreview" zoomScale="60" zoomScaleNormal="100" workbookViewId="0">
      <selection activeCell="G19" sqref="G19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26" t="inlineStr">
        <is>
          <t>Приложение № 2</t>
        </is>
      </c>
    </row>
    <row r="4" ht="15.75" customHeight="1" s="104">
      <c r="A4" s="106" t="n"/>
      <c r="B4" s="127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1">
        <f>'Прил.1 Сравнит табл'!B7</f>
        <v/>
      </c>
    </row>
    <row r="7" ht="15.75" customHeight="1" s="104">
      <c r="A7" s="106" t="n"/>
      <c r="B7" s="125">
        <f>'Прил.1 Сравнит табл'!B9</f>
        <v/>
      </c>
    </row>
    <row r="8" ht="15.75" customHeight="1" s="104">
      <c r="A8" s="106" t="n"/>
      <c r="B8" s="125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2" t="inlineStr">
        <is>
          <t>№ п/п</t>
        </is>
      </c>
      <c r="C9" s="1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2" t="inlineStr">
        <is>
          <t>Объект-представитель 1</t>
        </is>
      </c>
      <c r="E9" s="177" t="n"/>
      <c r="F9" s="177" t="n"/>
      <c r="G9" s="177" t="n"/>
      <c r="H9" s="177" t="n"/>
      <c r="I9" s="177" t="n"/>
      <c r="J9" s="178" t="n"/>
    </row>
    <row r="10" ht="15.75" customHeight="1" s="104">
      <c r="A10" s="106" t="n"/>
      <c r="B10" s="179" t="n"/>
      <c r="C10" s="179" t="n"/>
      <c r="D10" s="132" t="inlineStr">
        <is>
          <t>Номер сметы</t>
        </is>
      </c>
      <c r="E10" s="132" t="inlineStr">
        <is>
          <t>Наименование сметы</t>
        </is>
      </c>
      <c r="F10" s="132" t="inlineStr">
        <is>
          <t>Сметная стоимость в уровне цен 3 кв. 2014г., тыс. руб.</t>
        </is>
      </c>
      <c r="G10" s="177" t="n"/>
      <c r="H10" s="177" t="n"/>
      <c r="I10" s="177" t="n"/>
      <c r="J10" s="178" t="n"/>
    </row>
    <row r="11" ht="63" customHeight="1" s="104">
      <c r="A11" s="106" t="n"/>
      <c r="B11" s="180" t="n"/>
      <c r="C11" s="180" t="n"/>
      <c r="D11" s="180" t="n"/>
      <c r="E11" s="180" t="n"/>
      <c r="F11" s="133" t="inlineStr">
        <is>
          <t>Строительные работы</t>
        </is>
      </c>
      <c r="G11" s="133" t="inlineStr">
        <is>
          <t>Монтажные работы</t>
        </is>
      </c>
      <c r="H11" s="133" t="inlineStr">
        <is>
          <t>Оборудование</t>
        </is>
      </c>
      <c r="I11" s="133" t="inlineStr">
        <is>
          <t>Прочее</t>
        </is>
      </c>
      <c r="J11" s="133" t="inlineStr">
        <is>
          <t>Всего</t>
        </is>
      </c>
    </row>
    <row r="12" ht="78.75" customHeight="1" s="104">
      <c r="A12" s="106" t="n"/>
      <c r="B12" s="120" t="n"/>
      <c r="C12" s="121" t="inlineStr">
        <is>
          <t xml:space="preserve">Выключатель 500 кВ без устройства фундаментов, номинальный ток 4000 А, номинальный ток отключения 63 кА  </t>
        </is>
      </c>
      <c r="D12" s="120" t="n"/>
      <c r="E12" s="120" t="n"/>
      <c r="F12" s="181" t="n">
        <v>2218.1049528</v>
      </c>
      <c r="G12" s="178" t="n"/>
      <c r="H12" s="120" t="n">
        <v>83805.10487359999</v>
      </c>
      <c r="I12" s="120" t="n"/>
      <c r="J12" s="120" t="n"/>
    </row>
    <row r="13" ht="15.75" customHeight="1" s="104">
      <c r="A13" s="106" t="n"/>
      <c r="B13" s="129" t="inlineStr">
        <is>
          <t>Всего по объекту:</t>
        </is>
      </c>
      <c r="C13" s="182" t="n"/>
      <c r="D13" s="182" t="n"/>
      <c r="E13" s="183" t="n"/>
      <c r="F13" s="184">
        <f>F12</f>
        <v/>
      </c>
      <c r="G13" s="178" t="n"/>
      <c r="H13" s="119">
        <f>H12</f>
        <v/>
      </c>
      <c r="I13" s="119" t="n"/>
      <c r="J13" s="119" t="n"/>
    </row>
    <row r="14" ht="15.75" customHeight="1" s="104">
      <c r="A14" s="106" t="n"/>
      <c r="B14" s="130" t="inlineStr">
        <is>
          <t>Всего по объекту в сопоставимом уровне цен 3кв. 2014г:</t>
        </is>
      </c>
      <c r="C14" s="177" t="n"/>
      <c r="D14" s="177" t="n"/>
      <c r="E14" s="178" t="n"/>
      <c r="F14" s="184">
        <f>F12</f>
        <v/>
      </c>
      <c r="G14" s="178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28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E16:K16"/>
    <mergeCell ref="B4:J4"/>
    <mergeCell ref="F13:G13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4" workbookViewId="0">
      <selection activeCell="D44" sqref="D44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26" t="inlineStr">
        <is>
          <t xml:space="preserve">Приложение № 3 </t>
        </is>
      </c>
      <c r="K2" s="106" t="n"/>
    </row>
    <row r="3">
      <c r="A3" s="127" t="inlineStr">
        <is>
          <t>Объектная ресурсная ведомость</t>
        </is>
      </c>
      <c r="K3" s="106" t="n"/>
    </row>
    <row r="4" s="104">
      <c r="A4" s="127" t="n"/>
      <c r="B4" s="127" t="n"/>
      <c r="C4" s="127" t="n"/>
      <c r="D4" s="127" t="n"/>
      <c r="E4" s="127" t="n"/>
      <c r="F4" s="127" t="n"/>
      <c r="G4" s="127" t="n"/>
      <c r="H4" s="127" t="n"/>
      <c r="I4" s="106" t="n"/>
      <c r="J4" s="106" t="n"/>
      <c r="K4" s="106" t="n"/>
    </row>
    <row r="5" ht="18.75" customHeight="1" s="104">
      <c r="A5" s="125" t="n"/>
      <c r="K5" s="106" t="n"/>
    </row>
    <row r="6" ht="36.75" customHeight="1" s="104">
      <c r="A6" s="131">
        <f>'Прил.1 Сравнит табл'!B7</f>
        <v/>
      </c>
      <c r="K6" s="106" t="n"/>
    </row>
    <row r="7" ht="36.75" customHeight="1" s="104">
      <c r="A7" s="131" t="n"/>
      <c r="B7" s="131" t="n"/>
      <c r="C7" s="131" t="n"/>
      <c r="D7" s="131" t="n"/>
      <c r="E7" s="131" t="n"/>
      <c r="F7" s="131" t="n"/>
      <c r="G7" s="131" t="n"/>
      <c r="H7" s="131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2" t="inlineStr">
        <is>
          <t>п/п</t>
        </is>
      </c>
      <c r="B9" s="132" t="inlineStr">
        <is>
          <t>№ЛСР</t>
        </is>
      </c>
      <c r="C9" s="132" t="inlineStr">
        <is>
          <t>Код ресурса</t>
        </is>
      </c>
      <c r="D9" s="132" t="inlineStr">
        <is>
          <t>Наименование ресурса</t>
        </is>
      </c>
      <c r="E9" s="132" t="inlineStr">
        <is>
          <t>Ед. изм.</t>
        </is>
      </c>
      <c r="F9" s="132" t="inlineStr">
        <is>
          <t>Кол-во единиц по данным объекта-представителя</t>
        </is>
      </c>
      <c r="G9" s="132" t="inlineStr">
        <is>
          <t>Сметная стоимость в ценах на 01.01.2000 (руб.)</t>
        </is>
      </c>
      <c r="H9" s="178" t="n"/>
      <c r="K9" s="106" t="n"/>
    </row>
    <row r="10" ht="33" customHeight="1" s="104">
      <c r="A10" s="180" t="n"/>
      <c r="B10" s="180" t="n"/>
      <c r="C10" s="180" t="n"/>
      <c r="D10" s="180" t="n"/>
      <c r="E10" s="180" t="n"/>
      <c r="F10" s="180" t="n"/>
      <c r="G10" s="132" t="inlineStr">
        <is>
          <t>на ед.изм.</t>
        </is>
      </c>
      <c r="H10" s="132" t="inlineStr">
        <is>
          <t>общая</t>
        </is>
      </c>
      <c r="K10" s="106" t="n"/>
    </row>
    <row r="11">
      <c r="A11" s="133" t="n">
        <v>1</v>
      </c>
      <c r="B11" s="133" t="n"/>
      <c r="C11" s="133" t="n">
        <v>2</v>
      </c>
      <c r="D11" s="133" t="inlineStr">
        <is>
          <t>З</t>
        </is>
      </c>
      <c r="E11" s="133" t="n">
        <v>4</v>
      </c>
      <c r="F11" s="133" t="n">
        <v>5</v>
      </c>
      <c r="G11" s="133" t="n">
        <v>6</v>
      </c>
      <c r="H11" s="133" t="n">
        <v>7</v>
      </c>
      <c r="I11" s="185" t="n"/>
      <c r="K11" s="106" t="n"/>
    </row>
    <row r="12">
      <c r="A12" s="138" t="inlineStr">
        <is>
          <t>Затраты труда рабочих</t>
        </is>
      </c>
      <c r="B12" s="177" t="n"/>
      <c r="C12" s="177" t="n"/>
      <c r="D12" s="177" t="n"/>
      <c r="E12" s="178" t="n"/>
      <c r="F12" s="68" t="n">
        <v>10920.8</v>
      </c>
      <c r="G12" s="68" t="n"/>
      <c r="H12" s="68">
        <f>SUM(H13:H13)</f>
        <v/>
      </c>
      <c r="I12" s="93" t="n"/>
      <c r="J12" s="93" t="n"/>
      <c r="K12" s="93" t="n"/>
    </row>
    <row r="13" ht="31.5" customHeight="1" s="104">
      <c r="A13" s="139" t="n">
        <v>1</v>
      </c>
      <c r="B13" s="84" t="n"/>
      <c r="C13" s="71" t="inlineStr">
        <is>
          <t>1-4-0</t>
        </is>
      </c>
      <c r="D13" s="140" t="inlineStr">
        <is>
          <t>Затраты труда рабочих (средний разряд работы 4)</t>
        </is>
      </c>
      <c r="E13" s="139" t="inlineStr">
        <is>
          <t>чел.-ч</t>
        </is>
      </c>
      <c r="F13" s="139" t="n">
        <v>10920.8</v>
      </c>
      <c r="G13" s="73" t="n">
        <v>9.619999999999999</v>
      </c>
      <c r="H13" s="73">
        <f>ROUND(F13*G13,2)</f>
        <v/>
      </c>
      <c r="K13" s="106" t="n"/>
    </row>
    <row r="14">
      <c r="A14" s="138" t="inlineStr">
        <is>
          <t>Затраты труда машинистов</t>
        </is>
      </c>
      <c r="B14" s="177" t="n"/>
      <c r="C14" s="177" t="n"/>
      <c r="D14" s="177" t="n"/>
      <c r="E14" s="178" t="n"/>
      <c r="F14" s="68">
        <f>Прил.3!H12+Прил.3!H14+Прил.3!H16+Прил.3!H23</f>
        <v/>
      </c>
      <c r="G14" s="68" t="n"/>
      <c r="H14" s="68">
        <f>H15</f>
        <v/>
      </c>
      <c r="K14" s="106" t="n"/>
    </row>
    <row r="15">
      <c r="A15" s="139" t="n">
        <v>2</v>
      </c>
      <c r="B15" s="107" t="n"/>
      <c r="C15" s="79" t="n">
        <v>2</v>
      </c>
      <c r="D15" s="140" t="inlineStr">
        <is>
          <t>Затраты труда машинистов</t>
        </is>
      </c>
      <c r="E15" s="139" t="inlineStr">
        <is>
          <t>чел.-ч</t>
        </is>
      </c>
      <c r="F15" s="139" t="n">
        <v>1943.44</v>
      </c>
      <c r="G15" s="73" t="n"/>
      <c r="H15" s="73" t="n">
        <v>23793.68</v>
      </c>
      <c r="K15" s="106" t="n"/>
    </row>
    <row r="16">
      <c r="A16" s="138" t="inlineStr">
        <is>
          <t>Машины и механизмы</t>
        </is>
      </c>
      <c r="B16" s="177" t="n"/>
      <c r="C16" s="177" t="n"/>
      <c r="D16" s="177" t="n"/>
      <c r="E16" s="178" t="n"/>
      <c r="F16" s="138" t="n"/>
      <c r="G16" s="68" t="n"/>
      <c r="H16" s="68">
        <f>SUM(H17:H20)</f>
        <v/>
      </c>
      <c r="I16" s="93" t="n"/>
      <c r="J16" s="93" t="n"/>
      <c r="K16" s="93" t="n"/>
    </row>
    <row r="17" ht="31.5" customHeight="1" s="104">
      <c r="A17" s="139" t="n">
        <v>3</v>
      </c>
      <c r="B17" s="107" t="n"/>
      <c r="C17" s="140" t="inlineStr">
        <is>
          <t>91.05.05-015</t>
        </is>
      </c>
      <c r="D17" s="140" t="inlineStr">
        <is>
          <t>Краны на автомобильном ходу, грузоподъемность 16 т</t>
        </is>
      </c>
      <c r="E17" s="139" t="inlineStr">
        <is>
          <t>маш.час</t>
        </is>
      </c>
      <c r="F17" s="139" t="n">
        <v>1176.4</v>
      </c>
      <c r="G17" s="73" t="n">
        <v>115.4</v>
      </c>
      <c r="H17" s="73">
        <f>ROUND(F17*G17,2)</f>
        <v/>
      </c>
      <c r="K17" s="106" t="n"/>
    </row>
    <row r="18" ht="31.5" customHeight="1" s="104">
      <c r="A18" s="139" t="n">
        <v>4</v>
      </c>
      <c r="B18" s="107" t="n"/>
      <c r="C18" s="140" t="inlineStr">
        <is>
          <t>91.06.06-042</t>
        </is>
      </c>
      <c r="D18" s="140" t="inlineStr">
        <is>
          <t>Подъемники гидравлические, высота подъема 10 м</t>
        </is>
      </c>
      <c r="E18" s="139" t="inlineStr">
        <is>
          <t>маш.час</t>
        </is>
      </c>
      <c r="F18" s="139" t="n">
        <v>639.88</v>
      </c>
      <c r="G18" s="73" t="n">
        <v>29.6</v>
      </c>
      <c r="H18" s="73">
        <f>ROUND(F18*G18,2)</f>
        <v/>
      </c>
      <c r="I18" s="93" t="n"/>
      <c r="J18" s="93" t="n"/>
      <c r="K18" s="93" t="n"/>
    </row>
    <row r="19">
      <c r="A19" s="139" t="n">
        <v>5</v>
      </c>
      <c r="B19" s="107" t="n"/>
      <c r="C19" s="140" t="inlineStr">
        <is>
          <t>91.14.02-001</t>
        </is>
      </c>
      <c r="D19" s="140" t="inlineStr">
        <is>
          <t>Автомобили бортовые, грузоподъемность до 5 т</t>
        </is>
      </c>
      <c r="E19" s="139" t="inlineStr">
        <is>
          <t>маш.час</t>
        </is>
      </c>
      <c r="F19" s="139" t="n">
        <v>127.16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39" t="n">
        <v>6</v>
      </c>
      <c r="B20" s="107" t="n"/>
      <c r="C20" s="140" t="inlineStr">
        <is>
          <t>91.17.04-233</t>
        </is>
      </c>
      <c r="D20" s="140" t="inlineStr">
        <is>
          <t>Установки для сварки ручной дуговой (постоянного тока)</t>
        </is>
      </c>
      <c r="E20" s="139" t="inlineStr">
        <is>
          <t>маш.час</t>
        </is>
      </c>
      <c r="F20" s="139" t="n">
        <v>2.448</v>
      </c>
      <c r="G20" s="73" t="n">
        <v>8.1</v>
      </c>
      <c r="H20" s="73">
        <f>ROUND(F20*G20,2)</f>
        <v/>
      </c>
      <c r="K20" s="106" t="n"/>
    </row>
    <row r="21">
      <c r="A21" s="138" t="inlineStr">
        <is>
          <t>Оборудование</t>
        </is>
      </c>
      <c r="B21" s="177" t="n"/>
      <c r="C21" s="177" t="n"/>
      <c r="D21" s="177" t="n"/>
      <c r="E21" s="178" t="n"/>
      <c r="F21" s="138" t="n"/>
      <c r="G21" s="68" t="n"/>
      <c r="H21" s="68">
        <f>SUM(H22:H22)</f>
        <v/>
      </c>
      <c r="J21" s="81" t="n"/>
    </row>
    <row r="22">
      <c r="A22" s="139" t="n">
        <v>7</v>
      </c>
      <c r="B22" s="107" t="n"/>
      <c r="C22" s="140" t="inlineStr">
        <is>
          <t>Прайс из СД ОП</t>
        </is>
      </c>
      <c r="D22" s="140" t="inlineStr">
        <is>
          <t>Выключатель колонковый 500 кВ 3150/40 кА</t>
        </is>
      </c>
      <c r="E22" s="139" t="inlineStr">
        <is>
          <t>компл</t>
        </is>
      </c>
      <c r="F22" s="139" t="n">
        <v>4</v>
      </c>
      <c r="G22" s="73" t="n">
        <v>5185959.46</v>
      </c>
      <c r="H22" s="73">
        <f>ROUND(F22*G22,2)</f>
        <v/>
      </c>
    </row>
    <row r="23">
      <c r="A23" s="138" t="inlineStr">
        <is>
          <t>Материалы</t>
        </is>
      </c>
      <c r="B23" s="177" t="n"/>
      <c r="C23" s="177" t="n"/>
      <c r="D23" s="177" t="n"/>
      <c r="E23" s="178" t="n"/>
      <c r="F23" s="138" t="n"/>
      <c r="G23" s="68" t="n"/>
      <c r="H23" s="68">
        <f>SUM(H24:H39)</f>
        <v/>
      </c>
      <c r="J23" s="81" t="n"/>
    </row>
    <row r="24" ht="31.5" customHeight="1" s="104">
      <c r="A24" s="139" t="n">
        <v>8</v>
      </c>
      <c r="B24" s="86" t="n"/>
      <c r="C24" s="140" t="inlineStr">
        <is>
          <t>01.3.01.07-0009</t>
        </is>
      </c>
      <c r="D24" s="140" t="inlineStr">
        <is>
          <t>Спирт этиловый ректификованный технический, сорт I</t>
        </is>
      </c>
      <c r="E24" s="139" t="inlineStr">
        <is>
          <t>кг</t>
        </is>
      </c>
      <c r="F24" s="139" t="n">
        <v>64</v>
      </c>
      <c r="G24" s="73" t="n">
        <v>38.89</v>
      </c>
      <c r="H24" s="73">
        <f>ROUND(F24*G24,2)</f>
        <v/>
      </c>
    </row>
    <row r="25">
      <c r="A25" s="139" t="n">
        <v>9</v>
      </c>
      <c r="B25" s="86" t="n"/>
      <c r="C25" s="140" t="inlineStr">
        <is>
          <t>01.7.15.03-0042</t>
        </is>
      </c>
      <c r="D25" s="140" t="inlineStr">
        <is>
          <t>Болты с гайками и шайбами строительные</t>
        </is>
      </c>
      <c r="E25" s="139" t="inlineStr">
        <is>
          <t>кг</t>
        </is>
      </c>
      <c r="F25" s="139" t="n">
        <v>178</v>
      </c>
      <c r="G25" s="73" t="n">
        <v>9.039999999999999</v>
      </c>
      <c r="H25" s="73">
        <f>ROUND(F25*G25,2)</f>
        <v/>
      </c>
    </row>
    <row r="26">
      <c r="A26" s="139" t="n">
        <v>10</v>
      </c>
      <c r="B26" s="86" t="n"/>
      <c r="C26" s="140" t="inlineStr">
        <is>
          <t>01.7.20.08-0031</t>
        </is>
      </c>
      <c r="D26" s="140" t="inlineStr">
        <is>
          <t>Бязь суровая</t>
        </is>
      </c>
      <c r="E26" s="139" t="inlineStr">
        <is>
          <t>10 м2</t>
        </is>
      </c>
      <c r="F26" s="139" t="n">
        <v>19.52</v>
      </c>
      <c r="G26" s="73" t="n">
        <v>79.09999999999999</v>
      </c>
      <c r="H26" s="73">
        <f>ROUND(F26*G26,2)</f>
        <v/>
      </c>
    </row>
    <row r="27" ht="31.5" customHeight="1" s="104">
      <c r="A27" s="139" t="n">
        <v>11</v>
      </c>
      <c r="B27" s="86" t="n"/>
      <c r="C27" s="140" t="inlineStr">
        <is>
          <t>999-9950</t>
        </is>
      </c>
      <c r="D27" s="140" t="inlineStr">
        <is>
          <t>Вспомогательные ненормируемые ресурсы (2% от Оплаты труда рабочих)</t>
        </is>
      </c>
      <c r="E27" s="139" t="inlineStr">
        <is>
          <t>руб</t>
        </is>
      </c>
      <c r="F27" s="139" t="n">
        <v>1235.96</v>
      </c>
      <c r="G27" s="73" t="n">
        <v>1</v>
      </c>
      <c r="H27" s="73">
        <f>ROUND(F27*G27,2)</f>
        <v/>
      </c>
    </row>
    <row r="28" ht="15" customHeight="1" s="104">
      <c r="A28" s="139" t="n">
        <v>12</v>
      </c>
      <c r="B28" s="86" t="n"/>
      <c r="C28" s="140" t="inlineStr">
        <is>
          <t>01.3.01.06-0050</t>
        </is>
      </c>
      <c r="D28" s="140" t="inlineStr">
        <is>
          <t>Смазка универсальная тугоплавкая УТ (консталин жировой)</t>
        </is>
      </c>
      <c r="E28" s="139" t="inlineStr">
        <is>
          <t>т</t>
        </is>
      </c>
      <c r="F28" s="139" t="n">
        <v>0.0152</v>
      </c>
      <c r="G28" s="73" t="n">
        <v>17500</v>
      </c>
      <c r="H28" s="73">
        <f>ROUND(F28*G28,2)</f>
        <v/>
      </c>
    </row>
    <row r="29" ht="31.5" customHeight="1" s="104">
      <c r="A29" s="139" t="n">
        <v>13</v>
      </c>
      <c r="B29" s="86" t="n"/>
      <c r="C29" s="140" t="inlineStr">
        <is>
          <t>08.3.07.01-0076</t>
        </is>
      </c>
      <c r="D29" s="140" t="inlineStr">
        <is>
          <t>Прокат полосовой, горячекатаный, марка стали Ст3сп, ширина 50-200 мм, толщина 4-5 мм</t>
        </is>
      </c>
      <c r="E29" s="139" t="inlineStr">
        <is>
          <t>т</t>
        </is>
      </c>
      <c r="F29" s="139" t="n">
        <v>0.044</v>
      </c>
      <c r="G29" s="73" t="n">
        <v>5000</v>
      </c>
      <c r="H29" s="73">
        <f>ROUND(F29*G29,2)</f>
        <v/>
      </c>
    </row>
    <row r="30">
      <c r="A30" s="139" t="n">
        <v>14</v>
      </c>
      <c r="B30" s="86" t="n"/>
      <c r="C30" s="140" t="inlineStr">
        <is>
          <t>01.7.17.11-0001</t>
        </is>
      </c>
      <c r="D30" s="140" t="inlineStr">
        <is>
          <t>Бумага шлифовальная</t>
        </is>
      </c>
      <c r="E30" s="139" t="inlineStr">
        <is>
          <t>кг</t>
        </is>
      </c>
      <c r="F30" s="139" t="n">
        <v>4</v>
      </c>
      <c r="G30" s="73" t="n">
        <v>50</v>
      </c>
      <c r="H30" s="73">
        <f>ROUND(F30*G30,2)</f>
        <v/>
      </c>
    </row>
    <row r="31" ht="15" customHeight="1" s="104">
      <c r="A31" s="139" t="n">
        <v>15</v>
      </c>
      <c r="B31" s="86" t="n"/>
      <c r="C31" s="140" t="inlineStr">
        <is>
          <t>01.7.07.12-0022</t>
        </is>
      </c>
      <c r="D31" s="140" t="inlineStr">
        <is>
          <t>Пленка полиэтиленовая, толщина 0,2-0,5 мм</t>
        </is>
      </c>
      <c r="E31" s="139" t="inlineStr">
        <is>
          <t>м2</t>
        </is>
      </c>
      <c r="F31" s="139" t="n">
        <v>16.352</v>
      </c>
      <c r="G31" s="73" t="n">
        <v>12.19</v>
      </c>
      <c r="H31" s="73">
        <f>ROUND(F31*G31,2)</f>
        <v/>
      </c>
    </row>
    <row r="32" ht="47.25" customHeight="1" s="104">
      <c r="A32" s="139" t="n">
        <v>16</v>
      </c>
      <c r="B32" s="86" t="n"/>
      <c r="C32" s="140" t="inlineStr">
        <is>
          <t>11.1.03.06-0021</t>
        </is>
      </c>
      <c r="D32" s="140" t="inlineStr">
        <is>
          <t>Доска обрезная, лиственных пород (береза, липа), длина 4-6,5 м, все ширины, толщина 19-22 мм, сорт II</t>
        </is>
      </c>
      <c r="E32" s="139" t="inlineStr">
        <is>
          <t>м3</t>
        </is>
      </c>
      <c r="F32" s="139" t="n">
        <v>0.08</v>
      </c>
      <c r="G32" s="73" t="n">
        <v>1784</v>
      </c>
      <c r="H32" s="73">
        <f>ROUND(F32*G32,2)</f>
        <v/>
      </c>
    </row>
    <row r="33" ht="47.25" customHeight="1" s="104">
      <c r="A33" s="139" t="n">
        <v>17</v>
      </c>
      <c r="B33" s="86" t="n"/>
      <c r="C33" s="140" t="inlineStr">
        <is>
          <t>10.2.02.07-0109</t>
        </is>
      </c>
      <c r="D33" s="140" t="inlineStr">
        <is>
          <t>Проволока латунная, круглая, твердая, нормальной точности, марка Л68, диаметр 0,50 мм</t>
        </is>
      </c>
      <c r="E33" s="139" t="inlineStr">
        <is>
          <t>т</t>
        </is>
      </c>
      <c r="F33" s="139" t="n">
        <v>0.002</v>
      </c>
      <c r="G33" s="73" t="n">
        <v>62000</v>
      </c>
      <c r="H33" s="73">
        <f>ROUND(F33*G33,2)</f>
        <v/>
      </c>
    </row>
    <row r="34">
      <c r="A34" s="139" t="n">
        <v>18</v>
      </c>
      <c r="B34" s="86" t="n"/>
      <c r="C34" s="140" t="inlineStr">
        <is>
          <t>01.7.11.07-0034</t>
        </is>
      </c>
      <c r="D34" s="140" t="inlineStr">
        <is>
          <t>Электроды сварочные Э42А, диаметр 4 мм</t>
        </is>
      </c>
      <c r="E34" s="139" t="inlineStr">
        <is>
          <t>кг</t>
        </is>
      </c>
      <c r="F34" s="139" t="n">
        <v>8</v>
      </c>
      <c r="G34" s="73" t="n">
        <v>10.57</v>
      </c>
      <c r="H34" s="73">
        <f>ROUND(F34*G34,2)</f>
        <v/>
      </c>
    </row>
    <row r="35">
      <c r="A35" s="139" t="n">
        <v>19</v>
      </c>
      <c r="B35" s="86" t="n"/>
      <c r="C35" s="140" t="inlineStr">
        <is>
          <t>14.4.02.09-0001</t>
        </is>
      </c>
      <c r="D35" s="140" t="inlineStr">
        <is>
          <t>Краска</t>
        </is>
      </c>
      <c r="E35" s="139" t="inlineStr">
        <is>
          <t>кг</t>
        </is>
      </c>
      <c r="F35" s="139" t="n">
        <v>1.44</v>
      </c>
      <c r="G35" s="73" t="n">
        <v>28.6</v>
      </c>
      <c r="H35" s="73">
        <f>ROUND(F35*G35,2)</f>
        <v/>
      </c>
    </row>
    <row r="36" ht="31.5" customHeight="1" s="104">
      <c r="A36" s="139" t="n">
        <v>20</v>
      </c>
      <c r="B36" s="86" t="n"/>
      <c r="C36" s="140" t="inlineStr">
        <is>
          <t>01.7.15.06-0121</t>
        </is>
      </c>
      <c r="D36" s="140" t="inlineStr">
        <is>
          <t>Гвозди строительные с плоской головкой, размер 1,6х50 мм</t>
        </is>
      </c>
      <c r="E36" s="139" t="inlineStr">
        <is>
          <t>т</t>
        </is>
      </c>
      <c r="F36" s="139" t="n">
        <v>0.0032</v>
      </c>
      <c r="G36" s="73" t="n">
        <v>8475</v>
      </c>
      <c r="H36" s="73">
        <f>ROUND(F36*G36,2)</f>
        <v/>
      </c>
    </row>
    <row r="37">
      <c r="A37" s="139" t="n">
        <v>21</v>
      </c>
      <c r="B37" s="86" t="n"/>
      <c r="C37" s="140" t="inlineStr">
        <is>
          <t>01.3.02.09-0022</t>
        </is>
      </c>
      <c r="D37" s="140" t="inlineStr">
        <is>
          <t>Пропан-бутан смесь техническая</t>
        </is>
      </c>
      <c r="E37" s="139" t="inlineStr">
        <is>
          <t>кг</t>
        </is>
      </c>
      <c r="F37" s="139" t="n">
        <v>4</v>
      </c>
      <c r="G37" s="73" t="n">
        <v>6.09</v>
      </c>
      <c r="H37" s="73">
        <f>ROUND(F37*G37,2)</f>
        <v/>
      </c>
      <c r="I37" s="93" t="n"/>
      <c r="J37" s="93" t="n"/>
    </row>
    <row r="38">
      <c r="A38" s="139" t="n">
        <v>22</v>
      </c>
      <c r="B38" s="86" t="n"/>
      <c r="C38" s="140" t="inlineStr">
        <is>
          <t>01.3.02.08-0001</t>
        </is>
      </c>
      <c r="D38" s="140" t="inlineStr">
        <is>
          <t>Кислород газообразный технический</t>
        </is>
      </c>
      <c r="E38" s="139" t="inlineStr">
        <is>
          <t>м3</t>
        </is>
      </c>
      <c r="F38" s="139" t="n">
        <v>2.8</v>
      </c>
      <c r="G38" s="73" t="n">
        <v>6.22</v>
      </c>
      <c r="H38" s="73">
        <f>ROUND(F38*G38,2)</f>
        <v/>
      </c>
      <c r="I38" s="93" t="n"/>
      <c r="J38" s="93" t="n"/>
    </row>
    <row r="39">
      <c r="A39" s="139" t="n">
        <v>23</v>
      </c>
      <c r="B39" s="86" t="n"/>
      <c r="C39" s="140" t="inlineStr">
        <is>
          <t>01.7.02.09-0002</t>
        </is>
      </c>
      <c r="D39" s="140" t="inlineStr">
        <is>
          <t>Шпагат бумажный</t>
        </is>
      </c>
      <c r="E39" s="139" t="inlineStr">
        <is>
          <t>кг</t>
        </is>
      </c>
      <c r="F39" s="139" t="n">
        <v>0.04</v>
      </c>
      <c r="G39" s="73" t="n">
        <v>11.5</v>
      </c>
      <c r="H39" s="73">
        <f>ROUND(F39*G39,2)</f>
        <v/>
      </c>
      <c r="I39" s="93" t="n"/>
      <c r="J39" s="93" t="n"/>
    </row>
    <row r="40">
      <c r="J40" s="81" t="n"/>
    </row>
    <row r="42">
      <c r="B42" s="106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6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163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141" t="inlineStr">
        <is>
          <t>Ресурсная модель</t>
        </is>
      </c>
    </row>
    <row r="6">
      <c r="B6" s="16" t="n"/>
      <c r="C6" s="98" t="n"/>
      <c r="D6" s="98" t="n"/>
      <c r="E6" s="98" t="n"/>
    </row>
    <row r="7" ht="45.75" customHeight="1" s="104">
      <c r="B7" s="142">
        <f>'Прил.1 Сравнит табл'!B7</f>
        <v/>
      </c>
    </row>
    <row r="8">
      <c r="B8" s="143">
        <f>'Прил.1 Сравнит табл'!B9</f>
        <v/>
      </c>
    </row>
    <row r="9">
      <c r="B9" s="16" t="n"/>
      <c r="C9" s="98" t="n"/>
      <c r="D9" s="98" t="n"/>
      <c r="E9" s="98" t="n"/>
    </row>
    <row r="10" ht="51" customHeight="1" s="104">
      <c r="B10" s="145" t="inlineStr">
        <is>
          <t>Наименование</t>
        </is>
      </c>
      <c r="C10" s="145" t="inlineStr">
        <is>
          <t>Сметная стоимость в ценах на 01.01.2023
 (руб.)</t>
        </is>
      </c>
      <c r="D10" s="145" t="inlineStr">
        <is>
          <t>Удельный вес, 
(в СМР)</t>
        </is>
      </c>
      <c r="E10" s="14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6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8" t="n"/>
      <c r="D42" s="98" t="n"/>
      <c r="E42" s="98" t="n"/>
    </row>
    <row r="43">
      <c r="B43" s="98" t="inlineStr">
        <is>
          <t>Составил ______________________        Е.А. Князева</t>
        </is>
      </c>
      <c r="C43" s="99" t="n"/>
      <c r="D43" s="98" t="n"/>
      <c r="E43" s="98" t="n"/>
    </row>
    <row r="44">
      <c r="B44" s="101" t="inlineStr">
        <is>
          <t xml:space="preserve">                         (подпись, инициалы, фамилия)</t>
        </is>
      </c>
      <c r="C44" s="99" t="n"/>
      <c r="D44" s="98" t="n"/>
      <c r="E44" s="98" t="n"/>
    </row>
    <row r="45">
      <c r="B45" s="98" t="n"/>
      <c r="C45" s="99" t="n"/>
      <c r="D45" s="98" t="n"/>
      <c r="E45" s="98" t="n"/>
    </row>
    <row r="46">
      <c r="B46" s="98" t="inlineStr">
        <is>
          <t>Проверил ______________________        А.В. Костянецкая</t>
        </is>
      </c>
      <c r="C46" s="99" t="n"/>
      <c r="D46" s="98" t="n"/>
      <c r="E46" s="98" t="n"/>
    </row>
    <row r="47">
      <c r="B47" s="101" t="inlineStr">
        <is>
          <t xml:space="preserve">                        (подпись, инициалы, фамилия)</t>
        </is>
      </c>
      <c r="C47" s="99" t="n"/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3" workbookViewId="0">
      <selection activeCell="G65" sqref="G65"/>
    </sheetView>
  </sheetViews>
  <sheetFormatPr baseColWidth="8" defaultColWidth="9.140625" defaultRowHeight="15" outlineLevelRow="1"/>
  <cols>
    <col width="5.7109375" customWidth="1" style="99" min="1" max="1"/>
    <col width="22.57031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0.7109375" customWidth="1" style="99" min="12" max="12"/>
    <col width="10.85546875" customWidth="1" style="99" min="13" max="13"/>
    <col width="9.140625" customWidth="1" style="99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8">
      <c r="A4" s="141" t="inlineStr">
        <is>
          <t>Расчет стоимости СМР и оборудования</t>
        </is>
      </c>
      <c r="I4" s="141" t="n"/>
      <c r="J4" s="141" t="n"/>
    </row>
    <row r="5" ht="12.75" customFormat="1" customHeight="1" s="98">
      <c r="A5" s="141" t="n"/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</row>
    <row r="6" ht="41.25" customFormat="1" customHeight="1" s="98">
      <c r="A6" s="76" t="inlineStr">
        <is>
          <t>Наименование разрабатываемого показателя УНЦ</t>
        </is>
      </c>
      <c r="B6" s="77" t="n"/>
      <c r="C6" s="77" t="n"/>
      <c r="D6" s="128" t="inlineStr">
        <is>
          <t xml:space="preserve">Выключатель 500 кВ без устройства фундаментов, номинальный ток 4000 А, номинальный ток отключения 63 кА  </t>
        </is>
      </c>
    </row>
    <row r="7" ht="12.75" customFormat="1" customHeight="1" s="98">
      <c r="A7" s="128">
        <f>'Прил.1 Сравнит табл'!B9</f>
        <v/>
      </c>
      <c r="I7" s="142" t="n"/>
      <c r="J7" s="142" t="n"/>
    </row>
    <row r="8" ht="12.75" customFormat="1" customHeight="1" s="98"/>
    <row r="9" ht="27" customHeight="1" s="104">
      <c r="A9" s="145" t="inlineStr">
        <is>
          <t>№ пп.</t>
        </is>
      </c>
      <c r="B9" s="145" t="inlineStr">
        <is>
          <t>Код ресурса</t>
        </is>
      </c>
      <c r="C9" s="145" t="inlineStr">
        <is>
          <t>Наименование</t>
        </is>
      </c>
      <c r="D9" s="145" t="inlineStr">
        <is>
          <t>Ед. изм.</t>
        </is>
      </c>
      <c r="E9" s="145" t="inlineStr">
        <is>
          <t>Кол-во единиц по проектным данным</t>
        </is>
      </c>
      <c r="F9" s="145" t="inlineStr">
        <is>
          <t>Сметная стоимость в ценах на 01.01.2000 (руб.)</t>
        </is>
      </c>
      <c r="G9" s="178" t="n"/>
      <c r="H9" s="145" t="inlineStr">
        <is>
          <t>Удельный вес, %</t>
        </is>
      </c>
      <c r="I9" s="145" t="inlineStr">
        <is>
          <t>Сметная стоимость в ценах на 01.01.2023 (руб.)</t>
        </is>
      </c>
      <c r="J9" s="178" t="n"/>
    </row>
    <row r="10" ht="28.5" customHeight="1" s="104">
      <c r="A10" s="180" t="n"/>
      <c r="B10" s="180" t="n"/>
      <c r="C10" s="180" t="n"/>
      <c r="D10" s="180" t="n"/>
      <c r="E10" s="180" t="n"/>
      <c r="F10" s="145" t="inlineStr">
        <is>
          <t>на ед. изм.</t>
        </is>
      </c>
      <c r="G10" s="145" t="inlineStr">
        <is>
          <t>общая</t>
        </is>
      </c>
      <c r="H10" s="180" t="n"/>
      <c r="I10" s="145" t="inlineStr">
        <is>
          <t>на ед. изм.</t>
        </is>
      </c>
      <c r="J10" s="145" t="inlineStr">
        <is>
          <t>общая</t>
        </is>
      </c>
    </row>
    <row r="11">
      <c r="A11" s="145" t="n">
        <v>1</v>
      </c>
      <c r="B11" s="145" t="n">
        <v>2</v>
      </c>
      <c r="C11" s="145" t="n">
        <v>3</v>
      </c>
      <c r="D11" s="145" t="n">
        <v>4</v>
      </c>
      <c r="E11" s="145" t="n">
        <v>5</v>
      </c>
      <c r="F11" s="145" t="n">
        <v>6</v>
      </c>
      <c r="G11" s="145" t="n">
        <v>7</v>
      </c>
      <c r="H11" s="145" t="n">
        <v>8</v>
      </c>
      <c r="I11" s="145" t="n">
        <v>9</v>
      </c>
      <c r="J11" s="145" t="n">
        <v>10</v>
      </c>
    </row>
    <row r="12">
      <c r="A12" s="145" t="n"/>
      <c r="B12" s="155" t="inlineStr">
        <is>
          <t>Затраты труда рабочих-строителей</t>
        </is>
      </c>
      <c r="C12" s="177" t="n"/>
      <c r="D12" s="177" t="n"/>
      <c r="E12" s="177" t="n"/>
      <c r="F12" s="177" t="n"/>
      <c r="G12" s="177" t="n"/>
      <c r="H12" s="178" t="n"/>
      <c r="I12" s="28" t="n"/>
      <c r="J12" s="28" t="n"/>
      <c r="L12" s="187" t="n"/>
    </row>
    <row r="13" ht="25.5" customHeight="1" s="104">
      <c r="A13" s="145" t="n">
        <v>1</v>
      </c>
      <c r="B13" s="32" t="inlineStr">
        <is>
          <t>1-4-0</t>
        </is>
      </c>
      <c r="C13" s="144" t="inlineStr">
        <is>
          <t>Затраты труда рабочих-строителей среднего разряда (4,0)</t>
        </is>
      </c>
      <c r="D13" s="145" t="inlineStr">
        <is>
          <t>чел.-ч.</t>
        </is>
      </c>
      <c r="E13" s="188">
        <f>G13/F13</f>
        <v/>
      </c>
      <c r="F13" s="14" t="n">
        <v>9.619999999999999</v>
      </c>
      <c r="G13" s="14">
        <f>Прил.3!H12</f>
        <v/>
      </c>
      <c r="H13" s="156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9">
      <c r="A14" s="145" t="n"/>
      <c r="B14" s="145" t="n"/>
      <c r="C14" s="155" t="inlineStr">
        <is>
          <t>Итого по разделу "Затраты труда рабочих-строителей"</t>
        </is>
      </c>
      <c r="D14" s="145" t="inlineStr">
        <is>
          <t>чел.-ч.</t>
        </is>
      </c>
      <c r="E14" s="188">
        <f>SUM(E13:E13)</f>
        <v/>
      </c>
      <c r="F14" s="14" t="n"/>
      <c r="G14" s="14">
        <f>SUM(G13:G13)</f>
        <v/>
      </c>
      <c r="H14" s="156" t="n">
        <v>1</v>
      </c>
      <c r="I14" s="14" t="n"/>
      <c r="J14" s="14">
        <f>SUM(J13:J13)</f>
        <v/>
      </c>
      <c r="L14" s="50" t="n"/>
    </row>
    <row r="15" ht="14.25" customFormat="1" customHeight="1" s="99">
      <c r="A15" s="145" t="n"/>
      <c r="B15" s="144" t="inlineStr">
        <is>
          <t>Затраты труда машинистов</t>
        </is>
      </c>
      <c r="C15" s="177" t="n"/>
      <c r="D15" s="177" t="n"/>
      <c r="E15" s="177" t="n"/>
      <c r="F15" s="177" t="n"/>
      <c r="G15" s="177" t="n"/>
      <c r="H15" s="178" t="n"/>
      <c r="I15" s="28" t="n"/>
      <c r="J15" s="28" t="n"/>
      <c r="L15" s="187" t="n"/>
    </row>
    <row r="16" ht="14.25" customFormat="1" customHeight="1" s="99">
      <c r="A16" s="145" t="n">
        <v>2</v>
      </c>
      <c r="B16" s="145" t="n">
        <v>2</v>
      </c>
      <c r="C16" s="144" t="inlineStr">
        <is>
          <t>Затраты труда машинистов</t>
        </is>
      </c>
      <c r="D16" s="145" t="inlineStr">
        <is>
          <t>чел.-ч.</t>
        </is>
      </c>
      <c r="E16" s="188">
        <f>Прил.3!F15</f>
        <v/>
      </c>
      <c r="F16" s="14">
        <f>G16/E16</f>
        <v/>
      </c>
      <c r="G16" s="14">
        <f>Прил.3!H15</f>
        <v/>
      </c>
      <c r="H16" s="156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9">
      <c r="A17" s="145" t="n"/>
      <c r="B17" s="155" t="inlineStr">
        <is>
          <t>Машины и механизмы</t>
        </is>
      </c>
      <c r="C17" s="177" t="n"/>
      <c r="D17" s="177" t="n"/>
      <c r="E17" s="177" t="n"/>
      <c r="F17" s="177" t="n"/>
      <c r="G17" s="177" t="n"/>
      <c r="H17" s="178" t="n"/>
      <c r="I17" s="156" t="n"/>
      <c r="J17" s="156" t="n"/>
    </row>
    <row r="18" ht="14.25" customFormat="1" customHeight="1" s="99">
      <c r="A18" s="145" t="n"/>
      <c r="B18" s="144" t="inlineStr">
        <is>
          <t>Основные машины и механизмы</t>
        </is>
      </c>
      <c r="C18" s="177" t="n"/>
      <c r="D18" s="177" t="n"/>
      <c r="E18" s="177" t="n"/>
      <c r="F18" s="177" t="n"/>
      <c r="G18" s="177" t="n"/>
      <c r="H18" s="178" t="n"/>
      <c r="I18" s="28" t="n"/>
      <c r="J18" s="28" t="n"/>
    </row>
    <row r="19" ht="25.5" customFormat="1" customHeight="1" s="99">
      <c r="A19" s="145" t="n">
        <v>3</v>
      </c>
      <c r="B19" s="32" t="inlineStr">
        <is>
          <t>91.05.05-015</t>
        </is>
      </c>
      <c r="C19" s="144" t="inlineStr">
        <is>
          <t>Краны на автомобильном ходу, грузоподъемность 16 т</t>
        </is>
      </c>
      <c r="D19" s="145" t="inlineStr">
        <is>
          <t>маш.час</t>
        </is>
      </c>
      <c r="E19" s="188" t="n">
        <v>1176.4</v>
      </c>
      <c r="F19" s="162" t="n">
        <v>115.4</v>
      </c>
      <c r="G19" s="14">
        <f>ROUND(E19*F19,2)</f>
        <v/>
      </c>
      <c r="H19" s="156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9">
      <c r="A20" s="145" t="n">
        <v>4</v>
      </c>
      <c r="B20" s="32" t="inlineStr">
        <is>
          <t>91.06.06-042</t>
        </is>
      </c>
      <c r="C20" s="144" t="inlineStr">
        <is>
          <t>Подъемники гидравлические, высота подъема 10 м</t>
        </is>
      </c>
      <c r="D20" s="145" t="inlineStr">
        <is>
          <t>маш.час</t>
        </is>
      </c>
      <c r="E20" s="188" t="n">
        <v>639.88</v>
      </c>
      <c r="F20" s="162" t="n">
        <v>29.6</v>
      </c>
      <c r="G20" s="14">
        <f>ROUND(E20*F20,2)</f>
        <v/>
      </c>
      <c r="H20" s="156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9">
      <c r="B21" s="145" t="n"/>
      <c r="C21" s="144" t="inlineStr">
        <is>
          <t>Итого основные машины и механизмы</t>
        </is>
      </c>
      <c r="D21" s="145" t="n"/>
      <c r="E21" s="189" t="n"/>
      <c r="F21" s="14" t="n"/>
      <c r="G21" s="14">
        <f>SUM(G19:G20)</f>
        <v/>
      </c>
      <c r="H21" s="156">
        <f>G21/G25</f>
        <v/>
      </c>
      <c r="I21" s="14" t="n"/>
      <c r="J21" s="14">
        <f>SUM(J19:J20)</f>
        <v/>
      </c>
      <c r="L21" s="187" t="n"/>
    </row>
    <row r="22" hidden="1" outlineLevel="1" ht="25.5" customFormat="1" customHeight="1" s="99">
      <c r="A22" s="145" t="n">
        <v>5</v>
      </c>
      <c r="B22" s="32" t="inlineStr">
        <is>
          <t>91.14.02-001</t>
        </is>
      </c>
      <c r="C22" s="144" t="inlineStr">
        <is>
          <t>Автомобили бортовые, грузоподъемность до 5 т</t>
        </is>
      </c>
      <c r="D22" s="145" t="inlineStr">
        <is>
          <t>маш.час</t>
        </is>
      </c>
      <c r="E22" s="188" t="n">
        <v>127.16</v>
      </c>
      <c r="F22" s="162" t="n">
        <v>65.70999999999999</v>
      </c>
      <c r="G22" s="14">
        <f>ROUND(E22*F22,2)</f>
        <v/>
      </c>
      <c r="H22" s="156">
        <f>G22/$G$25</f>
        <v/>
      </c>
      <c r="I22" s="14">
        <f>ROUND(F22*Прил.10!$D$11,2)</f>
        <v/>
      </c>
      <c r="J22" s="14">
        <f>ROUND(I22*E22,2)</f>
        <v/>
      </c>
      <c r="L22" s="187" t="n"/>
    </row>
    <row r="23" hidden="1" outlineLevel="1" ht="25.5" customFormat="1" customHeight="1" s="99">
      <c r="A23" s="145" t="n">
        <v>6</v>
      </c>
      <c r="B23" s="32" t="inlineStr">
        <is>
          <t>91.17.04-233</t>
        </is>
      </c>
      <c r="C23" s="144" t="inlineStr">
        <is>
          <t>Установки для сварки ручной дуговой (постоянного тока)</t>
        </is>
      </c>
      <c r="D23" s="145" t="inlineStr">
        <is>
          <t>маш.час</t>
        </is>
      </c>
      <c r="E23" s="188" t="n">
        <v>2.448</v>
      </c>
      <c r="F23" s="162" t="n">
        <v>8.1</v>
      </c>
      <c r="G23" s="14">
        <f>ROUND(E23*F23,2)</f>
        <v/>
      </c>
      <c r="H23" s="156">
        <f>G23/$G$25</f>
        <v/>
      </c>
      <c r="I23" s="14">
        <f>ROUND(F23*Прил.10!$D$11,2)</f>
        <v/>
      </c>
      <c r="J23" s="14">
        <f>ROUND(I23*E23,2)</f>
        <v/>
      </c>
      <c r="L23" s="187" t="n"/>
    </row>
    <row r="24" collapsed="1" ht="14.25" customFormat="1" customHeight="1" s="99">
      <c r="A24" s="145" t="n"/>
      <c r="B24" s="145" t="n"/>
      <c r="C24" s="144" t="inlineStr">
        <is>
          <t>Итого прочие машины и механизмы</t>
        </is>
      </c>
      <c r="D24" s="145" t="n"/>
      <c r="E24" s="146" t="n"/>
      <c r="F24" s="14" t="n"/>
      <c r="G24" s="14">
        <f>SUM(G22:G23)</f>
        <v/>
      </c>
      <c r="H24" s="156">
        <f>G24/G25</f>
        <v/>
      </c>
      <c r="I24" s="14" t="n"/>
      <c r="J24" s="14">
        <f>SUM(J22:J23)</f>
        <v/>
      </c>
      <c r="K24" s="190" t="n"/>
      <c r="L24" s="187" t="n"/>
    </row>
    <row r="25" ht="25.5" customFormat="1" customHeight="1" s="99">
      <c r="A25" s="145" t="n"/>
      <c r="B25" s="157" t="n"/>
      <c r="C25" s="149" t="inlineStr">
        <is>
          <t>Итого по разделу «Машины и механизмы»</t>
        </is>
      </c>
      <c r="D25" s="157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49" t="inlineStr">
        <is>
          <t xml:space="preserve">Оборудование </t>
        </is>
      </c>
      <c r="C26" s="191" t="n"/>
      <c r="D26" s="191" t="n"/>
      <c r="E26" s="191" t="n"/>
      <c r="F26" s="191" t="n"/>
      <c r="G26" s="191" t="n"/>
      <c r="H26" s="191" t="n"/>
      <c r="I26" s="191" t="n"/>
      <c r="J26" s="192" t="n"/>
    </row>
    <row r="27" ht="15" customHeight="1" s="104">
      <c r="A27" s="145" t="n"/>
      <c r="B27" s="144" t="inlineStr">
        <is>
          <t>Основное оборудование</t>
        </is>
      </c>
      <c r="C27" s="177" t="n"/>
      <c r="D27" s="177" t="n"/>
      <c r="E27" s="177" t="n"/>
      <c r="F27" s="177" t="n"/>
      <c r="G27" s="177" t="n"/>
      <c r="H27" s="177" t="n"/>
      <c r="I27" s="177" t="n"/>
      <c r="J27" s="178" t="n"/>
    </row>
    <row r="28" ht="25.5" customHeight="1" s="104">
      <c r="A28" s="145" t="n">
        <v>7</v>
      </c>
      <c r="B28" s="32" t="inlineStr">
        <is>
          <t>БЦ.1.451</t>
        </is>
      </c>
      <c r="C28" s="144" t="inlineStr">
        <is>
          <t>Выключатель колонковый 500 кВ 4000/63 кА</t>
        </is>
      </c>
      <c r="D28" s="145" t="inlineStr">
        <is>
          <t>компл</t>
        </is>
      </c>
      <c r="E28" s="193" t="n">
        <v>4</v>
      </c>
      <c r="F28" s="147">
        <f>ROUND(I28/Прил.10!$D$13,2)</f>
        <v/>
      </c>
      <c r="G28" s="14">
        <f>ROUND(E28*F28,2)</f>
        <v/>
      </c>
      <c r="H28" s="156">
        <f>G28/$G$31</f>
        <v/>
      </c>
      <c r="I28" s="14" t="n">
        <v>51945849.06</v>
      </c>
      <c r="J28" s="14">
        <f>ROUND(I28*E28,2)</f>
        <v/>
      </c>
    </row>
    <row r="29">
      <c r="A29" s="53" t="n"/>
      <c r="B29" s="145" t="n"/>
      <c r="C29" s="144" t="inlineStr">
        <is>
          <t>Итого основное оборудование</t>
        </is>
      </c>
      <c r="D29" s="145" t="n"/>
      <c r="E29" s="188" t="n"/>
      <c r="F29" s="147" t="n"/>
      <c r="G29" s="14">
        <f>SUM(G28:G28)</f>
        <v/>
      </c>
      <c r="H29" s="156">
        <f>G29/$G$31</f>
        <v/>
      </c>
      <c r="I29" s="14" t="n"/>
      <c r="J29" s="14">
        <f>SUM(J28:J28)</f>
        <v/>
      </c>
      <c r="K29" s="190" t="n"/>
    </row>
    <row r="30">
      <c r="A30" s="53" t="n"/>
      <c r="B30" s="145" t="n"/>
      <c r="C30" s="144" t="inlineStr">
        <is>
          <t>Итого прочее оборудование</t>
        </is>
      </c>
      <c r="D30" s="145" t="n"/>
      <c r="E30" s="146" t="n"/>
      <c r="F30" s="147" t="n"/>
      <c r="G30" s="14" t="n">
        <v>0</v>
      </c>
      <c r="H30" s="156">
        <f>G30/$G$31</f>
        <v/>
      </c>
      <c r="I30" s="14" t="n"/>
      <c r="J30" s="14" t="n">
        <v>0</v>
      </c>
      <c r="K30" s="190" t="n"/>
      <c r="L30" s="194" t="n"/>
    </row>
    <row r="31">
      <c r="A31" s="145" t="n"/>
      <c r="B31" s="145" t="n"/>
      <c r="C31" s="155" t="inlineStr">
        <is>
          <t>Итого по разделу «Оборудование»</t>
        </is>
      </c>
      <c r="D31" s="145" t="n"/>
      <c r="E31" s="146" t="n"/>
      <c r="F31" s="147" t="n"/>
      <c r="G31" s="14">
        <f>G29+G30</f>
        <v/>
      </c>
      <c r="H31" s="156">
        <f>(G29+G30)/G31</f>
        <v/>
      </c>
      <c r="I31" s="14" t="n"/>
      <c r="J31" s="14">
        <f>J30+J29</f>
        <v/>
      </c>
      <c r="K31" s="190" t="n"/>
    </row>
    <row r="32" ht="25.5" customHeight="1" s="104">
      <c r="A32" s="145" t="n"/>
      <c r="B32" s="145" t="n"/>
      <c r="C32" s="144" t="inlineStr">
        <is>
          <t>в том числе технологическое оборудование</t>
        </is>
      </c>
      <c r="D32" s="145" t="n"/>
      <c r="E32" s="146" t="n"/>
      <c r="F32" s="147" t="n"/>
      <c r="G32" s="14">
        <f>'Прил.6 Расчет ОБ'!G15</f>
        <v/>
      </c>
      <c r="H32" s="156">
        <f>G32/$G$31</f>
        <v/>
      </c>
      <c r="I32" s="14" t="n"/>
      <c r="J32" s="14">
        <f>ROUND(G32*Прил.10!$D$13,2)</f>
        <v/>
      </c>
      <c r="K32" s="190" t="n"/>
    </row>
    <row r="33" ht="14.25" customFormat="1" customHeight="1" s="99">
      <c r="A33" s="158" t="n"/>
      <c r="B33" s="195" t="inlineStr">
        <is>
          <t>Материалы</t>
        </is>
      </c>
      <c r="J33" s="196" t="n"/>
      <c r="K33" s="190" t="n"/>
    </row>
    <row r="34" ht="14.25" customFormat="1" customHeight="1" s="99">
      <c r="A34" s="145" t="n"/>
      <c r="B34" s="144" t="inlineStr">
        <is>
          <t>Основные материалы</t>
        </is>
      </c>
      <c r="C34" s="177" t="n"/>
      <c r="D34" s="177" t="n"/>
      <c r="E34" s="177" t="n"/>
      <c r="F34" s="177" t="n"/>
      <c r="G34" s="177" t="n"/>
      <c r="H34" s="178" t="n"/>
      <c r="I34" s="156" t="n"/>
      <c r="J34" s="156" t="n"/>
    </row>
    <row r="35" ht="25.5" customFormat="1" customHeight="1" s="99">
      <c r="A35" s="145" t="n">
        <v>8</v>
      </c>
      <c r="B35" s="32" t="inlineStr">
        <is>
          <t>01.3.01.07-0009</t>
        </is>
      </c>
      <c r="C35" s="144" t="inlineStr">
        <is>
          <t>Спирт этиловый ректификованный технический, сорт I</t>
        </is>
      </c>
      <c r="D35" s="145" t="inlineStr">
        <is>
          <t>кг</t>
        </is>
      </c>
      <c r="E35" s="188" t="n">
        <v>64</v>
      </c>
      <c r="F35" s="162" t="n">
        <v>38.89</v>
      </c>
      <c r="G35" s="14">
        <f>ROUND(E35*F35,2)</f>
        <v/>
      </c>
      <c r="H35" s="156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9">
      <c r="A36" s="145" t="n">
        <v>9</v>
      </c>
      <c r="B36" s="32" t="inlineStr">
        <is>
          <t>01.7.15.03-0042</t>
        </is>
      </c>
      <c r="C36" s="144" t="inlineStr">
        <is>
          <t>Болты с гайками и шайбами строительные</t>
        </is>
      </c>
      <c r="D36" s="145" t="inlineStr">
        <is>
          <t>кг</t>
        </is>
      </c>
      <c r="E36" s="188" t="n">
        <v>178</v>
      </c>
      <c r="F36" s="162" t="n">
        <v>9.039999999999999</v>
      </c>
      <c r="G36" s="14">
        <f>ROUND(E36*F36,2)</f>
        <v/>
      </c>
      <c r="H36" s="156">
        <f>G36/$G$53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9">
      <c r="A37" s="145" t="n">
        <v>10</v>
      </c>
      <c r="B37" s="32" t="inlineStr">
        <is>
          <t>01.7.20.08-0031</t>
        </is>
      </c>
      <c r="C37" s="144" t="inlineStr">
        <is>
          <t>Бязь суровая</t>
        </is>
      </c>
      <c r="D37" s="145" t="inlineStr">
        <is>
          <t>10 м2</t>
        </is>
      </c>
      <c r="E37" s="188" t="n">
        <v>19.52</v>
      </c>
      <c r="F37" s="162" t="n">
        <v>79.09999999999999</v>
      </c>
      <c r="G37" s="14">
        <f>ROUND(E37*F37,2)</f>
        <v/>
      </c>
      <c r="H37" s="156">
        <f>G37/$G$53</f>
        <v/>
      </c>
      <c r="I37" s="14">
        <f>ROUND(F37*Прил.10!$D$12,2)</f>
        <v/>
      </c>
      <c r="J37" s="14">
        <f>ROUND(I37*E37,2)</f>
        <v/>
      </c>
    </row>
    <row r="38" ht="25.5" customFormat="1" customHeight="1" s="99">
      <c r="A38" s="145" t="n">
        <v>11</v>
      </c>
      <c r="B38" s="32" t="inlineStr">
        <is>
          <t>999-9950</t>
        </is>
      </c>
      <c r="C38" s="144" t="inlineStr">
        <is>
          <t>Вспомогательные ненормируемые ресурсы (2% от Оплаты труда рабочих)</t>
        </is>
      </c>
      <c r="D38" s="145" t="inlineStr">
        <is>
          <t>руб</t>
        </is>
      </c>
      <c r="E38" s="188" t="n">
        <v>1235.96</v>
      </c>
      <c r="F38" s="162" t="n">
        <v>1</v>
      </c>
      <c r="G38" s="14">
        <f>ROUND(E38*F38,2)</f>
        <v/>
      </c>
      <c r="H38" s="156">
        <f>G38/$G$53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9">
      <c r="A39" s="145" t="n">
        <v>12</v>
      </c>
      <c r="B39" s="32" t="inlineStr">
        <is>
          <t>01.3.01.06-0050</t>
        </is>
      </c>
      <c r="C39" s="144" t="inlineStr">
        <is>
          <t>Смазка универсальная тугоплавкая УТ (консталин жировой)</t>
        </is>
      </c>
      <c r="D39" s="145" t="inlineStr">
        <is>
          <t>т</t>
        </is>
      </c>
      <c r="E39" s="188" t="n">
        <v>0.0152</v>
      </c>
      <c r="F39" s="162" t="n">
        <v>17500</v>
      </c>
      <c r="G39" s="14">
        <f>ROUND(E39*F39,2)</f>
        <v/>
      </c>
      <c r="H39" s="156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9">
      <c r="B40" s="145" t="n"/>
      <c r="C40" s="144" t="inlineStr">
        <is>
          <t>Итого основные материалы</t>
        </is>
      </c>
      <c r="D40" s="145" t="n"/>
      <c r="E40" s="188" t="n"/>
      <c r="F40" s="147" t="n"/>
      <c r="G40" s="14">
        <f>SUM(G35:G39)</f>
        <v/>
      </c>
      <c r="H40" s="156">
        <f>G40/$G$53</f>
        <v/>
      </c>
      <c r="I40" s="14" t="n"/>
      <c r="J40" s="14">
        <f>SUM(J35:J39)</f>
        <v/>
      </c>
      <c r="K40" s="190" t="n"/>
    </row>
    <row r="41" hidden="1" outlineLevel="1" ht="38.25" customFormat="1" customHeight="1" s="99">
      <c r="A41" s="145" t="n">
        <v>13</v>
      </c>
      <c r="B41" s="48" t="inlineStr">
        <is>
          <t>08.3.07.01-0076</t>
        </is>
      </c>
      <c r="C41" s="144" t="inlineStr">
        <is>
          <t>Прокат полосовой, горячекатаный, марка стали Ст3сп, ширина 50-200 мм, толщина 4-5 мм</t>
        </is>
      </c>
      <c r="D41" s="145" t="inlineStr">
        <is>
          <t>т</t>
        </is>
      </c>
      <c r="E41" s="188" t="n">
        <v>0.044</v>
      </c>
      <c r="F41" s="162" t="n">
        <v>5000</v>
      </c>
      <c r="G41" s="14">
        <f>ROUND(F41*E41,2)</f>
        <v/>
      </c>
      <c r="H41" s="156">
        <f>G41/$G$53</f>
        <v/>
      </c>
      <c r="I41" s="14">
        <f>ROUND(F41*Прил.10!$D$12,2)</f>
        <v/>
      </c>
      <c r="J41" s="14">
        <f>ROUND(I41*E41,2)</f>
        <v/>
      </c>
    </row>
    <row r="42" hidden="1" outlineLevel="1" ht="14.25" customFormat="1" customHeight="1" s="99">
      <c r="A42" s="145" t="n">
        <v>14</v>
      </c>
      <c r="B42" s="32" t="inlineStr">
        <is>
          <t>01.7.17.11-0001</t>
        </is>
      </c>
      <c r="C42" s="144" t="inlineStr">
        <is>
          <t>Бумага шлифовальная</t>
        </is>
      </c>
      <c r="D42" s="145" t="inlineStr">
        <is>
          <t>кг</t>
        </is>
      </c>
      <c r="E42" s="188" t="n">
        <v>4</v>
      </c>
      <c r="F42" s="162" t="n">
        <v>50</v>
      </c>
      <c r="G42" s="14">
        <f>ROUND(F42*E42,2)</f>
        <v/>
      </c>
      <c r="H42" s="156">
        <f>G42/$G$53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99">
      <c r="A43" s="145" t="n">
        <v>15</v>
      </c>
      <c r="B43" s="32" t="inlineStr">
        <is>
          <t>01.7.07.12-0022</t>
        </is>
      </c>
      <c r="C43" s="144" t="inlineStr">
        <is>
          <t>Пленка полиэтиленовая, толщина 0,2-0,5 мм</t>
        </is>
      </c>
      <c r="D43" s="145" t="inlineStr">
        <is>
          <t>м2</t>
        </is>
      </c>
      <c r="E43" s="188" t="n">
        <v>16.352</v>
      </c>
      <c r="F43" s="162" t="n">
        <v>12.19</v>
      </c>
      <c r="G43" s="14">
        <f>ROUND(F43*E43,2)</f>
        <v/>
      </c>
      <c r="H43" s="156">
        <f>G43/$G$53</f>
        <v/>
      </c>
      <c r="I43" s="14">
        <f>ROUND(F43*Прил.10!$D$12,2)</f>
        <v/>
      </c>
      <c r="J43" s="14">
        <f>ROUND(I43*E43,2)</f>
        <v/>
      </c>
    </row>
    <row r="44" hidden="1" outlineLevel="1" ht="38.25" customFormat="1" customHeight="1" s="99">
      <c r="A44" s="145" t="n">
        <v>16</v>
      </c>
      <c r="B44" s="32" t="inlineStr">
        <is>
          <t>11.1.03.06-0021</t>
        </is>
      </c>
      <c r="C44" s="144" t="inlineStr">
        <is>
          <t>Доска обрезная, лиственных пород (береза, липа), длина 4-6,5 м, все ширины, толщина 19-22 мм, сорт II</t>
        </is>
      </c>
      <c r="D44" s="145" t="inlineStr">
        <is>
          <t>м3</t>
        </is>
      </c>
      <c r="E44" s="188" t="n">
        <v>0.08</v>
      </c>
      <c r="F44" s="162" t="n">
        <v>1784</v>
      </c>
      <c r="G44" s="14">
        <f>ROUND(F44*E44,2)</f>
        <v/>
      </c>
      <c r="H44" s="156">
        <f>G44/$G$53</f>
        <v/>
      </c>
      <c r="I44" s="14">
        <f>ROUND(F44*Прил.10!$D$12,2)</f>
        <v/>
      </c>
      <c r="J44" s="14">
        <f>ROUND(I44*E44,2)</f>
        <v/>
      </c>
    </row>
    <row r="45" hidden="1" outlineLevel="1" ht="38.25" customFormat="1" customHeight="1" s="99">
      <c r="A45" s="145" t="n">
        <v>17</v>
      </c>
      <c r="B45" s="32" t="inlineStr">
        <is>
          <t>10.2.02.07-0109</t>
        </is>
      </c>
      <c r="C45" s="144" t="inlineStr">
        <is>
          <t>Проволока латунная, круглая, твердая, нормальной точности, марка Л68, диаметр 0,50 мм</t>
        </is>
      </c>
      <c r="D45" s="145" t="inlineStr">
        <is>
          <t>т</t>
        </is>
      </c>
      <c r="E45" s="188" t="n">
        <v>0.002</v>
      </c>
      <c r="F45" s="162" t="n">
        <v>62000</v>
      </c>
      <c r="G45" s="14">
        <f>ROUND(F45*E45,2)</f>
        <v/>
      </c>
      <c r="H45" s="156">
        <f>G45/$G$53</f>
        <v/>
      </c>
      <c r="I45" s="14">
        <f>ROUND(F45*Прил.10!$D$12,2)</f>
        <v/>
      </c>
      <c r="J45" s="14">
        <f>ROUND(I45*E45,2)</f>
        <v/>
      </c>
    </row>
    <row r="46" hidden="1" outlineLevel="1" ht="27" customFormat="1" customHeight="1" s="99">
      <c r="A46" s="145" t="n">
        <v>18</v>
      </c>
      <c r="B46" s="32" t="inlineStr">
        <is>
          <t>01.7.11.07-0034</t>
        </is>
      </c>
      <c r="C46" s="144" t="inlineStr">
        <is>
          <t>Электроды сварочные Э42А, диаметр 4 мм</t>
        </is>
      </c>
      <c r="D46" s="145" t="inlineStr">
        <is>
          <t>кг</t>
        </is>
      </c>
      <c r="E46" s="188" t="n">
        <v>8</v>
      </c>
      <c r="F46" s="162" t="n">
        <v>10.57</v>
      </c>
      <c r="G46" s="14">
        <f>ROUND(F46*E46,2)</f>
        <v/>
      </c>
      <c r="H46" s="156">
        <f>G46/$G$53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9">
      <c r="A47" s="145" t="n">
        <v>19</v>
      </c>
      <c r="B47" s="32" t="inlineStr">
        <is>
          <t>14.4.02.09-0001</t>
        </is>
      </c>
      <c r="C47" s="144" t="inlineStr">
        <is>
          <t>Краска</t>
        </is>
      </c>
      <c r="D47" s="145" t="inlineStr">
        <is>
          <t>кг</t>
        </is>
      </c>
      <c r="E47" s="188" t="n">
        <v>1.44</v>
      </c>
      <c r="F47" s="162" t="n">
        <v>28.6</v>
      </c>
      <c r="G47" s="14">
        <f>ROUND(F47*E47,2)</f>
        <v/>
      </c>
      <c r="H47" s="156">
        <f>G47/$G$53</f>
        <v/>
      </c>
      <c r="I47" s="14">
        <f>ROUND(F47*Прил.10!$D$12,2)</f>
        <v/>
      </c>
      <c r="J47" s="14">
        <f>ROUND(I47*E47,2)</f>
        <v/>
      </c>
    </row>
    <row r="48" hidden="1" outlineLevel="1" ht="25.5" customFormat="1" customHeight="1" s="99">
      <c r="A48" s="145" t="n">
        <v>20</v>
      </c>
      <c r="B48" s="32" t="inlineStr">
        <is>
          <t>01.7.15.06-0121</t>
        </is>
      </c>
      <c r="C48" s="144" t="inlineStr">
        <is>
          <t>Гвозди строительные с плоской головкой, размер 1,6х50 мм</t>
        </is>
      </c>
      <c r="D48" s="145" t="inlineStr">
        <is>
          <t>т</t>
        </is>
      </c>
      <c r="E48" s="188" t="n">
        <v>0.0032</v>
      </c>
      <c r="F48" s="162" t="n">
        <v>8475</v>
      </c>
      <c r="G48" s="14">
        <f>ROUND(F48*E48,2)</f>
        <v/>
      </c>
      <c r="H48" s="156">
        <f>G48/$G$53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99">
      <c r="A49" s="145" t="n">
        <v>21</v>
      </c>
      <c r="B49" s="32" t="inlineStr">
        <is>
          <t>01.3.02.09-0022</t>
        </is>
      </c>
      <c r="C49" s="144" t="inlineStr">
        <is>
          <t>Пропан-бутан смесь техническая</t>
        </is>
      </c>
      <c r="D49" s="145" t="inlineStr">
        <is>
          <t>кг</t>
        </is>
      </c>
      <c r="E49" s="188" t="n">
        <v>4</v>
      </c>
      <c r="F49" s="162" t="n">
        <v>6.09</v>
      </c>
      <c r="G49" s="14">
        <f>ROUND(F49*E49,2)</f>
        <v/>
      </c>
      <c r="H49" s="156">
        <f>G49/$G$53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9">
      <c r="A50" s="145" t="n">
        <v>22</v>
      </c>
      <c r="B50" s="32" t="inlineStr">
        <is>
          <t>01.3.02.08-0001</t>
        </is>
      </c>
      <c r="C50" s="144" t="inlineStr">
        <is>
          <t>Кислород газообразный технический</t>
        </is>
      </c>
      <c r="D50" s="145" t="inlineStr">
        <is>
          <t>м3</t>
        </is>
      </c>
      <c r="E50" s="188" t="n">
        <v>2.8</v>
      </c>
      <c r="F50" s="162" t="n">
        <v>6.22</v>
      </c>
      <c r="G50" s="14">
        <f>ROUND(F50*E50,2)</f>
        <v/>
      </c>
      <c r="H50" s="156">
        <f>G50/$G$53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99">
      <c r="A51" s="145" t="n">
        <v>23</v>
      </c>
      <c r="B51" s="32" t="inlineStr">
        <is>
          <t>01.7.02.09-0002</t>
        </is>
      </c>
      <c r="C51" s="144" t="inlineStr">
        <is>
          <t>Шпагат бумажный</t>
        </is>
      </c>
      <c r="D51" s="145" t="inlineStr">
        <is>
          <t>кг</t>
        </is>
      </c>
      <c r="E51" s="188" t="n">
        <v>0.04</v>
      </c>
      <c r="F51" s="162" t="n">
        <v>11.5</v>
      </c>
      <c r="G51" s="14">
        <f>ROUND(F51*E51,2)</f>
        <v/>
      </c>
      <c r="H51" s="156">
        <f>G51/$G$53</f>
        <v/>
      </c>
      <c r="I51" s="14">
        <f>ROUND(F51*Прил.10!$D$12,2)</f>
        <v/>
      </c>
      <c r="J51" s="14">
        <f>ROUND(I51*E51,2)</f>
        <v/>
      </c>
    </row>
    <row r="52" collapsed="1" customFormat="1" s="99">
      <c r="A52" s="145" t="n"/>
      <c r="B52" s="145" t="n"/>
      <c r="C52" s="144" t="inlineStr">
        <is>
          <t>Итого прочие материалы</t>
        </is>
      </c>
      <c r="D52" s="145" t="n"/>
      <c r="E52" s="146" t="n"/>
      <c r="F52" s="147" t="n"/>
      <c r="G52" s="14">
        <f>SUM(G41:G51)</f>
        <v/>
      </c>
      <c r="H52" s="156">
        <f>G52/G53</f>
        <v/>
      </c>
      <c r="I52" s="14" t="n"/>
      <c r="J52" s="14">
        <f>SUM(J41:J51)</f>
        <v/>
      </c>
      <c r="L52" s="194" t="n"/>
    </row>
    <row r="53" ht="14.25" customFormat="1" customHeight="1" s="99">
      <c r="A53" s="145" t="n"/>
      <c r="B53" s="145" t="n"/>
      <c r="C53" s="155" t="inlineStr">
        <is>
          <t>Итого по разделу «Материалы»</t>
        </is>
      </c>
      <c r="D53" s="145" t="n"/>
      <c r="E53" s="146" t="n"/>
      <c r="F53" s="147" t="n"/>
      <c r="G53" s="14">
        <f>G40+G52</f>
        <v/>
      </c>
      <c r="H53" s="156" t="n">
        <v>1</v>
      </c>
      <c r="I53" s="147" t="n"/>
      <c r="J53" s="14">
        <f>J40+J52</f>
        <v/>
      </c>
      <c r="K53" s="190" t="n"/>
    </row>
    <row r="54" ht="14.25" customFormat="1" customHeight="1" s="99">
      <c r="A54" s="145" t="n"/>
      <c r="B54" s="145" t="n"/>
      <c r="C54" s="144" t="inlineStr">
        <is>
          <t>ИТОГО ПО РМ</t>
        </is>
      </c>
      <c r="D54" s="145" t="n"/>
      <c r="E54" s="146" t="n"/>
      <c r="F54" s="147" t="n"/>
      <c r="G54" s="14">
        <f>G14+G25+G53</f>
        <v/>
      </c>
      <c r="H54" s="156" t="n"/>
      <c r="I54" s="147" t="n"/>
      <c r="J54" s="14">
        <f>J14+J25+J53</f>
        <v/>
      </c>
    </row>
    <row r="55" ht="14.25" customFormat="1" customHeight="1" s="99">
      <c r="A55" s="145" t="n"/>
      <c r="B55" s="145" t="n"/>
      <c r="C55" s="144" t="inlineStr">
        <is>
          <t>Накладные расходы</t>
        </is>
      </c>
      <c r="D55" s="145" t="inlineStr">
        <is>
          <t>%</t>
        </is>
      </c>
      <c r="E55" s="40">
        <f>ROUND(G55/(G14+G16),2)</f>
        <v/>
      </c>
      <c r="F55" s="147" t="n"/>
      <c r="G55" s="14" t="n">
        <v>124986.23</v>
      </c>
      <c r="H55" s="156" t="n"/>
      <c r="I55" s="147" t="n"/>
      <c r="J55" s="14">
        <f>ROUND(E55*(J14+J16),2)</f>
        <v/>
      </c>
      <c r="K55" s="41" t="n"/>
    </row>
    <row r="56" ht="14.25" customFormat="1" customHeight="1" s="99">
      <c r="A56" s="145" t="n"/>
      <c r="B56" s="145" t="n"/>
      <c r="C56" s="144" t="inlineStr">
        <is>
          <t>Сметная прибыль</t>
        </is>
      </c>
      <c r="D56" s="145" t="inlineStr">
        <is>
          <t>%</t>
        </is>
      </c>
      <c r="E56" s="40">
        <f>ROUND(G56/(G14+G16),2)</f>
        <v/>
      </c>
      <c r="F56" s="147" t="n"/>
      <c r="G56" s="14" t="n">
        <v>65714.41</v>
      </c>
      <c r="H56" s="156" t="n"/>
      <c r="I56" s="147" t="n"/>
      <c r="J56" s="14">
        <f>ROUND(E56*(J14+J16),2)</f>
        <v/>
      </c>
      <c r="K56" s="41" t="n"/>
    </row>
    <row r="57" ht="14.25" customFormat="1" customHeight="1" s="99">
      <c r="A57" s="145" t="n"/>
      <c r="B57" s="145" t="n"/>
      <c r="C57" s="144" t="inlineStr">
        <is>
          <t>Итого СМР (с НР и СП)</t>
        </is>
      </c>
      <c r="D57" s="145" t="n"/>
      <c r="E57" s="146" t="n"/>
      <c r="F57" s="147" t="n"/>
      <c r="G57" s="14">
        <f>G14+G25+G53+G55+G56</f>
        <v/>
      </c>
      <c r="H57" s="156" t="n"/>
      <c r="I57" s="147" t="n"/>
      <c r="J57" s="14">
        <f>J14+J25+J53+J55+J56</f>
        <v/>
      </c>
      <c r="L57" s="42" t="n"/>
    </row>
    <row r="58" ht="14.25" customFormat="1" customHeight="1" s="99">
      <c r="A58" s="145" t="n"/>
      <c r="B58" s="145" t="n"/>
      <c r="C58" s="144" t="inlineStr">
        <is>
          <t>ВСЕГО СМР + ОБОРУДОВАНИЕ</t>
        </is>
      </c>
      <c r="D58" s="145" t="n"/>
      <c r="E58" s="146" t="n"/>
      <c r="F58" s="147" t="n"/>
      <c r="G58" s="14">
        <f>G57+G31</f>
        <v/>
      </c>
      <c r="H58" s="156" t="n"/>
      <c r="I58" s="147" t="n"/>
      <c r="J58" s="14">
        <f>J57+J31</f>
        <v/>
      </c>
      <c r="L58" s="41" t="n"/>
    </row>
    <row r="59" ht="14.25" customFormat="1" customHeight="1" s="99">
      <c r="A59" s="145" t="n"/>
      <c r="B59" s="145" t="n"/>
      <c r="C59" s="144" t="inlineStr">
        <is>
          <t>ИТОГО ПОКАЗАТЕЛЬ НА ЕД. ИЗМ.</t>
        </is>
      </c>
      <c r="D59" s="145" t="inlineStr">
        <is>
          <t>ед.</t>
        </is>
      </c>
      <c r="E59" s="43">
        <f>'Прил.1 Сравнит табл'!D15</f>
        <v/>
      </c>
      <c r="F59" s="147" t="n"/>
      <c r="G59" s="14">
        <f>G58/E59</f>
        <v/>
      </c>
      <c r="H59" s="156" t="n"/>
      <c r="I59" s="147" t="n"/>
      <c r="J59" s="14">
        <f>J58/E59</f>
        <v/>
      </c>
      <c r="L59" s="187" t="n"/>
    </row>
    <row r="61" ht="14.25" customFormat="1" customHeight="1" s="99">
      <c r="A61" s="100" t="n"/>
    </row>
    <row r="62" ht="14.25" customFormat="1" customHeight="1" s="99">
      <c r="A62" s="98" t="inlineStr">
        <is>
          <t>Составил ______________________        Е.А. Князева</t>
        </is>
      </c>
    </row>
    <row r="63" ht="14.25" customFormat="1" customHeight="1" s="99">
      <c r="A63" s="101" t="inlineStr">
        <is>
          <t xml:space="preserve">                         (подпись, инициалы, фамилия)</t>
        </is>
      </c>
    </row>
    <row r="64" ht="14.25" customFormat="1" customHeight="1" s="99">
      <c r="A64" s="98" t="n"/>
    </row>
    <row r="65" ht="14.25" customFormat="1" customHeight="1" s="99">
      <c r="A65" s="98" t="inlineStr">
        <is>
          <t>Проверил ______________________        А.В. Костянецкая</t>
        </is>
      </c>
    </row>
    <row r="66" ht="14.25" customFormat="1" customHeight="1" s="99">
      <c r="A66" s="10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0" sqref="E20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3" t="inlineStr">
        <is>
          <t>Приложение №6</t>
        </is>
      </c>
    </row>
    <row r="2">
      <c r="A2" s="163" t="n"/>
      <c r="B2" s="163" t="n"/>
      <c r="C2" s="163" t="n"/>
      <c r="D2" s="163" t="n"/>
      <c r="E2" s="163" t="n"/>
      <c r="F2" s="163" t="n"/>
      <c r="G2" s="163" t="n"/>
    </row>
    <row r="3">
      <c r="A3" s="163" t="n"/>
      <c r="B3" s="163" t="n"/>
      <c r="C3" s="163" t="n"/>
      <c r="D3" s="163" t="n"/>
      <c r="E3" s="163" t="n"/>
      <c r="F3" s="163" t="n"/>
      <c r="G3" s="163" t="n"/>
    </row>
    <row r="4">
      <c r="A4" s="163" t="n"/>
      <c r="B4" s="163" t="n"/>
      <c r="C4" s="163" t="n"/>
      <c r="D4" s="163" t="n"/>
      <c r="E4" s="163" t="n"/>
      <c r="F4" s="163" t="n"/>
      <c r="G4" s="163" t="n"/>
    </row>
    <row r="5">
      <c r="A5" s="141" t="inlineStr">
        <is>
          <t>Расчет стоимости оборудования</t>
        </is>
      </c>
    </row>
    <row r="6" ht="64.5" customHeight="1" s="104">
      <c r="A6" s="165">
        <f>'Прил.1 Сравнит табл'!B7</f>
        <v/>
      </c>
    </row>
    <row r="7">
      <c r="A7" s="98" t="n"/>
      <c r="B7" s="98" t="n"/>
      <c r="C7" s="98" t="n"/>
      <c r="D7" s="98" t="n"/>
      <c r="E7" s="98" t="n"/>
      <c r="F7" s="98" t="n"/>
      <c r="G7" s="98" t="n"/>
    </row>
    <row r="8" ht="30" customHeight="1" s="104">
      <c r="A8" s="164" t="inlineStr">
        <is>
          <t>№ пп.</t>
        </is>
      </c>
      <c r="B8" s="164" t="inlineStr">
        <is>
          <t>Код ресурса</t>
        </is>
      </c>
      <c r="C8" s="164" t="inlineStr">
        <is>
          <t>Наименование</t>
        </is>
      </c>
      <c r="D8" s="164" t="inlineStr">
        <is>
          <t>Ед. изм.</t>
        </is>
      </c>
      <c r="E8" s="145" t="inlineStr">
        <is>
          <t>Кол-во единиц по проектным данным</t>
        </is>
      </c>
      <c r="F8" s="164" t="inlineStr">
        <is>
          <t>Сметная стоимость в ценах на 01.01.2000 (руб.)</t>
        </is>
      </c>
      <c r="G8" s="178" t="n"/>
    </row>
    <row r="9">
      <c r="A9" s="180" t="n"/>
      <c r="B9" s="180" t="n"/>
      <c r="C9" s="180" t="n"/>
      <c r="D9" s="180" t="n"/>
      <c r="E9" s="180" t="n"/>
      <c r="F9" s="145" t="inlineStr">
        <is>
          <t>на ед. изм.</t>
        </is>
      </c>
      <c r="G9" s="145" t="inlineStr">
        <is>
          <t>общая</t>
        </is>
      </c>
    </row>
    <row r="10">
      <c r="A10" s="145" t="n">
        <v>1</v>
      </c>
      <c r="B10" s="145" t="n">
        <v>2</v>
      </c>
      <c r="C10" s="145" t="n">
        <v>3</v>
      </c>
      <c r="D10" s="145" t="n">
        <v>4</v>
      </c>
      <c r="E10" s="145" t="n">
        <v>5</v>
      </c>
      <c r="F10" s="145" t="n">
        <v>6</v>
      </c>
      <c r="G10" s="145" t="n">
        <v>7</v>
      </c>
    </row>
    <row r="11" ht="15" customHeight="1" s="104">
      <c r="A11" s="7" t="n"/>
      <c r="B11" s="144" t="inlineStr">
        <is>
          <t>ИНЖЕНЕРНОЕ ОБОРУДОВАНИЕ</t>
        </is>
      </c>
      <c r="C11" s="177" t="n"/>
      <c r="D11" s="177" t="n"/>
      <c r="E11" s="177" t="n"/>
      <c r="F11" s="177" t="n"/>
      <c r="G11" s="178" t="n"/>
    </row>
    <row r="12" ht="27" customHeight="1" s="104">
      <c r="A12" s="145" t="n"/>
      <c r="B12" s="155" t="n"/>
      <c r="C12" s="144" t="inlineStr">
        <is>
          <t>ИТОГО ИНЖЕНЕРНОЕ ОБОРУДОВАНИЕ</t>
        </is>
      </c>
      <c r="D12" s="155" t="n"/>
      <c r="E12" s="8" t="n"/>
      <c r="F12" s="147" t="n"/>
      <c r="G12" s="147" t="n">
        <v>0</v>
      </c>
    </row>
    <row r="13">
      <c r="A13" s="145" t="n"/>
      <c r="B13" s="144" t="inlineStr">
        <is>
          <t>ТЕХНОЛОГИЧЕСКОЕ ОБОРУДОВАНИЕ</t>
        </is>
      </c>
      <c r="C13" s="177" t="n"/>
      <c r="D13" s="177" t="n"/>
      <c r="E13" s="177" t="n"/>
      <c r="F13" s="177" t="n"/>
      <c r="G13" s="178" t="n"/>
    </row>
    <row r="14" ht="25.5" customHeight="1" s="104">
      <c r="A14" s="145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5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7" t="n"/>
      <c r="G15" s="14">
        <f>SUM(G14:G14)</f>
        <v/>
      </c>
    </row>
    <row r="16" ht="19.5" customHeight="1" s="104">
      <c r="A16" s="145" t="n"/>
      <c r="B16" s="144" t="n"/>
      <c r="C16" s="144" t="inlineStr">
        <is>
          <t>Всего по разделу «Оборудование»</t>
        </is>
      </c>
      <c r="D16" s="144" t="n"/>
      <c r="E16" s="162" t="n"/>
      <c r="F16" s="147" t="n"/>
      <c r="G16" s="14">
        <f>G12+G15</f>
        <v/>
      </c>
    </row>
    <row r="17">
      <c r="A17" s="100" t="n"/>
      <c r="B17" s="11" t="n"/>
      <c r="C17" s="100" t="n"/>
      <c r="D17" s="100" t="n"/>
      <c r="E17" s="100" t="n"/>
      <c r="F17" s="100" t="n"/>
      <c r="G17" s="100" t="n"/>
    </row>
    <row r="18">
      <c r="A18" s="98" t="inlineStr">
        <is>
          <t>Составил ______________________        Е.А. Князева</t>
        </is>
      </c>
      <c r="B18" s="99" t="n"/>
      <c r="C18" s="99" t="n"/>
      <c r="D18" s="100" t="n"/>
      <c r="E18" s="100" t="n"/>
      <c r="F18" s="100" t="n"/>
      <c r="G18" s="100" t="n"/>
    </row>
    <row r="19">
      <c r="A19" s="101" t="inlineStr">
        <is>
          <t xml:space="preserve">                         (подпись, инициалы, фамилия)</t>
        </is>
      </c>
      <c r="B19" s="99" t="n"/>
      <c r="C19" s="99" t="n"/>
      <c r="D19" s="100" t="n"/>
      <c r="E19" s="100" t="n"/>
      <c r="F19" s="100" t="n"/>
      <c r="G19" s="100" t="n"/>
    </row>
    <row r="20">
      <c r="A20" s="98" t="n"/>
      <c r="B20" s="99" t="n"/>
      <c r="C20" s="99" t="n"/>
      <c r="D20" s="100" t="n"/>
      <c r="E20" s="100" t="n"/>
      <c r="F20" s="100" t="n"/>
      <c r="G20" s="100" t="n"/>
    </row>
    <row r="21">
      <c r="A21" s="98" t="inlineStr">
        <is>
          <t>Проверил ______________________        А.В. Костянецкая</t>
        </is>
      </c>
      <c r="B21" s="99" t="n"/>
      <c r="C21" s="99" t="n"/>
      <c r="D21" s="100" t="n"/>
      <c r="E21" s="100" t="n"/>
      <c r="F21" s="100" t="n"/>
      <c r="G21" s="100" t="n"/>
    </row>
    <row r="22">
      <c r="A22" s="101" t="inlineStr">
        <is>
          <t xml:space="preserve">                        (подпись, инициалы, фамилия)</t>
        </is>
      </c>
      <c r="B22" s="99" t="n"/>
      <c r="C22" s="99" t="n"/>
      <c r="D22" s="100" t="n"/>
      <c r="E22" s="100" t="n"/>
      <c r="F22" s="100" t="n"/>
      <c r="G22" s="10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3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2" t="inlineStr">
        <is>
          <t>Код показателя</t>
        </is>
      </c>
      <c r="B8" s="132" t="inlineStr">
        <is>
          <t>Наименование показателя</t>
        </is>
      </c>
      <c r="C8" s="132" t="inlineStr">
        <is>
          <t>Наименование РМ, входящих в состав показателя</t>
        </is>
      </c>
      <c r="D8" s="132" t="inlineStr">
        <is>
          <t>Норматив цены на 01.01.2023, тыс.руб.</t>
        </is>
      </c>
    </row>
    <row r="9">
      <c r="A9" s="180" t="n"/>
      <c r="B9" s="180" t="n"/>
      <c r="C9" s="180" t="n"/>
      <c r="D9" s="180" t="n"/>
    </row>
    <row r="10" ht="15.75" customHeight="1" s="104">
      <c r="A10" s="132" t="n">
        <v>1</v>
      </c>
      <c r="B10" s="132" t="n">
        <v>2</v>
      </c>
      <c r="C10" s="132" t="n">
        <v>3</v>
      </c>
      <c r="D10" s="132" t="n">
        <v>4</v>
      </c>
    </row>
    <row r="11" ht="63" customHeight="1" s="104">
      <c r="A11" s="132" t="inlineStr">
        <is>
          <t>И6-07-3</t>
        </is>
      </c>
      <c r="B11" s="132" t="inlineStr">
        <is>
          <t xml:space="preserve">УНЦ выключателя 110 - 750 кВ без устройства фундаментов </t>
        </is>
      </c>
      <c r="C11" s="96">
        <f>D5</f>
        <v/>
      </c>
      <c r="D11" s="112">
        <f>'Прил.4 РМ'!C41/1000</f>
        <v/>
      </c>
    </row>
    <row r="13">
      <c r="A13" s="98" t="inlineStr">
        <is>
          <t>Составил ______________________        Е.А. Князева</t>
        </is>
      </c>
      <c r="B13" s="99" t="n"/>
      <c r="C13" s="99" t="n"/>
      <c r="D13" s="100" t="n"/>
    </row>
    <row r="14">
      <c r="A14" s="101" t="inlineStr">
        <is>
          <t xml:space="preserve">                         (подпись, инициалы, фамилия)</t>
        </is>
      </c>
      <c r="B14" s="99" t="n"/>
      <c r="C14" s="99" t="n"/>
      <c r="D14" s="100" t="n"/>
    </row>
    <row r="15">
      <c r="A15" s="98" t="n"/>
      <c r="B15" s="99" t="n"/>
      <c r="C15" s="99" t="n"/>
      <c r="D15" s="100" t="n"/>
    </row>
    <row r="16">
      <c r="A16" s="98" t="inlineStr">
        <is>
          <t>Проверил ______________________        А.В. Костянецкая</t>
        </is>
      </c>
      <c r="B16" s="99" t="n"/>
      <c r="C16" s="99" t="n"/>
      <c r="D16" s="100" t="n"/>
    </row>
    <row r="17" ht="20.25" customHeight="1" s="104">
      <c r="A17" s="101" t="inlineStr">
        <is>
          <t xml:space="preserve">                        (подпись, инициалы, фамилия)</t>
        </is>
      </c>
      <c r="B17" s="99" t="n"/>
      <c r="C17" s="99" t="n"/>
      <c r="D17" s="1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6" sqref="D26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26" t="inlineStr">
        <is>
          <t>Приложение № 10</t>
        </is>
      </c>
    </row>
    <row r="5" ht="18.75" customHeight="1" s="104">
      <c r="B5" s="20" t="n"/>
    </row>
    <row r="6" ht="15.75" customHeight="1" s="104">
      <c r="B6" s="127" t="inlineStr">
        <is>
          <t>Используемые индексы изменений сметной стоимости и нормы сопутствующих затрат</t>
        </is>
      </c>
    </row>
    <row r="7">
      <c r="B7" s="167" t="n"/>
    </row>
    <row r="8" ht="47.25" customHeight="1" s="104">
      <c r="B8" s="132" t="inlineStr">
        <is>
          <t>Наименование индекса / норм сопутствующих затрат</t>
        </is>
      </c>
      <c r="C8" s="132" t="inlineStr">
        <is>
          <t>Дата применения и обоснование индекса / норм сопутствующих затрат</t>
        </is>
      </c>
      <c r="D8" s="132" t="inlineStr">
        <is>
          <t>Размер индекса / норма сопутствующих затрат</t>
        </is>
      </c>
    </row>
    <row r="9" ht="15.75" customHeight="1" s="104">
      <c r="B9" s="132" t="n">
        <v>1</v>
      </c>
      <c r="C9" s="132" t="n">
        <v>2</v>
      </c>
      <c r="D9" s="132" t="n">
        <v>3</v>
      </c>
    </row>
    <row r="10" ht="31.5" customHeight="1" s="104">
      <c r="B10" s="132" t="inlineStr">
        <is>
          <t xml:space="preserve">Индекс изменения сметной стоимости на 1 квартал 2023 года. ОЗП </t>
        </is>
      </c>
      <c r="C10" s="132" t="inlineStr">
        <is>
          <t>Письмо Минстроя России от 30.03.2023г. №17106-ИФ/09  прил.1</t>
        </is>
      </c>
      <c r="D10" s="132" t="n">
        <v>44.29</v>
      </c>
    </row>
    <row r="11" ht="31.5" customHeight="1" s="104">
      <c r="B11" s="132" t="inlineStr">
        <is>
          <t>Индекс изменения сметной стоимости на 1 квартал 2023 года. ЭМ</t>
        </is>
      </c>
      <c r="C11" s="132" t="inlineStr">
        <is>
          <t>Письмо Минстроя России от 30.03.2023г. №17106-ИФ/09  прил.1</t>
        </is>
      </c>
      <c r="D11" s="132" t="n">
        <v>13.47</v>
      </c>
    </row>
    <row r="12" ht="31.5" customHeight="1" s="104">
      <c r="B12" s="132" t="inlineStr">
        <is>
          <t>Индекс изменения сметной стоимости на 1 квартал 2023 года. МАТ</t>
        </is>
      </c>
      <c r="C12" s="132" t="inlineStr">
        <is>
          <t>Письмо Минстроя России от 30.03.2023г. №17106-ИФ/09  прил.1</t>
        </is>
      </c>
      <c r="D12" s="132" t="n">
        <v>8.039999999999999</v>
      </c>
    </row>
    <row r="13" ht="31.5" customHeight="1" s="104">
      <c r="B13" s="132" t="inlineStr">
        <is>
          <t>Индекс изменения сметной стоимости на 1 квартал 2023 года. ОБ</t>
        </is>
      </c>
      <c r="C13" s="132" t="inlineStr">
        <is>
          <t>Письмо Минстроя России от 23.02.2023г. №9791-ИФ/09 прил.6</t>
        </is>
      </c>
      <c r="D13" s="132" t="n">
        <v>6.26</v>
      </c>
    </row>
    <row r="14" ht="78.75" customHeight="1" s="104">
      <c r="B14" s="132" t="inlineStr">
        <is>
          <t>Временные здания и сооружения</t>
        </is>
      </c>
      <c r="C14" s="132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2" t="inlineStr">
        <is>
          <t>Дополнительные затраты при производстве строительно-монтажных работ в зимнее время</t>
        </is>
      </c>
      <c r="C15" s="1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2" t="inlineStr">
        <is>
          <t>Пусконаладочные работы</t>
        </is>
      </c>
      <c r="C16" s="132" t="n"/>
      <c r="D16" s="132" t="inlineStr">
        <is>
          <t>расчет</t>
        </is>
      </c>
    </row>
    <row r="17" ht="31.5" customHeight="1" s="104">
      <c r="B17" s="132" t="inlineStr">
        <is>
          <t>Строительный контроль</t>
        </is>
      </c>
      <c r="C17" s="132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2" t="inlineStr">
        <is>
          <t>Авторский надзор</t>
        </is>
      </c>
      <c r="C18" s="132" t="inlineStr">
        <is>
          <t>Приказ от 4.08.2020 № 421/пр п.173</t>
        </is>
      </c>
      <c r="D18" s="103" t="n">
        <v>0.002</v>
      </c>
    </row>
    <row r="19" ht="24" customHeight="1" s="104">
      <c r="B19" s="132" t="inlineStr">
        <is>
          <t>Непредвиденные расходы</t>
        </is>
      </c>
      <c r="C19" s="132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8" t="inlineStr">
        <is>
          <t>Составил ______________________        Е.А. Князева</t>
        </is>
      </c>
      <c r="C26" s="99" t="n"/>
    </row>
    <row r="27">
      <c r="B27" s="101" t="inlineStr">
        <is>
          <t xml:space="preserve">                         (подпись, инициалы, фамилия)</t>
        </is>
      </c>
      <c r="C27" s="99" t="n"/>
    </row>
    <row r="28">
      <c r="B28" s="98" t="n"/>
      <c r="C28" s="99" t="n"/>
    </row>
    <row r="29">
      <c r="B29" s="98" t="inlineStr">
        <is>
          <t>Проверил ______________________        А.В. Костянецкая</t>
        </is>
      </c>
      <c r="C29" s="99" t="n"/>
    </row>
    <row r="30">
      <c r="B30" s="101" t="inlineStr">
        <is>
          <t xml:space="preserve">                        (подпись, инициалы, фамилия)</t>
        </is>
      </c>
      <c r="C30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8" sqref="F18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27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2" t="inlineStr">
        <is>
          <t>С1ср</t>
        </is>
      </c>
      <c r="D7" s="132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2" t="inlineStr">
        <is>
          <t>tср</t>
        </is>
      </c>
      <c r="D8" s="132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2" t="inlineStr">
        <is>
          <t>Кув</t>
        </is>
      </c>
      <c r="D9" s="132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2" t="n"/>
      <c r="D10" s="132" t="n"/>
      <c r="E10" s="197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2" t="inlineStr">
        <is>
          <t>КТ</t>
        </is>
      </c>
      <c r="D11" s="132" t="inlineStr">
        <is>
          <t>-</t>
        </is>
      </c>
      <c r="E11" s="198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68" t="inlineStr">
        <is>
          <t>Коэффициент инфляции, определяемый поквартально</t>
        </is>
      </c>
      <c r="C12" s="133" t="inlineStr">
        <is>
          <t>Кинф</t>
        </is>
      </c>
      <c r="D12" s="133" t="inlineStr">
        <is>
          <t>-</t>
        </is>
      </c>
      <c r="E12" s="199" t="n">
        <v>1.139</v>
      </c>
      <c r="F12" s="17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71" t="inlineStr">
        <is>
          <t>1.7</t>
        </is>
      </c>
      <c r="B13" s="172" t="inlineStr">
        <is>
          <t>Размер средств на оплату труда рабочих-строителей в текущем уровне цен (ФОТр.тек.), руб/чел.-ч</t>
        </is>
      </c>
      <c r="C13" s="173" t="inlineStr">
        <is>
          <t>ФОТр.тек.</t>
        </is>
      </c>
      <c r="D13" s="173" t="inlineStr">
        <is>
          <t>(С1ср/tср*КТ*Т*Кув)*Кинф</t>
        </is>
      </c>
      <c r="E13" s="174">
        <f>((E7*E9/E8)*E11)*E12</f>
        <v/>
      </c>
      <c r="F13" s="17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2025-01-24T12:02:35Z</dcterms:modified>
  <cp:lastModifiedBy>Николай Трофименко</cp:lastModifiedBy>
  <cp:lastPrinted>2023-11-27T07:12:52Z</cp:lastPrinted>
</cp:coreProperties>
</file>