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'Прил.3'!$11:$13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#,##0.00000"/>
    <numFmt numFmtId="166" formatCode="0.0000"/>
    <numFmt numFmtId="167" formatCode="#,##0.000"/>
    <numFmt numFmtId="168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top"/>
    </xf>
    <xf numFmtId="0" fontId="9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10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1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12" fillId="0" borderId="2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4" fillId="0" borderId="5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2" pivotButton="0" quotePrefix="0" xfId="0"/>
    <xf numFmtId="0" fontId="14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6" fontId="11" fillId="0" borderId="0" pivotButton="0" quotePrefix="0" xfId="0"/>
    <xf numFmtId="0" fontId="3" fillId="0" borderId="15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G34"/>
  <sheetViews>
    <sheetView tabSelected="1" view="pageBreakPreview" topLeftCell="A10" zoomScale="60" zoomScaleNormal="85" workbookViewId="0">
      <selection activeCell="F17" sqref="F17"/>
    </sheetView>
  </sheetViews>
  <sheetFormatPr baseColWidth="8" defaultRowHeight="15.75"/>
  <cols>
    <col width="9.140625" customWidth="1" style="102" min="1" max="2"/>
    <col width="36.85546875" customWidth="1" style="102" min="3" max="3"/>
    <col width="42.5703125" customWidth="1" style="102" min="4" max="4"/>
    <col width="12.28515625" customWidth="1" style="100" min="5" max="5"/>
    <col width="15" customWidth="1" style="100" min="6" max="6"/>
  </cols>
  <sheetData>
    <row r="1">
      <c r="E1" s="102" t="n"/>
      <c r="F1" s="102" t="n"/>
      <c r="G1" s="102" t="n"/>
    </row>
    <row r="2">
      <c r="E2" s="102" t="n"/>
      <c r="F2" s="102" t="n"/>
      <c r="G2" s="102" t="n"/>
    </row>
    <row r="3">
      <c r="B3" s="121" t="inlineStr">
        <is>
          <t>Приложение № 1</t>
        </is>
      </c>
      <c r="E3" s="102" t="n"/>
      <c r="F3" s="102" t="n"/>
      <c r="G3" s="102" t="n"/>
    </row>
    <row r="4">
      <c r="B4" s="122" t="inlineStr">
        <is>
          <t>Сравнительная таблица отбора объекта-представителя</t>
        </is>
      </c>
      <c r="E4" s="102" t="n"/>
      <c r="F4" s="102" t="n"/>
      <c r="G4" s="102" t="n"/>
    </row>
    <row r="5" ht="85.5" customHeight="1" s="100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02" t="n"/>
      <c r="F5" s="102" t="n"/>
      <c r="G5" s="102" t="n"/>
    </row>
    <row r="6">
      <c r="B6" s="56" t="n"/>
      <c r="C6" s="56" t="n"/>
      <c r="D6" s="56" t="n"/>
      <c r="E6" s="102" t="n"/>
      <c r="F6" s="102" t="n"/>
      <c r="G6" s="102" t="n"/>
    </row>
    <row r="7" ht="31.5" customHeight="1" s="100">
      <c r="B7" s="120">
        <f>_xlfn.CONCAT(TEXT('Прил.5 Расчет СМР и ОБ'!A6,0)," - ",TEXT('Прил.5 Расчет СМР и ОБ'!D6,0))</f>
        <v/>
      </c>
      <c r="E7" s="102" t="n"/>
      <c r="F7" s="102" t="n"/>
      <c r="G7" s="102" t="n"/>
    </row>
    <row r="8" ht="15.75" customHeight="1" s="100">
      <c r="B8" s="55" t="inlineStr">
        <is>
          <t xml:space="preserve">Сопоставимый уровень цен: </t>
        </is>
      </c>
      <c r="C8" s="55" t="n"/>
      <c r="D8" s="55" t="inlineStr">
        <is>
          <t xml:space="preserve">3 квартал 2013 г </t>
        </is>
      </c>
      <c r="E8" s="102" t="n"/>
      <c r="F8" s="102" t="n"/>
      <c r="G8" s="102" t="n"/>
    </row>
    <row r="9" ht="15.75" customHeight="1" s="100">
      <c r="B9" s="120" t="inlineStr">
        <is>
          <t>Единица измерения  — 1 ед</t>
        </is>
      </c>
      <c r="E9" s="102" t="n"/>
      <c r="F9" s="102" t="n"/>
      <c r="G9" s="102" t="n"/>
    </row>
    <row r="10">
      <c r="B10" s="120" t="n"/>
      <c r="E10" s="102" t="n"/>
      <c r="F10" s="102" t="n"/>
      <c r="G10" s="102" t="n"/>
    </row>
    <row r="11">
      <c r="B11" s="127" t="inlineStr">
        <is>
          <t>№ п/п</t>
        </is>
      </c>
      <c r="C11" s="127" t="inlineStr">
        <is>
          <t>Параметр</t>
        </is>
      </c>
      <c r="D11" s="127" t="inlineStr">
        <is>
          <t>Объект-представитель 1</t>
        </is>
      </c>
      <c r="E11" s="102" t="n"/>
      <c r="F11" s="102" t="n"/>
      <c r="G11" s="102" t="n"/>
    </row>
    <row r="12" ht="31.5" customHeight="1" s="100">
      <c r="B12" s="127" t="n">
        <v>1</v>
      </c>
      <c r="C12" s="57" t="inlineStr">
        <is>
          <t>Наименование объекта-представителя</t>
        </is>
      </c>
      <c r="D12" s="127" t="inlineStr">
        <is>
          <t xml:space="preserve"> ПС 750 кВ Грибово</t>
        </is>
      </c>
      <c r="E12" s="102" t="n"/>
      <c r="F12" s="102" t="n"/>
      <c r="G12" s="102" t="n"/>
    </row>
    <row r="13" ht="31.5" customHeight="1" s="100">
      <c r="B13" s="127" t="n">
        <v>2</v>
      </c>
      <c r="C13" s="57" t="inlineStr">
        <is>
          <t>Наименование субъекта Российской Федерации</t>
        </is>
      </c>
      <c r="D13" s="127" t="inlineStr">
        <is>
          <t>Московская обл</t>
        </is>
      </c>
      <c r="E13" s="102" t="n"/>
      <c r="F13" s="102" t="n"/>
      <c r="G13" s="102" t="n"/>
    </row>
    <row r="14">
      <c r="B14" s="127" t="n">
        <v>3</v>
      </c>
      <c r="C14" s="57" t="inlineStr">
        <is>
          <t>Климатический район и подрайон</t>
        </is>
      </c>
      <c r="D14" s="127" t="inlineStr">
        <is>
          <t>IIВ</t>
        </is>
      </c>
      <c r="E14" s="102" t="n"/>
      <c r="F14" s="102" t="n"/>
      <c r="G14" s="102" t="n"/>
    </row>
    <row r="15">
      <c r="B15" s="127" t="n">
        <v>4</v>
      </c>
      <c r="C15" s="57" t="inlineStr">
        <is>
          <t>Мощность объекта</t>
        </is>
      </c>
      <c r="D15" s="127" t="n">
        <v>4</v>
      </c>
      <c r="E15" s="102" t="n"/>
      <c r="F15" s="102" t="n"/>
      <c r="G15" s="102" t="n"/>
    </row>
    <row r="16" ht="100.5" customHeight="1" s="100">
      <c r="B16" s="127" t="n">
        <v>5</v>
      </c>
      <c r="C16" s="5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7" t="inlineStr">
        <is>
          <t>Выключатель колонковый однополюсный
40кА/3150А</t>
        </is>
      </c>
      <c r="E16" s="102" t="n"/>
      <c r="F16" s="102" t="n"/>
      <c r="G16" s="102" t="n"/>
    </row>
    <row r="17" ht="82.5" customHeight="1" s="100">
      <c r="B17" s="127" t="n">
        <v>6</v>
      </c>
      <c r="C17" s="5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1">
        <f>D18+D19</f>
        <v/>
      </c>
      <c r="E17" s="102" t="n"/>
      <c r="F17" s="102" t="n"/>
      <c r="G17" s="102" t="n"/>
    </row>
    <row r="18">
      <c r="B18" s="59" t="inlineStr">
        <is>
          <t>6.1</t>
        </is>
      </c>
      <c r="C18" s="57" t="inlineStr">
        <is>
          <t>строительно-монтажные работы</t>
        </is>
      </c>
      <c r="D18" s="171">
        <f>'Прил.2 Расч стоим'!F12</f>
        <v/>
      </c>
      <c r="E18" s="102" t="n"/>
      <c r="F18" s="102" t="n"/>
      <c r="G18" s="102" t="n"/>
    </row>
    <row r="19">
      <c r="B19" s="59" t="inlineStr">
        <is>
          <t>6.2</t>
        </is>
      </c>
      <c r="C19" s="57" t="inlineStr">
        <is>
          <t>оборудование и инвентарь</t>
        </is>
      </c>
      <c r="D19" s="171">
        <f>'Прил.2 Расч стоим'!H12</f>
        <v/>
      </c>
      <c r="E19" s="102" t="n"/>
      <c r="F19" s="102" t="n"/>
      <c r="G19" s="102" t="n"/>
    </row>
    <row r="20">
      <c r="B20" s="59" t="inlineStr">
        <is>
          <t>6.3</t>
        </is>
      </c>
      <c r="C20" s="57" t="inlineStr">
        <is>
          <t>пусконаладочные работы</t>
        </is>
      </c>
      <c r="D20" s="171" t="n"/>
      <c r="E20" s="102" t="n"/>
      <c r="F20" s="102" t="n"/>
      <c r="G20" s="102" t="n"/>
    </row>
    <row r="21">
      <c r="B21" s="59" t="inlineStr">
        <is>
          <t>6.4</t>
        </is>
      </c>
      <c r="C21" s="60" t="inlineStr">
        <is>
          <t>прочие и лимитированные затраты</t>
        </is>
      </c>
      <c r="D21" s="171" t="n"/>
      <c r="E21" s="102" t="n"/>
      <c r="F21" s="102" t="n"/>
      <c r="G21" s="102" t="n"/>
    </row>
    <row r="22">
      <c r="B22" s="127" t="n">
        <v>7</v>
      </c>
      <c r="C22" s="60" t="inlineStr">
        <is>
          <t>Сопоставимый уровень цен</t>
        </is>
      </c>
      <c r="D22" s="127" t="inlineStr">
        <is>
          <t xml:space="preserve">3 квартал 2013 г </t>
        </is>
      </c>
      <c r="E22" s="102" t="n"/>
      <c r="F22" s="102" t="n"/>
      <c r="G22" s="102" t="n"/>
    </row>
    <row r="23" ht="119.25" customHeight="1" s="100">
      <c r="B23" s="127" t="n">
        <v>8</v>
      </c>
      <c r="C23" s="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1">
        <f>D17</f>
        <v/>
      </c>
      <c r="E23" s="102" t="n"/>
      <c r="F23" s="102" t="n"/>
      <c r="G23" s="102" t="n"/>
    </row>
    <row r="24" ht="47.25" customHeight="1" s="100">
      <c r="B24" s="127" t="n">
        <v>9</v>
      </c>
      <c r="C24" s="58" t="inlineStr">
        <is>
          <t>Приведенная сметная стоимость на единицу мощности, тыс. руб. (строка 8/строку 4)</t>
        </is>
      </c>
      <c r="D24" s="171">
        <f>D17/D15</f>
        <v/>
      </c>
      <c r="E24" s="102" t="n"/>
      <c r="F24" s="102" t="n"/>
      <c r="G24" s="102" t="n"/>
    </row>
    <row r="25">
      <c r="B25" s="127" t="n">
        <v>10</v>
      </c>
      <c r="C25" s="57" t="inlineStr">
        <is>
          <t>Примечание</t>
        </is>
      </c>
      <c r="D25" s="57" t="n"/>
      <c r="E25" s="102" t="n"/>
      <c r="F25" s="102" t="n"/>
      <c r="G25" s="102" t="n"/>
    </row>
    <row r="26">
      <c r="B26" s="123" t="n"/>
      <c r="C26" s="63" t="n"/>
      <c r="D26" s="63" t="n"/>
      <c r="E26" s="102" t="n"/>
      <c r="F26" s="102" t="n"/>
      <c r="G26" s="102" t="n"/>
    </row>
    <row r="27">
      <c r="B27" s="55" t="n"/>
      <c r="E27" s="102" t="n"/>
      <c r="F27" s="102" t="n"/>
      <c r="G27" s="102" t="n"/>
    </row>
    <row r="28">
      <c r="B28" s="102" t="inlineStr">
        <is>
          <t>Составил ______________________        Е.А. Князева</t>
        </is>
      </c>
      <c r="E28" s="102" t="n"/>
      <c r="F28" s="102" t="n"/>
      <c r="G28" s="102" t="n"/>
    </row>
    <row r="29" ht="22.5" customHeight="1" s="100">
      <c r="B29" s="73" t="inlineStr">
        <is>
          <t xml:space="preserve">                         (подпись, инициалы, фамилия)</t>
        </is>
      </c>
      <c r="E29" s="102" t="n"/>
      <c r="F29" s="102" t="n"/>
      <c r="G29" s="102" t="n"/>
    </row>
    <row r="30">
      <c r="E30" s="102" t="n"/>
      <c r="F30" s="102" t="n"/>
      <c r="G30" s="102" t="n"/>
    </row>
    <row r="31">
      <c r="B31" s="102" t="inlineStr">
        <is>
          <t>Проверил ______________________        А.В. Костянецкая</t>
        </is>
      </c>
      <c r="E31" s="102" t="n"/>
      <c r="F31" s="102" t="n"/>
      <c r="G31" s="102" t="n"/>
    </row>
    <row r="32" ht="22.5" customHeight="1" s="100">
      <c r="B32" s="73" t="inlineStr">
        <is>
          <t xml:space="preserve">                        (подпись, инициалы, фамилия)</t>
        </is>
      </c>
      <c r="E32" s="102" t="n"/>
      <c r="F32" s="102" t="n"/>
      <c r="G32" s="102" t="n"/>
    </row>
    <row r="33">
      <c r="E33" s="102" t="n"/>
      <c r="F33" s="102" t="n"/>
      <c r="G33" s="102" t="n"/>
    </row>
    <row r="34">
      <c r="E34" s="102" t="n"/>
      <c r="F34" s="102" t="n"/>
      <c r="G34" s="102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1"/>
  <sheetViews>
    <sheetView view="pageBreakPreview" zoomScale="60" zoomScaleNormal="100" workbookViewId="0">
      <selection activeCell="G18" sqref="G18"/>
    </sheetView>
  </sheetViews>
  <sheetFormatPr baseColWidth="8" defaultRowHeight="15"/>
  <cols>
    <col width="5.5703125" customWidth="1" style="100" min="1" max="1"/>
    <col width="35.28515625" customWidth="1" style="100" min="3" max="3"/>
    <col width="13.85546875" customWidth="1" style="100" min="4" max="4"/>
    <col width="24.85546875" customWidth="1" style="100" min="5" max="5"/>
    <col width="12.7109375" customWidth="1" style="100" min="6" max="6"/>
    <col width="14.85546875" customWidth="1" style="100" min="7" max="7"/>
    <col width="16.7109375" customWidth="1" style="100" min="8" max="8"/>
    <col width="13" customWidth="1" style="100" min="9" max="10"/>
    <col hidden="1" outlineLevel="1" width="12.28515625" customWidth="1" style="100" min="12" max="16"/>
    <col collapsed="1" width="9.140625" customWidth="1" style="100" min="17" max="17"/>
  </cols>
  <sheetData>
    <row r="1" ht="15.75" customHeight="1" s="100">
      <c r="A1" s="102" t="n"/>
      <c r="B1" s="102" t="n"/>
      <c r="C1" s="102" t="n"/>
      <c r="D1" s="102" t="n"/>
      <c r="E1" s="102" t="n"/>
      <c r="F1" s="102" t="n"/>
      <c r="G1" s="102" t="n"/>
      <c r="H1" s="102" t="n"/>
      <c r="I1" s="102" t="n"/>
      <c r="J1" s="102" t="n"/>
    </row>
    <row r="2" ht="15.75" customHeight="1" s="100">
      <c r="A2" s="102" t="n"/>
      <c r="B2" s="102" t="n"/>
      <c r="C2" s="102" t="n"/>
      <c r="D2" s="102" t="n"/>
      <c r="E2" s="102" t="n"/>
      <c r="F2" s="102" t="n"/>
      <c r="G2" s="102" t="n"/>
      <c r="H2" s="102" t="n"/>
      <c r="I2" s="102" t="n"/>
      <c r="J2" s="102" t="n"/>
    </row>
    <row r="3" ht="15.75" customHeight="1" s="100">
      <c r="A3" s="102" t="n"/>
      <c r="B3" s="121" t="inlineStr">
        <is>
          <t>Приложение № 2</t>
        </is>
      </c>
    </row>
    <row r="4" ht="15.75" customHeight="1" s="100">
      <c r="A4" s="102" t="n"/>
      <c r="B4" s="122" t="inlineStr">
        <is>
          <t>Расчет стоимости основных видов работ для выбора объекта-представителя</t>
        </is>
      </c>
    </row>
    <row r="5" ht="15.75" customHeight="1" s="100">
      <c r="A5" s="102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41.25" customHeight="1" s="100">
      <c r="A6" s="102" t="n"/>
      <c r="B6" s="126">
        <f>'Прил.1 Сравнит табл'!B7</f>
        <v/>
      </c>
    </row>
    <row r="7" ht="15.75" customHeight="1" s="100">
      <c r="A7" s="102" t="n"/>
      <c r="B7" s="120">
        <f>'Прил.1 Сравнит табл'!B9</f>
        <v/>
      </c>
    </row>
    <row r="8" ht="15.75" customHeight="1" s="100">
      <c r="A8" s="102" t="n"/>
      <c r="B8" s="120" t="n"/>
      <c r="C8" s="102" t="n"/>
      <c r="D8" s="102" t="n"/>
      <c r="E8" s="102" t="n"/>
      <c r="F8" s="102" t="n"/>
      <c r="G8" s="102" t="n"/>
      <c r="H8" s="102" t="n"/>
      <c r="I8" s="102" t="n"/>
      <c r="J8" s="102" t="n"/>
    </row>
    <row r="9" ht="15.75" customHeight="1" s="100">
      <c r="A9" s="102" t="n"/>
      <c r="B9" s="127" t="inlineStr">
        <is>
          <t>№ п/п</t>
        </is>
      </c>
      <c r="C9" s="1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7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0">
      <c r="A10" s="102" t="n"/>
      <c r="B10" s="174" t="n"/>
      <c r="C10" s="174" t="n"/>
      <c r="D10" s="127" t="inlineStr">
        <is>
          <t>Номер сметы</t>
        </is>
      </c>
      <c r="E10" s="127" t="inlineStr">
        <is>
          <t>Наименование сметы</t>
        </is>
      </c>
      <c r="F10" s="127" t="inlineStr">
        <is>
          <t>Сметная стоимость в уровне цен 3 кв. 2013г., тыс. руб.</t>
        </is>
      </c>
      <c r="G10" s="172" t="n"/>
      <c r="H10" s="172" t="n"/>
      <c r="I10" s="172" t="n"/>
      <c r="J10" s="173" t="n"/>
    </row>
    <row r="11" ht="63" customHeight="1" s="100">
      <c r="A11" s="102" t="n"/>
      <c r="B11" s="175" t="n"/>
      <c r="C11" s="175" t="n"/>
      <c r="D11" s="175" t="n"/>
      <c r="E11" s="175" t="n"/>
      <c r="F11" s="128" t="inlineStr">
        <is>
          <t>Строительные работы</t>
        </is>
      </c>
      <c r="G11" s="128" t="inlineStr">
        <is>
          <t>Монтажные работы</t>
        </is>
      </c>
      <c r="H11" s="128" t="inlineStr">
        <is>
          <t>Оборудование</t>
        </is>
      </c>
      <c r="I11" s="128" t="inlineStr">
        <is>
          <t>Прочее</t>
        </is>
      </c>
      <c r="J11" s="128" t="inlineStr">
        <is>
          <t>Всего</t>
        </is>
      </c>
    </row>
    <row r="12" ht="15.75" customHeight="1" s="100">
      <c r="A12" s="102" t="n"/>
      <c r="B12" s="116" t="n"/>
      <c r="C12" s="116" t="inlineStr">
        <is>
          <t xml:space="preserve">Выключатель 750 кВ без устройства фундаментов, номинальный ток 3150 А, номинальный ток отключения 50 кА </t>
        </is>
      </c>
      <c r="D12" s="116" t="n"/>
      <c r="E12" s="116" t="n"/>
      <c r="F12" s="176">
        <f>(Прил.3!H12+Прил.3!H14+Прил.3!H16+Прил.3!H23)*6.75/1000</f>
        <v/>
      </c>
      <c r="G12" s="173" t="n"/>
      <c r="H12" s="116">
        <f>Прил.3!H21*3.94/1000</f>
        <v/>
      </c>
      <c r="I12" s="116" t="n"/>
      <c r="J12" s="116" t="n"/>
    </row>
    <row r="13" ht="15.75" customHeight="1" s="100">
      <c r="A13" s="102" t="n"/>
      <c r="B13" s="124" t="inlineStr">
        <is>
          <t>Всего по объекту:</t>
        </is>
      </c>
      <c r="C13" s="177" t="n"/>
      <c r="D13" s="177" t="n"/>
      <c r="E13" s="178" t="n"/>
      <c r="F13" s="179">
        <f>F12</f>
        <v/>
      </c>
      <c r="G13" s="173" t="n"/>
      <c r="H13" s="115">
        <f>H12</f>
        <v/>
      </c>
      <c r="I13" s="115" t="n"/>
      <c r="J13" s="115" t="n"/>
    </row>
    <row r="14" ht="15.75" customHeight="1" s="100">
      <c r="A14" s="102" t="n"/>
      <c r="B14" s="125" t="inlineStr">
        <is>
          <t>Всего по объекту в сопоставимом уровне цен 3кв. 2013г:</t>
        </is>
      </c>
      <c r="C14" s="172" t="n"/>
      <c r="D14" s="172" t="n"/>
      <c r="E14" s="173" t="n"/>
      <c r="F14" s="179">
        <f>F12</f>
        <v/>
      </c>
      <c r="G14" s="173" t="n"/>
      <c r="H14" s="85">
        <f>H12</f>
        <v/>
      </c>
      <c r="I14" s="85" t="n"/>
      <c r="J14" s="85">
        <f>F12+H12</f>
        <v/>
      </c>
    </row>
    <row r="15" ht="15.75" customHeight="1" s="100">
      <c r="A15" s="102" t="n"/>
      <c r="B15" s="102" t="n"/>
      <c r="C15" s="102" t="n"/>
      <c r="D15" s="102" t="n"/>
      <c r="E15" s="102" t="n"/>
      <c r="F15" s="102" t="n"/>
      <c r="G15" s="102" t="n"/>
      <c r="H15" s="102" t="n"/>
      <c r="I15" s="102" t="n"/>
      <c r="J15" s="102" t="n"/>
    </row>
    <row r="16" ht="15.75" customHeight="1" s="100">
      <c r="A16" s="102" t="n"/>
      <c r="B16" s="102" t="n"/>
      <c r="C16" s="102" t="n"/>
      <c r="D16" s="102" t="n"/>
      <c r="E16" s="102" t="n"/>
      <c r="F16" s="102" t="n"/>
      <c r="G16" s="102" t="n"/>
      <c r="H16" s="102" t="n"/>
      <c r="I16" s="102" t="n"/>
      <c r="J16" s="102" t="n"/>
    </row>
    <row r="17" ht="15.75" customHeight="1" s="100">
      <c r="A17" s="102" t="n"/>
      <c r="B17" s="102" t="inlineStr">
        <is>
          <t>Составил ______________________        Е.А. Князева</t>
        </is>
      </c>
      <c r="C17" s="102" t="n"/>
      <c r="D17" s="102" t="n"/>
      <c r="E17" s="102" t="n"/>
      <c r="F17" s="102" t="n"/>
      <c r="G17" s="102" t="n"/>
      <c r="H17" s="102" t="n"/>
      <c r="I17" s="102" t="n"/>
      <c r="J17" s="102" t="n"/>
    </row>
    <row r="18" ht="22.5" customHeight="1" s="100">
      <c r="A18" s="102" t="n"/>
      <c r="B18" s="73" t="inlineStr">
        <is>
          <t xml:space="preserve">                         (подпись, инициалы, фамилия)</t>
        </is>
      </c>
      <c r="C18" s="102" t="n"/>
      <c r="D18" s="102" t="n"/>
      <c r="E18" s="102" t="n"/>
      <c r="F18" s="102" t="n"/>
      <c r="G18" s="102" t="n"/>
      <c r="H18" s="102" t="n"/>
      <c r="I18" s="102" t="n"/>
      <c r="J18" s="102" t="n"/>
    </row>
    <row r="19" ht="15.75" customHeight="1" s="100">
      <c r="A19" s="102" t="n"/>
      <c r="B19" s="102" t="n"/>
      <c r="C19" s="102" t="n"/>
      <c r="D19" s="102" t="n"/>
      <c r="E19" s="102" t="n"/>
      <c r="F19" s="102" t="n"/>
      <c r="G19" s="102" t="n"/>
      <c r="H19" s="102" t="n"/>
      <c r="I19" s="102" t="n"/>
      <c r="J19" s="102" t="n"/>
    </row>
    <row r="20" ht="15.75" customHeight="1" s="100">
      <c r="A20" s="102" t="n"/>
      <c r="B20" s="102" t="inlineStr">
        <is>
          <t>Проверил ______________________        А.В. Костянецкая</t>
        </is>
      </c>
      <c r="C20" s="102" t="n"/>
      <c r="D20" s="102" t="n"/>
      <c r="E20" s="102" t="n"/>
      <c r="F20" s="102" t="n"/>
      <c r="G20" s="102" t="n"/>
      <c r="H20" s="102" t="n"/>
      <c r="I20" s="102" t="n"/>
      <c r="J20" s="102" t="n"/>
    </row>
    <row r="21" ht="22.5" customHeight="1" s="100">
      <c r="A21" s="102" t="n"/>
      <c r="B21" s="73" t="inlineStr">
        <is>
          <t xml:space="preserve">                        (подпись, инициалы, фамилия)</t>
        </is>
      </c>
      <c r="C21" s="102" t="n"/>
      <c r="D21" s="102" t="n"/>
      <c r="E21" s="102" t="n"/>
      <c r="F21" s="102" t="n"/>
      <c r="G21" s="102" t="n"/>
      <c r="H21" s="102" t="n"/>
      <c r="I21" s="102" t="n"/>
      <c r="J21" s="102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topLeftCell="A43" workbookViewId="0">
      <selection activeCell="D45" sqref="D45"/>
    </sheetView>
  </sheetViews>
  <sheetFormatPr baseColWidth="8" defaultRowHeight="15.75"/>
  <cols>
    <col width="9.140625" customWidth="1" style="102" min="1" max="1"/>
    <col width="12.5703125" customWidth="1" style="102" min="2" max="2"/>
    <col width="22.42578125" customWidth="1" style="102" min="3" max="3"/>
    <col width="49.7109375" customWidth="1" style="102" min="4" max="4"/>
    <col width="10.140625" customWidth="1" style="102" min="5" max="5"/>
    <col width="20.7109375" customWidth="1" style="102" min="6" max="6"/>
    <col width="16.140625" customWidth="1" style="102" min="7" max="7"/>
    <col width="16.7109375" customWidth="1" style="102" min="8" max="8"/>
    <col width="9.140625" customWidth="1" style="102" min="9" max="9"/>
    <col width="19.42578125" customWidth="1" style="102" min="10" max="10"/>
    <col width="13" customWidth="1" style="100" min="11" max="11"/>
    <col width="9.140625" customWidth="1" style="100" min="12" max="12"/>
  </cols>
  <sheetData>
    <row r="1">
      <c r="K1" s="102" t="n"/>
    </row>
    <row r="2">
      <c r="A2" s="121" t="inlineStr">
        <is>
          <t xml:space="preserve">Приложение № 3 </t>
        </is>
      </c>
      <c r="K2" s="102" t="n"/>
    </row>
    <row r="3">
      <c r="A3" s="122" t="inlineStr">
        <is>
          <t>Объектная ресурсная ведомость</t>
        </is>
      </c>
      <c r="K3" s="102" t="n"/>
    </row>
    <row r="4" s="100">
      <c r="A4" s="122" t="n"/>
      <c r="B4" s="122" t="n"/>
      <c r="C4" s="122" t="n"/>
      <c r="D4" s="122" t="n"/>
      <c r="E4" s="122" t="n"/>
      <c r="F4" s="122" t="n"/>
      <c r="G4" s="122" t="n"/>
      <c r="H4" s="122" t="n"/>
      <c r="I4" s="102" t="n"/>
      <c r="J4" s="102" t="n"/>
      <c r="K4" s="102" t="n"/>
    </row>
    <row r="5" ht="18.75" customHeight="1" s="100">
      <c r="A5" s="120" t="n"/>
      <c r="K5" s="102" t="n"/>
    </row>
    <row r="6" ht="36.75" customHeight="1" s="100">
      <c r="A6" s="126">
        <f>'Прил.1 Сравнит табл'!B7</f>
        <v/>
      </c>
      <c r="K6" s="102" t="n"/>
    </row>
    <row r="7" ht="36.75" customHeight="1" s="100">
      <c r="A7" s="126" t="n"/>
      <c r="B7" s="126" t="n"/>
      <c r="C7" s="126" t="n"/>
      <c r="D7" s="126" t="n"/>
      <c r="E7" s="126" t="n"/>
      <c r="F7" s="126" t="n"/>
      <c r="G7" s="126" t="n"/>
      <c r="H7" s="126" t="n"/>
      <c r="I7" s="102" t="n"/>
      <c r="J7" s="102" t="n"/>
      <c r="K7" s="102" t="n"/>
    </row>
    <row r="8">
      <c r="A8" s="64" t="n"/>
      <c r="B8" s="64" t="n"/>
      <c r="C8" s="64" t="n"/>
      <c r="D8" s="64" t="n"/>
      <c r="E8" s="64" t="n"/>
      <c r="F8" s="64" t="n"/>
      <c r="G8" s="64" t="n"/>
      <c r="H8" s="64" t="n"/>
      <c r="K8" s="102" t="n"/>
    </row>
    <row r="9" ht="33" customHeight="1" s="100">
      <c r="A9" s="127" t="inlineStr">
        <is>
          <t>п/п</t>
        </is>
      </c>
      <c r="B9" s="127" t="inlineStr">
        <is>
          <t>№ЛСР</t>
        </is>
      </c>
      <c r="C9" s="127" t="inlineStr">
        <is>
          <t>Код ресурса</t>
        </is>
      </c>
      <c r="D9" s="127" t="inlineStr">
        <is>
          <t>Наименование ресурса</t>
        </is>
      </c>
      <c r="E9" s="127" t="inlineStr">
        <is>
          <t>Ед. изм.</t>
        </is>
      </c>
      <c r="F9" s="127" t="inlineStr">
        <is>
          <t>Кол-во единиц по данным объекта-представителя</t>
        </is>
      </c>
      <c r="G9" s="127" t="inlineStr">
        <is>
          <t>Сметная стоимость в ценах на 01.01.2000 (руб.)</t>
        </is>
      </c>
      <c r="H9" s="173" t="n"/>
      <c r="K9" s="102" t="n"/>
    </row>
    <row r="10" ht="33" customHeight="1" s="100">
      <c r="A10" s="175" t="n"/>
      <c r="B10" s="175" t="n"/>
      <c r="C10" s="175" t="n"/>
      <c r="D10" s="175" t="n"/>
      <c r="E10" s="175" t="n"/>
      <c r="F10" s="175" t="n"/>
      <c r="G10" s="127" t="inlineStr">
        <is>
          <t>на ед.изм.</t>
        </is>
      </c>
      <c r="H10" s="127" t="inlineStr">
        <is>
          <t>общая</t>
        </is>
      </c>
      <c r="K10" s="102" t="n"/>
    </row>
    <row r="11">
      <c r="A11" s="128" t="n">
        <v>1</v>
      </c>
      <c r="B11" s="128" t="n"/>
      <c r="C11" s="128" t="n">
        <v>2</v>
      </c>
      <c r="D11" s="128" t="inlineStr">
        <is>
          <t>З</t>
        </is>
      </c>
      <c r="E11" s="128" t="n">
        <v>4</v>
      </c>
      <c r="F11" s="128" t="n">
        <v>5</v>
      </c>
      <c r="G11" s="128" t="n">
        <v>6</v>
      </c>
      <c r="H11" s="128" t="n">
        <v>7</v>
      </c>
      <c r="K11" s="102" t="n"/>
    </row>
    <row r="12">
      <c r="A12" s="133" t="inlineStr">
        <is>
          <t>Затраты труда рабочих</t>
        </is>
      </c>
      <c r="B12" s="172" t="n"/>
      <c r="C12" s="172" t="n"/>
      <c r="D12" s="172" t="n"/>
      <c r="E12" s="173" t="n"/>
      <c r="F12" s="66" t="n">
        <v>13389.2</v>
      </c>
      <c r="G12" s="66" t="n"/>
      <c r="H12" s="66">
        <f>SUM(H13:H13)</f>
        <v/>
      </c>
      <c r="I12" s="89" t="n"/>
      <c r="J12" s="89" t="n"/>
      <c r="K12" s="89" t="n"/>
    </row>
    <row r="13">
      <c r="A13" s="134" t="n">
        <v>1</v>
      </c>
      <c r="B13" s="82" t="n"/>
      <c r="C13" s="69" t="inlineStr">
        <is>
          <t>1-4-0</t>
        </is>
      </c>
      <c r="D13" s="135" t="inlineStr">
        <is>
          <t>Затраты труда рабочих (ср 4)</t>
        </is>
      </c>
      <c r="E13" s="134" t="inlineStr">
        <is>
          <t>чел.-ч</t>
        </is>
      </c>
      <c r="F13" s="134" t="n">
        <v>13389.2</v>
      </c>
      <c r="G13" s="71" t="n">
        <v>9.619999999999999</v>
      </c>
      <c r="H13" s="71">
        <f>ROUND(F13*G13,2)</f>
        <v/>
      </c>
      <c r="K13" s="102" t="n"/>
    </row>
    <row r="14">
      <c r="A14" s="133" t="inlineStr">
        <is>
          <t>Затраты труда машинистов</t>
        </is>
      </c>
      <c r="B14" s="172" t="n"/>
      <c r="C14" s="172" t="n"/>
      <c r="D14" s="172" t="n"/>
      <c r="E14" s="173" t="n"/>
      <c r="F14" s="133" t="n">
        <v>3069.52</v>
      </c>
      <c r="G14" s="66" t="n"/>
      <c r="H14" s="66">
        <f>H15</f>
        <v/>
      </c>
      <c r="K14" s="102" t="n"/>
    </row>
    <row r="15">
      <c r="A15" s="134" t="n">
        <v>2</v>
      </c>
      <c r="B15" s="103" t="n"/>
      <c r="C15" s="77" t="n">
        <v>2</v>
      </c>
      <c r="D15" s="135" t="inlineStr">
        <is>
          <t>Затраты труда машинистов</t>
        </is>
      </c>
      <c r="E15" s="134" t="inlineStr">
        <is>
          <t>чел.-ч</t>
        </is>
      </c>
      <c r="F15" s="134" t="n">
        <v>3069.52</v>
      </c>
      <c r="G15" s="71" t="n"/>
      <c r="H15" s="71" t="n">
        <v>37623.18</v>
      </c>
      <c r="K15" s="102" t="n"/>
    </row>
    <row r="16">
      <c r="A16" s="133" t="inlineStr">
        <is>
          <t>Машины и механизмы</t>
        </is>
      </c>
      <c r="B16" s="172" t="n"/>
      <c r="C16" s="172" t="n"/>
      <c r="D16" s="172" t="n"/>
      <c r="E16" s="173" t="n"/>
      <c r="F16" s="133" t="n"/>
      <c r="G16" s="66" t="n"/>
      <c r="H16" s="66">
        <f>SUM(H17:H20)</f>
        <v/>
      </c>
      <c r="I16" s="89" t="n"/>
      <c r="J16" s="89" t="n"/>
      <c r="K16" s="89" t="n"/>
    </row>
    <row r="17" ht="31.5" customHeight="1" s="100">
      <c r="A17" s="134" t="n">
        <v>3</v>
      </c>
      <c r="B17" s="103" t="n"/>
      <c r="C17" s="135" t="inlineStr">
        <is>
          <t>91.05.05-015</t>
        </is>
      </c>
      <c r="D17" s="135" t="inlineStr">
        <is>
          <t>Краны на автомобильном ходу, грузоподъемность 16 т</t>
        </is>
      </c>
      <c r="E17" s="134" t="inlineStr">
        <is>
          <t>маш.час</t>
        </is>
      </c>
      <c r="F17" s="134" t="n">
        <v>1849.6</v>
      </c>
      <c r="G17" s="71" t="n">
        <v>115.4</v>
      </c>
      <c r="H17" s="71">
        <f>ROUND(F17*G17,2)</f>
        <v/>
      </c>
      <c r="K17" s="102" t="n"/>
    </row>
    <row r="18" ht="31.5" customHeight="1" s="100">
      <c r="A18" s="134" t="n">
        <v>4</v>
      </c>
      <c r="B18" s="103" t="n"/>
      <c r="C18" s="135" t="inlineStr">
        <is>
          <t>91.06.06-042</t>
        </is>
      </c>
      <c r="D18" s="135" t="inlineStr">
        <is>
          <t>Подъемники гидравлические, высота подъема 10 м</t>
        </is>
      </c>
      <c r="E18" s="134" t="inlineStr">
        <is>
          <t>маш.час</t>
        </is>
      </c>
      <c r="F18" s="134" t="n">
        <v>972.4</v>
      </c>
      <c r="G18" s="71" t="n">
        <v>29.6</v>
      </c>
      <c r="H18" s="71">
        <f>ROUND(F18*G18,2)</f>
        <v/>
      </c>
      <c r="I18" s="89" t="n"/>
      <c r="J18" s="89" t="n"/>
      <c r="K18" s="89" t="n"/>
    </row>
    <row r="19">
      <c r="A19" s="134" t="n">
        <v>5</v>
      </c>
      <c r="B19" s="103" t="n"/>
      <c r="C19" s="135" t="inlineStr">
        <is>
          <t>91.14.02-001</t>
        </is>
      </c>
      <c r="D19" s="135" t="inlineStr">
        <is>
          <t>Автомобили бортовые, грузоподъемность до 5 т</t>
        </is>
      </c>
      <c r="E19" s="134" t="inlineStr">
        <is>
          <t>маш.час</t>
        </is>
      </c>
      <c r="F19" s="134" t="n">
        <v>247.52</v>
      </c>
      <c r="G19" s="71" t="n">
        <v>65.70999999999999</v>
      </c>
      <c r="H19" s="71">
        <f>ROUND(F19*G19,2)</f>
        <v/>
      </c>
      <c r="K19" s="102" t="n"/>
    </row>
    <row r="20" ht="31.5" customHeight="1" s="100">
      <c r="A20" s="134" t="n">
        <v>6</v>
      </c>
      <c r="B20" s="103" t="n"/>
      <c r="C20" s="135" t="inlineStr">
        <is>
          <t>91.17.04-233</t>
        </is>
      </c>
      <c r="D20" s="135" t="inlineStr">
        <is>
          <t>Установки для сварки ручной дуговой (постоянного тока)</t>
        </is>
      </c>
      <c r="E20" s="134" t="inlineStr">
        <is>
          <t>маш.час</t>
        </is>
      </c>
      <c r="F20" s="134" t="n">
        <v>2.448</v>
      </c>
      <c r="G20" s="71" t="n">
        <v>8.1</v>
      </c>
      <c r="H20" s="71">
        <f>ROUND(F20*G20,2)</f>
        <v/>
      </c>
      <c r="K20" s="102" t="n"/>
    </row>
    <row r="21">
      <c r="A21" s="133" t="inlineStr">
        <is>
          <t>Оборудование</t>
        </is>
      </c>
      <c r="B21" s="172" t="n"/>
      <c r="C21" s="172" t="n"/>
      <c r="D21" s="172" t="n"/>
      <c r="E21" s="173" t="n"/>
      <c r="F21" s="133" t="n"/>
      <c r="G21" s="66" t="n"/>
      <c r="H21" s="66">
        <f>SUM(H22:H22)</f>
        <v/>
      </c>
      <c r="J21" s="79" t="n"/>
    </row>
    <row r="22">
      <c r="A22" s="134" t="n">
        <v>7</v>
      </c>
      <c r="B22" s="103" t="n"/>
      <c r="C22" s="135" t="inlineStr">
        <is>
          <t>Прайс из СД ОП</t>
        </is>
      </c>
      <c r="D22" s="135" t="inlineStr">
        <is>
          <t>Выключатель колонковый 750 кВ 3150/40 кА</t>
        </is>
      </c>
      <c r="E22" s="134" t="inlineStr">
        <is>
          <t>компл</t>
        </is>
      </c>
      <c r="F22" s="134" t="n">
        <v>4</v>
      </c>
      <c r="G22" s="71" t="n">
        <v>12203083.33</v>
      </c>
      <c r="H22" s="71">
        <f>ROUND(F22*G22,2)</f>
        <v/>
      </c>
    </row>
    <row r="23">
      <c r="A23" s="133" t="inlineStr">
        <is>
          <t>Материалы</t>
        </is>
      </c>
      <c r="B23" s="172" t="n"/>
      <c r="C23" s="172" t="n"/>
      <c r="D23" s="172" t="n"/>
      <c r="E23" s="173" t="n"/>
      <c r="F23" s="133" t="n"/>
      <c r="G23" s="66" t="n"/>
      <c r="H23" s="66">
        <f>SUM(H24:H39)</f>
        <v/>
      </c>
      <c r="J23" s="79" t="n"/>
    </row>
    <row r="24" ht="31.5" customHeight="1" s="100">
      <c r="A24" s="134" t="n">
        <v>8</v>
      </c>
      <c r="B24" s="84" t="n"/>
      <c r="C24" s="135" t="inlineStr">
        <is>
          <t>01.3.01.07-0009</t>
        </is>
      </c>
      <c r="D24" s="135" t="inlineStr">
        <is>
          <t>Спирт этиловый ректификованный технический, сорт I</t>
        </is>
      </c>
      <c r="E24" s="134" t="inlineStr">
        <is>
          <t>кг</t>
        </is>
      </c>
      <c r="F24" s="134" t="n">
        <v>131.2</v>
      </c>
      <c r="G24" s="71" t="n">
        <v>38.89</v>
      </c>
      <c r="H24" s="71">
        <f>ROUND(F24*G24,2)</f>
        <v/>
      </c>
    </row>
    <row r="25">
      <c r="A25" s="134" t="n">
        <v>9</v>
      </c>
      <c r="B25" s="84" t="n"/>
      <c r="C25" s="135" t="inlineStr">
        <is>
          <t>01.7.20.08-0031</t>
        </is>
      </c>
      <c r="D25" s="135" t="inlineStr">
        <is>
          <t>Бязь суровая</t>
        </is>
      </c>
      <c r="E25" s="134" t="inlineStr">
        <is>
          <t>10 м2</t>
        </is>
      </c>
      <c r="F25" s="134" t="n">
        <v>32.56</v>
      </c>
      <c r="G25" s="71" t="n">
        <v>79.09999999999999</v>
      </c>
      <c r="H25" s="71">
        <f>ROUND(F25*G25,2)</f>
        <v/>
      </c>
    </row>
    <row r="26" ht="31.5" customHeight="1" s="100">
      <c r="A26" s="134" t="n">
        <v>10</v>
      </c>
      <c r="B26" s="84" t="n"/>
      <c r="C26" s="135" t="inlineStr">
        <is>
          <t>999-9950</t>
        </is>
      </c>
      <c r="D26" s="135" t="inlineStr">
        <is>
          <t>Вспомогательные ненормируемые ресурсы (2% от Оплаты труда рабочих)</t>
        </is>
      </c>
      <c r="E26" s="134" t="inlineStr">
        <is>
          <t>руб</t>
        </is>
      </c>
      <c r="F26" s="134" t="n">
        <v>1515.36</v>
      </c>
      <c r="G26" s="71" t="n">
        <v>1</v>
      </c>
      <c r="H26" s="71">
        <f>ROUND(F26*G26,2)</f>
        <v/>
      </c>
    </row>
    <row r="27">
      <c r="A27" s="134" t="n">
        <v>11</v>
      </c>
      <c r="B27" s="84" t="n"/>
      <c r="C27" s="135" t="inlineStr">
        <is>
          <t>01.7.15.03-0042</t>
        </is>
      </c>
      <c r="D27" s="135" t="inlineStr">
        <is>
          <t>Болты с гайками и шайбами строительные</t>
        </is>
      </c>
      <c r="E27" s="134" t="inlineStr">
        <is>
          <t>кг</t>
        </is>
      </c>
      <c r="F27" s="134" t="n">
        <v>158.4</v>
      </c>
      <c r="G27" s="71" t="n">
        <v>9.039999999999999</v>
      </c>
      <c r="H27" s="71">
        <f>ROUND(F27*G27,2)</f>
        <v/>
      </c>
    </row>
    <row r="28" ht="15" customHeight="1" s="100">
      <c r="A28" s="134" t="n">
        <v>12</v>
      </c>
      <c r="B28" s="84" t="n"/>
      <c r="C28" s="135" t="inlineStr">
        <is>
          <t>01.7.17.11-0001</t>
        </is>
      </c>
      <c r="D28" s="135" t="inlineStr">
        <is>
          <t>Бумага шлифовальная</t>
        </is>
      </c>
      <c r="E28" s="134" t="inlineStr">
        <is>
          <t>кг</t>
        </is>
      </c>
      <c r="F28" s="134" t="n">
        <v>16</v>
      </c>
      <c r="G28" s="71" t="n">
        <v>50</v>
      </c>
      <c r="H28" s="71">
        <f>ROUND(F28*G28,2)</f>
        <v/>
      </c>
    </row>
    <row r="29" ht="47.25" customHeight="1" s="100">
      <c r="A29" s="134" t="n">
        <v>13</v>
      </c>
      <c r="B29" s="84" t="n"/>
      <c r="C29" s="135" t="inlineStr">
        <is>
          <t>11.1.03.06-0021</t>
        </is>
      </c>
      <c r="D29" s="135" t="inlineStr">
        <is>
          <t>Доска обрезная, лиственных пород (береза, липа), длина 4-6,5 м, все ширины, толщина 19-22 мм, сорт II</t>
        </is>
      </c>
      <c r="E29" s="134" t="inlineStr">
        <is>
          <t>м3</t>
        </is>
      </c>
      <c r="F29" s="134" t="n">
        <v>0.128</v>
      </c>
      <c r="G29" s="71" t="n">
        <v>1784</v>
      </c>
      <c r="H29" s="71">
        <f>ROUND(F29*G29,2)</f>
        <v/>
      </c>
    </row>
    <row r="30" ht="31.5" customHeight="1" s="100">
      <c r="A30" s="134" t="n">
        <v>14</v>
      </c>
      <c r="B30" s="84" t="n"/>
      <c r="C30" s="135" t="inlineStr">
        <is>
          <t>08.3.07.01-0076</t>
        </is>
      </c>
      <c r="D30" s="135" t="inlineStr">
        <is>
          <t>Прокат полосовой, горячекатаный, марка стали Ст3сп, ширина 50-200 мм, толщина 4-5 мм</t>
        </is>
      </c>
      <c r="E30" s="134" t="inlineStr">
        <is>
          <t>т</t>
        </is>
      </c>
      <c r="F30" s="134" t="n">
        <v>0.044</v>
      </c>
      <c r="G30" s="71" t="n">
        <v>5000</v>
      </c>
      <c r="H30" s="71">
        <f>ROUND(F30*G30,2)</f>
        <v/>
      </c>
    </row>
    <row r="31" ht="15" customHeight="1" s="100">
      <c r="A31" s="134" t="n">
        <v>15</v>
      </c>
      <c r="B31" s="84" t="n"/>
      <c r="C31" s="135" t="inlineStr">
        <is>
          <t>01.7.07.12-0022</t>
        </is>
      </c>
      <c r="D31" s="135" t="inlineStr">
        <is>
          <t>Пленка полиэтиленовая, толщина 0,2-0,5 мм</t>
        </is>
      </c>
      <c r="E31" s="134" t="inlineStr">
        <is>
          <t>м2</t>
        </is>
      </c>
      <c r="F31" s="134" t="n">
        <v>16.352</v>
      </c>
      <c r="G31" s="71" t="n">
        <v>12.19</v>
      </c>
      <c r="H31" s="71">
        <f>ROUND(F31*G31,2)</f>
        <v/>
      </c>
    </row>
    <row r="32" ht="47.25" customHeight="1" s="100">
      <c r="A32" s="134" t="n">
        <v>16</v>
      </c>
      <c r="B32" s="84" t="n"/>
      <c r="C32" s="135" t="inlineStr">
        <is>
          <t>10.2.02.07-0109</t>
        </is>
      </c>
      <c r="D32" s="135" t="inlineStr">
        <is>
          <t>Проволока латунная, круглая, твердая, нормальной точности, марка Л68, диаметр 0,50 мм</t>
        </is>
      </c>
      <c r="E32" s="134" t="inlineStr">
        <is>
          <t>т</t>
        </is>
      </c>
      <c r="F32" s="134" t="n">
        <v>0.0032</v>
      </c>
      <c r="G32" s="71" t="n">
        <v>62000</v>
      </c>
      <c r="H32" s="71">
        <f>ROUND(F32*G32,2)</f>
        <v/>
      </c>
    </row>
    <row r="33" ht="31.5" customHeight="1" s="100">
      <c r="A33" s="134" t="n">
        <v>17</v>
      </c>
      <c r="B33" s="84" t="n"/>
      <c r="C33" s="135" t="inlineStr">
        <is>
          <t>01.3.01.06-0050</t>
        </is>
      </c>
      <c r="D33" s="135" t="inlineStr">
        <is>
          <t>Смазка универсальная тугоплавкая УТ (консталин жировой)</t>
        </is>
      </c>
      <c r="E33" s="134" t="inlineStr">
        <is>
          <t>т</t>
        </is>
      </c>
      <c r="F33" s="134" t="n">
        <v>0.008</v>
      </c>
      <c r="G33" s="71" t="n">
        <v>17500</v>
      </c>
      <c r="H33" s="71">
        <f>ROUND(F33*G33,2)</f>
        <v/>
      </c>
    </row>
    <row r="34">
      <c r="A34" s="134" t="n">
        <v>18</v>
      </c>
      <c r="B34" s="84" t="n"/>
      <c r="C34" s="135" t="inlineStr">
        <is>
          <t>01.7.11.07-0034</t>
        </is>
      </c>
      <c r="D34" s="135" t="inlineStr">
        <is>
          <t>Электроды сварочные Э42А, диаметр 4 мм</t>
        </is>
      </c>
      <c r="E34" s="134" t="inlineStr">
        <is>
          <t>кг</t>
        </is>
      </c>
      <c r="F34" s="134" t="n">
        <v>6</v>
      </c>
      <c r="G34" s="71" t="n">
        <v>10.57</v>
      </c>
      <c r="H34" s="71">
        <f>ROUND(F34*G34,2)</f>
        <v/>
      </c>
    </row>
    <row r="35" ht="31.5" customHeight="1" s="100">
      <c r="A35" s="134" t="n">
        <v>19</v>
      </c>
      <c r="B35" s="84" t="n"/>
      <c r="C35" s="135" t="inlineStr">
        <is>
          <t>01.7.15.06-0121</t>
        </is>
      </c>
      <c r="D35" s="135" t="inlineStr">
        <is>
          <t>Гвозди строительные с плоской головкой, размер 1,6х50 мм</t>
        </is>
      </c>
      <c r="E35" s="134" t="inlineStr">
        <is>
          <t>т</t>
        </is>
      </c>
      <c r="F35" s="134" t="n">
        <v>0.006</v>
      </c>
      <c r="G35" s="71" t="n">
        <v>8475</v>
      </c>
      <c r="H35" s="71">
        <f>ROUND(F35*G35,2)</f>
        <v/>
      </c>
    </row>
    <row r="36">
      <c r="A36" s="134" t="n">
        <v>20</v>
      </c>
      <c r="B36" s="84" t="n"/>
      <c r="C36" s="135" t="inlineStr">
        <is>
          <t>01.3.02.09-0022</t>
        </is>
      </c>
      <c r="D36" s="135" t="inlineStr">
        <is>
          <t>Пропан-бутан смесь техническая</t>
        </is>
      </c>
      <c r="E36" s="134" t="inlineStr">
        <is>
          <t>кг</t>
        </is>
      </c>
      <c r="F36" s="134" t="n">
        <v>8</v>
      </c>
      <c r="G36" s="71" t="n">
        <v>6.09</v>
      </c>
      <c r="H36" s="71">
        <f>ROUND(F36*G36,2)</f>
        <v/>
      </c>
    </row>
    <row r="37">
      <c r="A37" s="134" t="n">
        <v>21</v>
      </c>
      <c r="B37" s="84" t="n"/>
      <c r="C37" s="135" t="inlineStr">
        <is>
          <t>14.4.02.09-0001</t>
        </is>
      </c>
      <c r="D37" s="135" t="inlineStr">
        <is>
          <t>Краска</t>
        </is>
      </c>
      <c r="E37" s="134" t="inlineStr">
        <is>
          <t>кг</t>
        </is>
      </c>
      <c r="F37" s="134" t="n">
        <v>1.44</v>
      </c>
      <c r="G37" s="71" t="n">
        <v>28.6</v>
      </c>
      <c r="H37" s="71">
        <f>ROUND(F37*G37,2)</f>
        <v/>
      </c>
      <c r="I37" s="89" t="n"/>
      <c r="J37" s="89" t="n"/>
    </row>
    <row r="38">
      <c r="A38" s="134" t="n">
        <v>22</v>
      </c>
      <c r="B38" s="84" t="n"/>
      <c r="C38" s="135" t="inlineStr">
        <is>
          <t>01.3.02.08-0001</t>
        </is>
      </c>
      <c r="D38" s="135" t="inlineStr">
        <is>
          <t>Кислород газообразный технический</t>
        </is>
      </c>
      <c r="E38" s="134" t="inlineStr">
        <is>
          <t>м3</t>
        </is>
      </c>
      <c r="F38" s="134" t="n">
        <v>6</v>
      </c>
      <c r="G38" s="71" t="n">
        <v>6.22</v>
      </c>
      <c r="H38" s="71">
        <f>ROUND(F38*G38,2)</f>
        <v/>
      </c>
      <c r="I38" s="89" t="n"/>
      <c r="J38" s="89" t="n"/>
    </row>
    <row r="39">
      <c r="A39" s="134" t="n">
        <v>23</v>
      </c>
      <c r="B39" s="84" t="n"/>
      <c r="C39" s="135" t="inlineStr">
        <is>
          <t>01.7.02.09-0002</t>
        </is>
      </c>
      <c r="D39" s="135" t="inlineStr">
        <is>
          <t>Шпагат бумажный</t>
        </is>
      </c>
      <c r="E39" s="134" t="inlineStr">
        <is>
          <t>кг</t>
        </is>
      </c>
      <c r="F39" s="134" t="n">
        <v>0.04</v>
      </c>
      <c r="G39" s="71" t="n">
        <v>11.5</v>
      </c>
      <c r="H39" s="71">
        <f>ROUND(F39*G39,2)</f>
        <v/>
      </c>
      <c r="I39" s="89" t="n"/>
      <c r="J39" s="89" t="n"/>
    </row>
    <row r="40">
      <c r="J40" s="79" t="n"/>
    </row>
    <row r="42">
      <c r="B42" s="102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2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8" workbookViewId="0">
      <selection activeCell="D44" sqref="D44"/>
    </sheetView>
  </sheetViews>
  <sheetFormatPr baseColWidth="8" defaultRowHeight="15"/>
  <cols>
    <col width="4.140625" customWidth="1" style="100" min="1" max="1"/>
    <col width="36.28515625" customWidth="1" style="100" min="2" max="2"/>
    <col width="18.85546875" customWidth="1" style="100" min="3" max="3"/>
    <col width="18.28515625" customWidth="1" style="100" min="4" max="4"/>
    <col width="18.85546875" customWidth="1" style="100" min="5" max="5"/>
    <col width="9.140625" customWidth="1" style="100" min="6" max="6"/>
    <col width="12.85546875" customWidth="1" style="100" min="7" max="7"/>
    <col width="9.140625" customWidth="1" style="100" min="8" max="11"/>
    <col width="13.5703125" customWidth="1" style="100" min="12" max="12"/>
    <col width="9.140625" customWidth="1" style="100" min="13" max="13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59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36" t="inlineStr">
        <is>
          <t>Ресурсная модель</t>
        </is>
      </c>
    </row>
    <row r="6">
      <c r="B6" s="16" t="n"/>
      <c r="C6" s="94" t="n"/>
      <c r="D6" s="94" t="n"/>
      <c r="E6" s="94" t="n"/>
    </row>
    <row r="7" ht="39.75" customHeight="1" s="100">
      <c r="B7" s="137">
        <f>'Прил.1 Сравнит табл'!B7</f>
        <v/>
      </c>
    </row>
    <row r="8">
      <c r="B8" s="138">
        <f>'Прил.1 Сравнит табл'!B9</f>
        <v/>
      </c>
    </row>
    <row r="9">
      <c r="B9" s="16" t="n"/>
      <c r="C9" s="94" t="n"/>
      <c r="D9" s="94" t="n"/>
      <c r="E9" s="94" t="n"/>
    </row>
    <row r="10" ht="51" customHeight="1" s="100">
      <c r="B10" s="139" t="inlineStr">
        <is>
          <t>Наименование</t>
        </is>
      </c>
      <c r="C10" s="139" t="inlineStr">
        <is>
          <t>Сметная стоимость в ценах на 01.01.2023
 (руб.)</t>
        </is>
      </c>
      <c r="D10" s="139" t="inlineStr">
        <is>
          <t>Удельный вес, 
(в СМР)</t>
        </is>
      </c>
      <c r="E10" s="13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0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0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0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0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0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0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0">
      <c r="B32" s="7" t="inlineStr">
        <is>
          <t xml:space="preserve">Затраты по перевозке работников к месту работы и обратно </t>
        </is>
      </c>
      <c r="C32" s="23">
        <f>ROUND(C27*0%,2)</f>
        <v/>
      </c>
      <c r="D32" s="7" t="n"/>
      <c r="E32" s="24">
        <f>C32/$C$40</f>
        <v/>
      </c>
      <c r="G32" s="81" t="n"/>
    </row>
    <row r="33" ht="25.5" customHeight="1" s="100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1" t="n"/>
    </row>
    <row r="34" ht="51" customHeight="1" s="100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1" t="n"/>
    </row>
    <row r="35" ht="76.5" customHeight="1" s="100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1" t="n"/>
    </row>
    <row r="36" ht="25.5" customHeight="1" s="100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0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0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4" t="n"/>
      <c r="D42" s="94" t="n"/>
      <c r="E42" s="94" t="n"/>
    </row>
    <row r="43">
      <c r="B43" s="94" t="inlineStr">
        <is>
          <t>Составил ______________________        Е.А. Князева</t>
        </is>
      </c>
      <c r="C43" s="95" t="n"/>
      <c r="D43" s="94" t="n"/>
      <c r="E43" s="94" t="n"/>
    </row>
    <row r="44">
      <c r="B44" s="97" t="inlineStr">
        <is>
          <t xml:space="preserve">                         (подпись, инициалы, фамилия)</t>
        </is>
      </c>
      <c r="C44" s="95" t="n"/>
      <c r="D44" s="94" t="n"/>
      <c r="E44" s="94" t="n"/>
    </row>
    <row r="45">
      <c r="B45" s="94" t="n"/>
      <c r="C45" s="95" t="n"/>
      <c r="D45" s="94" t="n"/>
      <c r="E45" s="94" t="n"/>
    </row>
    <row r="46">
      <c r="B46" s="94" t="inlineStr">
        <is>
          <t>Проверил ______________________        А.В. Костянецкая</t>
        </is>
      </c>
      <c r="C46" s="95" t="n"/>
      <c r="D46" s="94" t="n"/>
      <c r="E46" s="94" t="n"/>
    </row>
    <row r="47">
      <c r="B47" s="97" t="inlineStr">
        <is>
          <t xml:space="preserve">                        (подпись, инициалы, фамилия)</t>
        </is>
      </c>
      <c r="C47" s="95" t="n"/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36" workbookViewId="0">
      <selection activeCell="D65" sqref="D65"/>
    </sheetView>
  </sheetViews>
  <sheetFormatPr baseColWidth="8" defaultColWidth="9.140625" defaultRowHeight="15" outlineLevelRow="1"/>
  <cols>
    <col width="5.7109375" customWidth="1" style="95" min="1" max="1"/>
    <col width="22.5703125" customWidth="1" style="95" min="2" max="2"/>
    <col width="39.140625" customWidth="1" style="95" min="3" max="3"/>
    <col width="10.7109375" customWidth="1" style="95" min="4" max="4"/>
    <col width="12.7109375" customWidth="1" style="95" min="5" max="5"/>
    <col width="14.5703125" customWidth="1" style="95" min="6" max="6"/>
    <col width="13.42578125" customWidth="1" style="95" min="7" max="7"/>
    <col width="12.7109375" customWidth="1" style="95" min="8" max="8"/>
    <col width="14.5703125" customWidth="1" style="95" min="9" max="9"/>
    <col width="15.140625" customWidth="1" style="95" min="10" max="10"/>
    <col width="2.85546875" customWidth="1" style="95" min="11" max="11"/>
    <col width="10.7109375" customWidth="1" style="95" min="12" max="12"/>
    <col width="10.85546875" customWidth="1" style="95" min="13" max="13"/>
    <col width="9.140625" customWidth="1" style="95" min="14" max="14"/>
  </cols>
  <sheetData>
    <row r="2" ht="15.75" customHeight="1" s="100">
      <c r="I2" s="102" t="n"/>
      <c r="J2" s="45" t="inlineStr">
        <is>
          <t>Приложение №5</t>
        </is>
      </c>
    </row>
    <row r="4" ht="12.75" customFormat="1" customHeight="1" s="94">
      <c r="A4" s="136" t="inlineStr">
        <is>
          <t>Расчет стоимости СМР и оборудования</t>
        </is>
      </c>
      <c r="I4" s="136" t="n"/>
      <c r="J4" s="136" t="n"/>
    </row>
    <row r="5" ht="12.75" customFormat="1" customHeight="1" s="94">
      <c r="A5" s="136" t="n"/>
      <c r="B5" s="136" t="n"/>
      <c r="C5" s="136" t="n"/>
      <c r="D5" s="136" t="n"/>
      <c r="E5" s="136" t="n"/>
      <c r="F5" s="136" t="n"/>
      <c r="G5" s="136" t="n"/>
      <c r="H5" s="136" t="n"/>
      <c r="I5" s="136" t="n"/>
      <c r="J5" s="136" t="n"/>
    </row>
    <row r="6" ht="41.25" customFormat="1" customHeight="1" s="94">
      <c r="A6" s="74" t="inlineStr">
        <is>
          <t>Наименование разрабатываемого показателя УНЦ</t>
        </is>
      </c>
      <c r="B6" s="75" t="n"/>
      <c r="C6" s="75" t="n"/>
      <c r="D6" s="152" t="inlineStr">
        <is>
          <t xml:space="preserve">Выключатель 750 кВ без устройства фундаментов, номинальный ток 3150 А, номинальный ток отключения 50 кА </t>
        </is>
      </c>
    </row>
    <row r="7" ht="12.75" customFormat="1" customHeight="1" s="94">
      <c r="A7" s="152">
        <f>'Прил.1 Сравнит табл'!B9</f>
        <v/>
      </c>
      <c r="I7" s="137" t="n"/>
      <c r="J7" s="137" t="n"/>
    </row>
    <row r="8" ht="12.75" customFormat="1" customHeight="1" s="94"/>
    <row r="9" ht="27" customHeight="1" s="100">
      <c r="A9" s="139" t="inlineStr">
        <is>
          <t>№ пп.</t>
        </is>
      </c>
      <c r="B9" s="139" t="inlineStr">
        <is>
          <t>Код ресурса</t>
        </is>
      </c>
      <c r="C9" s="139" t="inlineStr">
        <is>
          <t>Наименование</t>
        </is>
      </c>
      <c r="D9" s="139" t="inlineStr">
        <is>
          <t>Ед. изм.</t>
        </is>
      </c>
      <c r="E9" s="139" t="inlineStr">
        <is>
          <t>Кол-во единиц по проектным данным</t>
        </is>
      </c>
      <c r="F9" s="139" t="inlineStr">
        <is>
          <t>Сметная стоимость в ценах на 01.01.2000 (руб.)</t>
        </is>
      </c>
      <c r="G9" s="173" t="n"/>
      <c r="H9" s="139" t="inlineStr">
        <is>
          <t>Удельный вес, %</t>
        </is>
      </c>
      <c r="I9" s="139" t="inlineStr">
        <is>
          <t>Сметная стоимость в ценах на 01.01.2023 (руб.)</t>
        </is>
      </c>
      <c r="J9" s="173" t="n"/>
    </row>
    <row r="10" ht="28.5" customHeight="1" s="100">
      <c r="A10" s="175" t="n"/>
      <c r="B10" s="175" t="n"/>
      <c r="C10" s="175" t="n"/>
      <c r="D10" s="175" t="n"/>
      <c r="E10" s="175" t="n"/>
      <c r="F10" s="139" t="inlineStr">
        <is>
          <t>на ед. изм.</t>
        </is>
      </c>
      <c r="G10" s="139" t="inlineStr">
        <is>
          <t>общая</t>
        </is>
      </c>
      <c r="H10" s="175" t="n"/>
      <c r="I10" s="139" t="inlineStr">
        <is>
          <t>на ед. изм.</t>
        </is>
      </c>
      <c r="J10" s="139" t="inlineStr">
        <is>
          <t>общая</t>
        </is>
      </c>
    </row>
    <row r="11">
      <c r="A11" s="139" t="n">
        <v>1</v>
      </c>
      <c r="B11" s="139" t="n">
        <v>2</v>
      </c>
      <c r="C11" s="139" t="n">
        <v>3</v>
      </c>
      <c r="D11" s="139" t="n">
        <v>4</v>
      </c>
      <c r="E11" s="139" t="n">
        <v>5</v>
      </c>
      <c r="F11" s="139" t="n">
        <v>6</v>
      </c>
      <c r="G11" s="139" t="n">
        <v>7</v>
      </c>
      <c r="H11" s="139" t="n">
        <v>8</v>
      </c>
      <c r="I11" s="139" t="n">
        <v>9</v>
      </c>
      <c r="J11" s="139" t="n">
        <v>10</v>
      </c>
    </row>
    <row r="12">
      <c r="A12" s="139" t="n"/>
      <c r="B12" s="153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28" t="n"/>
      <c r="J12" s="28" t="n"/>
      <c r="L12" s="181" t="n"/>
    </row>
    <row r="13" ht="25.5" customHeight="1" s="100">
      <c r="A13" s="139" t="n">
        <v>1</v>
      </c>
      <c r="B13" s="32" t="inlineStr">
        <is>
          <t>1-4-0</t>
        </is>
      </c>
      <c r="C13" s="144" t="inlineStr">
        <is>
          <t>Затраты труда рабочих-строителей среднего разряда (4,0)</t>
        </is>
      </c>
      <c r="D13" s="139" t="inlineStr">
        <is>
          <t>чел.-ч.</t>
        </is>
      </c>
      <c r="E13" s="182">
        <f>G13/F13</f>
        <v/>
      </c>
      <c r="F13" s="14" t="n">
        <v>9.619999999999999</v>
      </c>
      <c r="G13" s="14">
        <f>Прил.3!H12</f>
        <v/>
      </c>
      <c r="H13" s="154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5">
      <c r="A14" s="139" t="n"/>
      <c r="B14" s="139" t="n"/>
      <c r="C14" s="153" t="inlineStr">
        <is>
          <t>Итого по разделу "Затраты труда рабочих-строителей"</t>
        </is>
      </c>
      <c r="D14" s="139" t="inlineStr">
        <is>
          <t>чел.-ч.</t>
        </is>
      </c>
      <c r="E14" s="182">
        <f>SUM(E13:E13)</f>
        <v/>
      </c>
      <c r="F14" s="14" t="n"/>
      <c r="G14" s="14">
        <f>SUM(G13:G13)</f>
        <v/>
      </c>
      <c r="H14" s="154" t="n">
        <v>1</v>
      </c>
      <c r="I14" s="14" t="n"/>
      <c r="J14" s="14">
        <f>SUM(J13:J13)</f>
        <v/>
      </c>
      <c r="L14" s="50" t="n"/>
    </row>
    <row r="15" ht="14.25" customFormat="1" customHeight="1" s="95">
      <c r="A15" s="139" t="n"/>
      <c r="B15" s="144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28" t="n"/>
      <c r="J15" s="28" t="n"/>
      <c r="L15" s="181" t="n"/>
    </row>
    <row r="16" ht="14.25" customFormat="1" customHeight="1" s="95">
      <c r="A16" s="139" t="n">
        <v>2</v>
      </c>
      <c r="B16" s="139" t="n">
        <v>2</v>
      </c>
      <c r="C16" s="144" t="inlineStr">
        <is>
          <t>Затраты труда машинистов</t>
        </is>
      </c>
      <c r="D16" s="139" t="inlineStr">
        <is>
          <t>чел.-ч.</t>
        </is>
      </c>
      <c r="E16" s="182">
        <f>Прил.3!F15</f>
        <v/>
      </c>
      <c r="F16" s="14">
        <f>G16/E16</f>
        <v/>
      </c>
      <c r="G16" s="14">
        <f>Прил.3!H15</f>
        <v/>
      </c>
      <c r="H16" s="154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5">
      <c r="A17" s="139" t="n"/>
      <c r="B17" s="153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54" t="n"/>
      <c r="J17" s="154" t="n"/>
    </row>
    <row r="18" ht="14.25" customFormat="1" customHeight="1" s="95">
      <c r="A18" s="139" t="n"/>
      <c r="B18" s="144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28" t="n"/>
      <c r="J18" s="28" t="n"/>
    </row>
    <row r="19" ht="25.5" customFormat="1" customHeight="1" s="95">
      <c r="A19" s="139" t="n">
        <v>3</v>
      </c>
      <c r="B19" s="32" t="inlineStr">
        <is>
          <t>91.05.05-015</t>
        </is>
      </c>
      <c r="C19" s="144" t="inlineStr">
        <is>
          <t>Краны на автомобильном ходу, грузоподъемность 16 т</t>
        </is>
      </c>
      <c r="D19" s="139" t="inlineStr">
        <is>
          <t>маш.час</t>
        </is>
      </c>
      <c r="E19" s="182" t="n">
        <v>1849.6</v>
      </c>
      <c r="F19" s="158" t="n">
        <v>115.4</v>
      </c>
      <c r="G19" s="14">
        <f>ROUND(E19*F19,2)</f>
        <v/>
      </c>
      <c r="H19" s="154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5">
      <c r="A20" s="139" t="n">
        <v>4</v>
      </c>
      <c r="B20" s="32" t="inlineStr">
        <is>
          <t>91.06.06-042</t>
        </is>
      </c>
      <c r="C20" s="144" t="inlineStr">
        <is>
          <t>Подъемники гидравлические, высота подъема 10 м</t>
        </is>
      </c>
      <c r="D20" s="139" t="inlineStr">
        <is>
          <t>маш.час</t>
        </is>
      </c>
      <c r="E20" s="182" t="n">
        <v>972.4</v>
      </c>
      <c r="F20" s="158" t="n">
        <v>29.6</v>
      </c>
      <c r="G20" s="14">
        <f>ROUND(E20*F20,2)</f>
        <v/>
      </c>
      <c r="H20" s="154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5">
      <c r="B21" s="139" t="n"/>
      <c r="C21" s="144" t="inlineStr">
        <is>
          <t>Итого основные машины и механизмы</t>
        </is>
      </c>
      <c r="D21" s="139" t="n"/>
      <c r="E21" s="183" t="n"/>
      <c r="F21" s="14" t="n"/>
      <c r="G21" s="14">
        <f>SUM(G19:G20)</f>
        <v/>
      </c>
      <c r="H21" s="154">
        <f>G21/G25</f>
        <v/>
      </c>
      <c r="I21" s="14" t="n"/>
      <c r="J21" s="14">
        <f>SUM(J19:J20)</f>
        <v/>
      </c>
      <c r="L21" s="181" t="n"/>
    </row>
    <row r="22" hidden="1" outlineLevel="1" ht="25.5" customFormat="1" customHeight="1" s="95">
      <c r="A22" s="139" t="n">
        <v>5</v>
      </c>
      <c r="B22" s="32" t="inlineStr">
        <is>
          <t>91.14.02-001</t>
        </is>
      </c>
      <c r="C22" s="144" t="inlineStr">
        <is>
          <t>Автомобили бортовые, грузоподъемность до 5 т</t>
        </is>
      </c>
      <c r="D22" s="139" t="inlineStr">
        <is>
          <t>маш.час</t>
        </is>
      </c>
      <c r="E22" s="182" t="n">
        <v>247.52</v>
      </c>
      <c r="F22" s="158" t="n">
        <v>65.70999999999999</v>
      </c>
      <c r="G22" s="14">
        <f>ROUND(E22*F22,2)</f>
        <v/>
      </c>
      <c r="H22" s="154">
        <f>G22/$G$25</f>
        <v/>
      </c>
      <c r="I22" s="14">
        <f>ROUND(F22*Прил.10!$D$11,2)</f>
        <v/>
      </c>
      <c r="J22" s="14">
        <f>ROUND(I22*E22,2)</f>
        <v/>
      </c>
      <c r="L22" s="181" t="n"/>
    </row>
    <row r="23" hidden="1" outlineLevel="1" ht="25.5" customFormat="1" customHeight="1" s="95">
      <c r="A23" s="139" t="n">
        <v>6</v>
      </c>
      <c r="B23" s="32" t="inlineStr">
        <is>
          <t>91.17.04-233</t>
        </is>
      </c>
      <c r="C23" s="144" t="inlineStr">
        <is>
          <t>Установки для сварки ручной дуговой (постоянного тока)</t>
        </is>
      </c>
      <c r="D23" s="139" t="inlineStr">
        <is>
          <t>маш.час</t>
        </is>
      </c>
      <c r="E23" s="182" t="n">
        <v>2.448</v>
      </c>
      <c r="F23" s="158" t="n">
        <v>8.1</v>
      </c>
      <c r="G23" s="14">
        <f>ROUND(E23*F23,2)</f>
        <v/>
      </c>
      <c r="H23" s="154">
        <f>G23/$G$25</f>
        <v/>
      </c>
      <c r="I23" s="14">
        <f>ROUND(F23*Прил.10!$D$11,2)</f>
        <v/>
      </c>
      <c r="J23" s="14">
        <f>ROUND(I23*E23,2)</f>
        <v/>
      </c>
      <c r="L23" s="181" t="n"/>
    </row>
    <row r="24" collapsed="1" ht="14.25" customFormat="1" customHeight="1" s="95">
      <c r="A24" s="139" t="n"/>
      <c r="B24" s="139" t="n"/>
      <c r="C24" s="144" t="inlineStr">
        <is>
          <t>Итого прочие машины и механизмы</t>
        </is>
      </c>
      <c r="D24" s="139" t="n"/>
      <c r="E24" s="145" t="n"/>
      <c r="F24" s="14" t="n"/>
      <c r="G24" s="14">
        <f>SUM(G22:G23)</f>
        <v/>
      </c>
      <c r="H24" s="154">
        <f>G24/G25</f>
        <v/>
      </c>
      <c r="I24" s="14" t="n"/>
      <c r="J24" s="14">
        <f>SUM(J22:J23)</f>
        <v/>
      </c>
      <c r="K24" s="184" t="n"/>
      <c r="L24" s="181" t="n"/>
    </row>
    <row r="25" ht="25.5" customFormat="1" customHeight="1" s="95">
      <c r="A25" s="139" t="n"/>
      <c r="B25" s="140" t="n"/>
      <c r="C25" s="148" t="inlineStr">
        <is>
          <t>Итого по разделу «Машины и механизмы»</t>
        </is>
      </c>
      <c r="D25" s="140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48" t="inlineStr">
        <is>
          <t xml:space="preserve">Оборудование </t>
        </is>
      </c>
      <c r="C26" s="185" t="n"/>
      <c r="D26" s="185" t="n"/>
      <c r="E26" s="185" t="n"/>
      <c r="F26" s="185" t="n"/>
      <c r="G26" s="185" t="n"/>
      <c r="H26" s="185" t="n"/>
      <c r="I26" s="185" t="n"/>
      <c r="J26" s="186" t="n"/>
    </row>
    <row r="27" ht="15" customHeight="1" s="100">
      <c r="A27" s="139" t="n"/>
      <c r="B27" s="144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>
      <c r="A28" s="139" t="n">
        <v>7</v>
      </c>
      <c r="B28" s="32" t="inlineStr">
        <is>
          <t>БЦ.1.454</t>
        </is>
      </c>
      <c r="C28" s="144" t="inlineStr">
        <is>
          <t>Выключатель 750 кВ 3150/50 кА</t>
        </is>
      </c>
      <c r="D28" s="139" t="inlineStr">
        <is>
          <t>компл</t>
        </is>
      </c>
      <c r="E28" s="182" t="n">
        <v>4</v>
      </c>
      <c r="F28" s="146">
        <f>ROUND(I28/Прил.10!$D$13,2)</f>
        <v/>
      </c>
      <c r="G28" s="14">
        <f>ROUND(E28*F28,2)</f>
        <v/>
      </c>
      <c r="H28" s="154">
        <f>G28/$G$31</f>
        <v/>
      </c>
      <c r="I28" s="14" t="n">
        <v>102885094.34</v>
      </c>
      <c r="J28" s="14">
        <f>ROUND(I28*E28,2)</f>
        <v/>
      </c>
    </row>
    <row r="29">
      <c r="A29" s="53" t="n"/>
      <c r="B29" s="139" t="n"/>
      <c r="C29" s="144" t="inlineStr">
        <is>
          <t>Итого основное оборудование</t>
        </is>
      </c>
      <c r="D29" s="139" t="n"/>
      <c r="E29" s="182" t="n"/>
      <c r="F29" s="146" t="n"/>
      <c r="G29" s="14">
        <f>SUM(G28:G28)</f>
        <v/>
      </c>
      <c r="H29" s="154">
        <f>G29/$G$31</f>
        <v/>
      </c>
      <c r="I29" s="14" t="n"/>
      <c r="J29" s="14">
        <f>SUM(J28:J28)</f>
        <v/>
      </c>
      <c r="K29" s="184" t="n"/>
    </row>
    <row r="30">
      <c r="A30" s="53" t="n"/>
      <c r="B30" s="139" t="n"/>
      <c r="C30" s="144" t="inlineStr">
        <is>
          <t>Итого прочее оборудование</t>
        </is>
      </c>
      <c r="D30" s="139" t="n"/>
      <c r="E30" s="145" t="n"/>
      <c r="F30" s="146" t="n"/>
      <c r="G30" s="14" t="n">
        <v>0</v>
      </c>
      <c r="H30" s="154">
        <f>G30/$G$31</f>
        <v/>
      </c>
      <c r="I30" s="14" t="n"/>
      <c r="J30" s="14" t="n">
        <v>0</v>
      </c>
      <c r="K30" s="184" t="n"/>
      <c r="L30" s="187" t="n"/>
    </row>
    <row r="31">
      <c r="A31" s="139" t="n"/>
      <c r="B31" s="139" t="n"/>
      <c r="C31" s="153" t="inlineStr">
        <is>
          <t>Итого по разделу «Оборудование»</t>
        </is>
      </c>
      <c r="D31" s="139" t="n"/>
      <c r="E31" s="145" t="n"/>
      <c r="F31" s="146" t="n"/>
      <c r="G31" s="14">
        <f>G29+G30</f>
        <v/>
      </c>
      <c r="H31" s="154">
        <f>(G29+G30)/G31</f>
        <v/>
      </c>
      <c r="I31" s="14" t="n"/>
      <c r="J31" s="14">
        <f>J30+J29</f>
        <v/>
      </c>
      <c r="K31" s="184" t="n"/>
    </row>
    <row r="32" ht="25.5" customHeight="1" s="100">
      <c r="A32" s="139" t="n"/>
      <c r="B32" s="139" t="n"/>
      <c r="C32" s="144" t="inlineStr">
        <is>
          <t>в том числе технологическое оборудование</t>
        </is>
      </c>
      <c r="D32" s="139" t="n"/>
      <c r="E32" s="145" t="n"/>
      <c r="F32" s="146" t="n"/>
      <c r="G32" s="14">
        <f>'Прил.6 Расчет ОБ'!G15</f>
        <v/>
      </c>
      <c r="H32" s="154">
        <f>G32/$G$31</f>
        <v/>
      </c>
      <c r="I32" s="14" t="n"/>
      <c r="J32" s="14">
        <f>ROUND(G32*Прил.10!$D$13,2)</f>
        <v/>
      </c>
      <c r="K32" s="184" t="n"/>
    </row>
    <row r="33" ht="14.25" customFormat="1" customHeight="1" s="95">
      <c r="A33" s="141" t="n"/>
      <c r="B33" s="188" t="inlineStr">
        <is>
          <t>Материалы</t>
        </is>
      </c>
      <c r="J33" s="189" t="n"/>
      <c r="K33" s="184" t="n"/>
    </row>
    <row r="34" ht="14.25" customFormat="1" customHeight="1" s="95">
      <c r="A34" s="139" t="n"/>
      <c r="B34" s="144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54" t="n"/>
      <c r="J34" s="154" t="n"/>
    </row>
    <row r="35" ht="25.5" customFormat="1" customHeight="1" s="95">
      <c r="A35" s="139" t="n">
        <v>8</v>
      </c>
      <c r="B35" s="32" t="inlineStr">
        <is>
          <t>01.3.01.07-0009</t>
        </is>
      </c>
      <c r="C35" s="144" t="inlineStr">
        <is>
          <t>Спирт этиловый ректификованный технический, сорт I</t>
        </is>
      </c>
      <c r="D35" s="139" t="inlineStr">
        <is>
          <t>кг</t>
        </is>
      </c>
      <c r="E35" s="182" t="n">
        <v>131.2</v>
      </c>
      <c r="F35" s="158" t="n">
        <v>38.89</v>
      </c>
      <c r="G35" s="14">
        <f>ROUND(E35*F35,2)</f>
        <v/>
      </c>
      <c r="H35" s="154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5">
      <c r="A36" s="139" t="n">
        <v>9</v>
      </c>
      <c r="B36" s="32" t="inlineStr">
        <is>
          <t>01.7.20.08-0031</t>
        </is>
      </c>
      <c r="C36" s="144" t="inlineStr">
        <is>
          <t>Бязь суровая</t>
        </is>
      </c>
      <c r="D36" s="139" t="inlineStr">
        <is>
          <t>10 м2</t>
        </is>
      </c>
      <c r="E36" s="182" t="n">
        <v>32.56</v>
      </c>
      <c r="F36" s="158" t="n">
        <v>79.09999999999999</v>
      </c>
      <c r="G36" s="14">
        <f>ROUND(E36*F36,2)</f>
        <v/>
      </c>
      <c r="H36" s="154">
        <f>G36/$G$53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5">
      <c r="A37" s="139" t="n">
        <v>10</v>
      </c>
      <c r="B37" s="32" t="inlineStr">
        <is>
          <t>999-9950</t>
        </is>
      </c>
      <c r="C37" s="144" t="inlineStr">
        <is>
          <t>Вспомогательные ненормируемые ресурсы (2% от Оплаты труда рабочих)</t>
        </is>
      </c>
      <c r="D37" s="139" t="inlineStr">
        <is>
          <t>руб</t>
        </is>
      </c>
      <c r="E37" s="182" t="n">
        <v>1515.36</v>
      </c>
      <c r="F37" s="158" t="n">
        <v>1</v>
      </c>
      <c r="G37" s="14">
        <f>ROUND(E37*F37,2)</f>
        <v/>
      </c>
      <c r="H37" s="154">
        <f>G37/$G$53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5">
      <c r="A38" s="139" t="n">
        <v>11</v>
      </c>
      <c r="B38" s="32" t="inlineStr">
        <is>
          <t>01.7.15.03-0042</t>
        </is>
      </c>
      <c r="C38" s="144" t="inlineStr">
        <is>
          <t>Болты с гайками и шайбами строительные</t>
        </is>
      </c>
      <c r="D38" s="139" t="inlineStr">
        <is>
          <t>кг</t>
        </is>
      </c>
      <c r="E38" s="182" t="n">
        <v>158.4</v>
      </c>
      <c r="F38" s="158" t="n">
        <v>9.039999999999999</v>
      </c>
      <c r="G38" s="14">
        <f>ROUND(E38*F38,2)</f>
        <v/>
      </c>
      <c r="H38" s="154">
        <f>G38/$G$53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5">
      <c r="A39" s="139" t="n">
        <v>12</v>
      </c>
      <c r="B39" s="32" t="inlineStr">
        <is>
          <t>01.7.17.11-0001</t>
        </is>
      </c>
      <c r="C39" s="144" t="inlineStr">
        <is>
          <t>Бумага шлифовальная</t>
        </is>
      </c>
      <c r="D39" s="139" t="inlineStr">
        <is>
          <t>кг</t>
        </is>
      </c>
      <c r="E39" s="182" t="n">
        <v>16</v>
      </c>
      <c r="F39" s="158" t="n">
        <v>50</v>
      </c>
      <c r="G39" s="14">
        <f>ROUND(E39*F39,2)</f>
        <v/>
      </c>
      <c r="H39" s="154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5">
      <c r="B40" s="139" t="n"/>
      <c r="C40" s="144" t="inlineStr">
        <is>
          <t>Итого основные материалы</t>
        </is>
      </c>
      <c r="D40" s="139" t="n"/>
      <c r="E40" s="182" t="n"/>
      <c r="F40" s="146" t="n"/>
      <c r="G40" s="14">
        <f>SUM(G35:G39)</f>
        <v/>
      </c>
      <c r="H40" s="154">
        <f>G40/$G$53</f>
        <v/>
      </c>
      <c r="I40" s="14" t="n"/>
      <c r="J40" s="14">
        <f>SUM(J35:J39)</f>
        <v/>
      </c>
      <c r="K40" s="184" t="n"/>
    </row>
    <row r="41" hidden="1" outlineLevel="1" ht="38.25" customFormat="1" customHeight="1" s="95">
      <c r="A41" s="139" t="n">
        <v>13</v>
      </c>
      <c r="B41" s="48" t="inlineStr">
        <is>
          <t>11.1.03.06-0021</t>
        </is>
      </c>
      <c r="C41" s="144" t="inlineStr">
        <is>
          <t>Доска обрезная, лиственных пород (береза, липа), длина 4-6,5 м, все ширины, толщина 19-22 мм, сорт II</t>
        </is>
      </c>
      <c r="D41" s="139" t="inlineStr">
        <is>
          <t>м3</t>
        </is>
      </c>
      <c r="E41" s="182" t="n">
        <v>0.128</v>
      </c>
      <c r="F41" s="158" t="n">
        <v>1784</v>
      </c>
      <c r="G41" s="14">
        <f>ROUND(F41*E41,2)</f>
        <v/>
      </c>
      <c r="H41" s="154">
        <f>G41/$G$53</f>
        <v/>
      </c>
      <c r="I41" s="14">
        <f>ROUND(F41*Прил.10!$D$12,2)</f>
        <v/>
      </c>
      <c r="J41" s="14">
        <f>ROUND(I41*E41,2)</f>
        <v/>
      </c>
    </row>
    <row r="42" hidden="1" outlineLevel="1" ht="38.25" customFormat="1" customHeight="1" s="95">
      <c r="A42" s="139" t="n">
        <v>14</v>
      </c>
      <c r="B42" s="32" t="inlineStr">
        <is>
          <t>08.3.07.01-0076</t>
        </is>
      </c>
      <c r="C42" s="144" t="inlineStr">
        <is>
          <t>Прокат полосовой, горячекатаный, марка стали Ст3сп, ширина 50-200 мм, толщина 4-5 мм</t>
        </is>
      </c>
      <c r="D42" s="139" t="inlineStr">
        <is>
          <t>т</t>
        </is>
      </c>
      <c r="E42" s="182" t="n">
        <v>0.044</v>
      </c>
      <c r="F42" s="158" t="n">
        <v>5000</v>
      </c>
      <c r="G42" s="14">
        <f>ROUND(F42*E42,2)</f>
        <v/>
      </c>
      <c r="H42" s="154">
        <f>G42/$G$53</f>
        <v/>
      </c>
      <c r="I42" s="14">
        <f>ROUND(F42*Прил.10!$D$12,2)</f>
        <v/>
      </c>
      <c r="J42" s="14">
        <f>ROUND(I42*E42,2)</f>
        <v/>
      </c>
    </row>
    <row r="43" hidden="1" outlineLevel="1" ht="25.5" customFormat="1" customHeight="1" s="95">
      <c r="A43" s="139" t="n">
        <v>15</v>
      </c>
      <c r="B43" s="32" t="inlineStr">
        <is>
          <t>01.7.07.12-0022</t>
        </is>
      </c>
      <c r="C43" s="144" t="inlineStr">
        <is>
          <t>Пленка полиэтиленовая, толщина 0,2-0,5 мм</t>
        </is>
      </c>
      <c r="D43" s="139" t="inlineStr">
        <is>
          <t>м2</t>
        </is>
      </c>
      <c r="E43" s="182" t="n">
        <v>16.352</v>
      </c>
      <c r="F43" s="158" t="n">
        <v>12.19</v>
      </c>
      <c r="G43" s="14">
        <f>ROUND(F43*E43,2)</f>
        <v/>
      </c>
      <c r="H43" s="154">
        <f>G43/$G$53</f>
        <v/>
      </c>
      <c r="I43" s="14">
        <f>ROUND(F43*Прил.10!$D$12,2)</f>
        <v/>
      </c>
      <c r="J43" s="14">
        <f>ROUND(I43*E43,2)</f>
        <v/>
      </c>
    </row>
    <row r="44" hidden="1" outlineLevel="1" ht="38.25" customFormat="1" customHeight="1" s="95">
      <c r="A44" s="139" t="n">
        <v>16</v>
      </c>
      <c r="B44" s="32" t="inlineStr">
        <is>
          <t>10.2.02.07-0109</t>
        </is>
      </c>
      <c r="C44" s="144" t="inlineStr">
        <is>
          <t>Проволока латунная, круглая, твердая, нормальной точности, марка Л68, диаметр 0,50 мм</t>
        </is>
      </c>
      <c r="D44" s="139" t="inlineStr">
        <is>
          <t>т</t>
        </is>
      </c>
      <c r="E44" s="182" t="n">
        <v>0.0032</v>
      </c>
      <c r="F44" s="158" t="n">
        <v>62000</v>
      </c>
      <c r="G44" s="14">
        <f>ROUND(F44*E44,2)</f>
        <v/>
      </c>
      <c r="H44" s="154">
        <f>G44/$G$53</f>
        <v/>
      </c>
      <c r="I44" s="14">
        <f>ROUND(F44*Прил.10!$D$12,2)</f>
        <v/>
      </c>
      <c r="J44" s="14">
        <f>ROUND(I44*E44,2)</f>
        <v/>
      </c>
    </row>
    <row r="45" hidden="1" outlineLevel="1" ht="25.5" customFormat="1" customHeight="1" s="95">
      <c r="A45" s="139" t="n">
        <v>17</v>
      </c>
      <c r="B45" s="32" t="inlineStr">
        <is>
          <t>01.3.01.06-0050</t>
        </is>
      </c>
      <c r="C45" s="144" t="inlineStr">
        <is>
          <t>Смазка универсальная тугоплавкая УТ (консталин жировой)</t>
        </is>
      </c>
      <c r="D45" s="139" t="inlineStr">
        <is>
          <t>т</t>
        </is>
      </c>
      <c r="E45" s="182" t="n">
        <v>0.008</v>
      </c>
      <c r="F45" s="158" t="n">
        <v>17500</v>
      </c>
      <c r="G45" s="14">
        <f>ROUND(F45*E45,2)</f>
        <v/>
      </c>
      <c r="H45" s="154">
        <f>G45/$G$53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5">
      <c r="A46" s="139" t="n">
        <v>18</v>
      </c>
      <c r="B46" s="32" t="inlineStr">
        <is>
          <t>01.7.11.07-0034</t>
        </is>
      </c>
      <c r="C46" s="144" t="inlineStr">
        <is>
          <t>Электроды сварочные Э42А, диаметр 4 мм</t>
        </is>
      </c>
      <c r="D46" s="139" t="inlineStr">
        <is>
          <t>кг</t>
        </is>
      </c>
      <c r="E46" s="182" t="n">
        <v>6</v>
      </c>
      <c r="F46" s="158" t="n">
        <v>10.57</v>
      </c>
      <c r="G46" s="14">
        <f>ROUND(F46*E46,2)</f>
        <v/>
      </c>
      <c r="H46" s="154">
        <f>G46/$G$53</f>
        <v/>
      </c>
      <c r="I46" s="14">
        <f>ROUND(F46*Прил.10!$D$12,2)</f>
        <v/>
      </c>
      <c r="J46" s="14">
        <f>ROUND(I46*E46,2)</f>
        <v/>
      </c>
    </row>
    <row r="47" hidden="1" outlineLevel="1" ht="25.5" customFormat="1" customHeight="1" s="95">
      <c r="A47" s="139" t="n">
        <v>19</v>
      </c>
      <c r="B47" s="32" t="inlineStr">
        <is>
          <t>01.7.15.06-0121</t>
        </is>
      </c>
      <c r="C47" s="144" t="inlineStr">
        <is>
          <t>Гвозди строительные с плоской головкой, размер 1,6х50 мм</t>
        </is>
      </c>
      <c r="D47" s="139" t="inlineStr">
        <is>
          <t>т</t>
        </is>
      </c>
      <c r="E47" s="182" t="n">
        <v>0.006</v>
      </c>
      <c r="F47" s="158" t="n">
        <v>8475</v>
      </c>
      <c r="G47" s="14">
        <f>ROUND(F47*E47,2)</f>
        <v/>
      </c>
      <c r="H47" s="154">
        <f>G47/$G$53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95">
      <c r="A48" s="139" t="n">
        <v>20</v>
      </c>
      <c r="B48" s="32" t="inlineStr">
        <is>
          <t>01.3.02.09-0022</t>
        </is>
      </c>
      <c r="C48" s="144" t="inlineStr">
        <is>
          <t>Пропан-бутан смесь техническая</t>
        </is>
      </c>
      <c r="D48" s="139" t="inlineStr">
        <is>
          <t>кг</t>
        </is>
      </c>
      <c r="E48" s="182" t="n">
        <v>8</v>
      </c>
      <c r="F48" s="158" t="n">
        <v>6.09</v>
      </c>
      <c r="G48" s="14">
        <f>ROUND(F48*E48,2)</f>
        <v/>
      </c>
      <c r="H48" s="154">
        <f>G48/$G$53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95">
      <c r="A49" s="139" t="n">
        <v>21</v>
      </c>
      <c r="B49" s="32" t="inlineStr">
        <is>
          <t>14.4.02.09-0001</t>
        </is>
      </c>
      <c r="C49" s="144" t="inlineStr">
        <is>
          <t>Краска</t>
        </is>
      </c>
      <c r="D49" s="139" t="inlineStr">
        <is>
          <t>кг</t>
        </is>
      </c>
      <c r="E49" s="182" t="n">
        <v>1.44</v>
      </c>
      <c r="F49" s="158" t="n">
        <v>28.6</v>
      </c>
      <c r="G49" s="14">
        <f>ROUND(F49*E49,2)</f>
        <v/>
      </c>
      <c r="H49" s="154">
        <f>G49/$G$53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5">
      <c r="A50" s="139" t="n">
        <v>22</v>
      </c>
      <c r="B50" s="32" t="inlineStr">
        <is>
          <t>01.3.02.08-0001</t>
        </is>
      </c>
      <c r="C50" s="144" t="inlineStr">
        <is>
          <t>Кислород газообразный технический</t>
        </is>
      </c>
      <c r="D50" s="139" t="inlineStr">
        <is>
          <t>м3</t>
        </is>
      </c>
      <c r="E50" s="182" t="n">
        <v>6</v>
      </c>
      <c r="F50" s="158" t="n">
        <v>6.22</v>
      </c>
      <c r="G50" s="14">
        <f>ROUND(F50*E50,2)</f>
        <v/>
      </c>
      <c r="H50" s="154">
        <f>G50/$G$53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95">
      <c r="A51" s="139" t="n">
        <v>23</v>
      </c>
      <c r="B51" s="32" t="inlineStr">
        <is>
          <t>01.7.02.09-0002</t>
        </is>
      </c>
      <c r="C51" s="144" t="inlineStr">
        <is>
          <t>Шпагат бумажный</t>
        </is>
      </c>
      <c r="D51" s="139" t="inlineStr">
        <is>
          <t>кг</t>
        </is>
      </c>
      <c r="E51" s="182" t="n">
        <v>0.04</v>
      </c>
      <c r="F51" s="158" t="n">
        <v>11.5</v>
      </c>
      <c r="G51" s="14">
        <f>ROUND(F51*E51,2)</f>
        <v/>
      </c>
      <c r="H51" s="154">
        <f>G51/$G$53</f>
        <v/>
      </c>
      <c r="I51" s="14">
        <f>ROUND(F51*Прил.10!$D$12,2)</f>
        <v/>
      </c>
      <c r="J51" s="14">
        <f>ROUND(I51*E51,2)</f>
        <v/>
      </c>
    </row>
    <row r="52" collapsed="1" customFormat="1" s="95">
      <c r="A52" s="139" t="n"/>
      <c r="B52" s="139" t="n"/>
      <c r="C52" s="144" t="inlineStr">
        <is>
          <t>Итого прочие материалы</t>
        </is>
      </c>
      <c r="D52" s="139" t="n"/>
      <c r="E52" s="145" t="n"/>
      <c r="F52" s="146" t="n"/>
      <c r="G52" s="14">
        <f>SUM(G41:G51)</f>
        <v/>
      </c>
      <c r="H52" s="154">
        <f>G52/G53</f>
        <v/>
      </c>
      <c r="I52" s="14" t="n"/>
      <c r="J52" s="14">
        <f>SUM(J41:J51)</f>
        <v/>
      </c>
      <c r="L52" s="187" t="n"/>
    </row>
    <row r="53" ht="14.25" customFormat="1" customHeight="1" s="95">
      <c r="A53" s="139" t="n"/>
      <c r="B53" s="139" t="n"/>
      <c r="C53" s="153" t="inlineStr">
        <is>
          <t>Итого по разделу «Материалы»</t>
        </is>
      </c>
      <c r="D53" s="139" t="n"/>
      <c r="E53" s="145" t="n"/>
      <c r="F53" s="146" t="n"/>
      <c r="G53" s="14">
        <f>G40+G52</f>
        <v/>
      </c>
      <c r="H53" s="154" t="n">
        <v>1</v>
      </c>
      <c r="I53" s="146" t="n"/>
      <c r="J53" s="14">
        <f>J40+J52</f>
        <v/>
      </c>
      <c r="K53" s="184" t="n"/>
    </row>
    <row r="54" ht="14.25" customFormat="1" customHeight="1" s="95">
      <c r="A54" s="139" t="n"/>
      <c r="B54" s="139" t="n"/>
      <c r="C54" s="144" t="inlineStr">
        <is>
          <t>ИТОГО ПО РМ</t>
        </is>
      </c>
      <c r="D54" s="139" t="n"/>
      <c r="E54" s="145" t="n"/>
      <c r="F54" s="146" t="n"/>
      <c r="G54" s="14">
        <f>G14+G25+G53</f>
        <v/>
      </c>
      <c r="H54" s="154" t="n"/>
      <c r="I54" s="146" t="n"/>
      <c r="J54" s="14">
        <f>J14+J25+J53</f>
        <v/>
      </c>
    </row>
    <row r="55" ht="14.25" customFormat="1" customHeight="1" s="95">
      <c r="A55" s="139" t="n"/>
      <c r="B55" s="139" t="n"/>
      <c r="C55" s="144" t="inlineStr">
        <is>
          <t>Накладные расходы</t>
        </is>
      </c>
      <c r="D55" s="139" t="inlineStr">
        <is>
          <t>%</t>
        </is>
      </c>
      <c r="E55" s="40">
        <f>ROUND(G55/(G14+G16),2)</f>
        <v/>
      </c>
      <c r="F55" s="146" t="n"/>
      <c r="G55" s="14" t="n">
        <v>161434.46</v>
      </c>
      <c r="H55" s="154" t="n"/>
      <c r="I55" s="146" t="n"/>
      <c r="J55" s="14">
        <f>ROUND(E55*(J14+J16),2)</f>
        <v/>
      </c>
      <c r="K55" s="41" t="n"/>
    </row>
    <row r="56" ht="14.25" customFormat="1" customHeight="1" s="95">
      <c r="A56" s="139" t="n"/>
      <c r="B56" s="139" t="n"/>
      <c r="C56" s="144" t="inlineStr">
        <is>
          <t>Сметная прибыль</t>
        </is>
      </c>
      <c r="D56" s="139" t="inlineStr">
        <is>
          <t>%</t>
        </is>
      </c>
      <c r="E56" s="40">
        <f>ROUND(G56/(G14+G16),2)</f>
        <v/>
      </c>
      <c r="F56" s="146" t="n"/>
      <c r="G56" s="14" t="n">
        <v>84877.91</v>
      </c>
      <c r="H56" s="154" t="n"/>
      <c r="I56" s="146" t="n"/>
      <c r="J56" s="14">
        <f>ROUND(E56*(J14+J16),2)</f>
        <v/>
      </c>
      <c r="K56" s="41" t="n"/>
    </row>
    <row r="57" ht="14.25" customFormat="1" customHeight="1" s="95">
      <c r="A57" s="139" t="n"/>
      <c r="B57" s="139" t="n"/>
      <c r="C57" s="144" t="inlineStr">
        <is>
          <t>Итого СМР (с НР и СП)</t>
        </is>
      </c>
      <c r="D57" s="139" t="n"/>
      <c r="E57" s="145" t="n"/>
      <c r="F57" s="146" t="n"/>
      <c r="G57" s="14">
        <f>G14+G25+G53+G55+G56</f>
        <v/>
      </c>
      <c r="H57" s="154" t="n"/>
      <c r="I57" s="146" t="n"/>
      <c r="J57" s="14">
        <f>J14+J25+J53+J55+J56</f>
        <v/>
      </c>
      <c r="L57" s="42" t="n"/>
    </row>
    <row r="58" ht="14.25" customFormat="1" customHeight="1" s="95">
      <c r="A58" s="139" t="n"/>
      <c r="B58" s="139" t="n"/>
      <c r="C58" s="144" t="inlineStr">
        <is>
          <t>ВСЕГО СМР + ОБОРУДОВАНИЕ</t>
        </is>
      </c>
      <c r="D58" s="139" t="n"/>
      <c r="E58" s="145" t="n"/>
      <c r="F58" s="146" t="n"/>
      <c r="G58" s="14">
        <f>G57+G31</f>
        <v/>
      </c>
      <c r="H58" s="154" t="n"/>
      <c r="I58" s="146" t="n"/>
      <c r="J58" s="14">
        <f>J57+J31</f>
        <v/>
      </c>
      <c r="L58" s="41" t="n"/>
    </row>
    <row r="59" ht="14.25" customFormat="1" customHeight="1" s="95">
      <c r="A59" s="139" t="n"/>
      <c r="B59" s="139" t="n"/>
      <c r="C59" s="144" t="inlineStr">
        <is>
          <t>ИТОГО ПОКАЗАТЕЛЬ НА ЕД. ИЗМ.</t>
        </is>
      </c>
      <c r="D59" s="139" t="inlineStr">
        <is>
          <t>ед.</t>
        </is>
      </c>
      <c r="E59" s="43">
        <f>'Прил.1 Сравнит табл'!D15</f>
        <v/>
      </c>
      <c r="F59" s="146" t="n"/>
      <c r="G59" s="14">
        <f>G58/E59</f>
        <v/>
      </c>
      <c r="H59" s="154" t="n"/>
      <c r="I59" s="146" t="n"/>
      <c r="J59" s="14">
        <f>J58/E59</f>
        <v/>
      </c>
      <c r="L59" s="181" t="n"/>
    </row>
    <row r="61" ht="14.25" customFormat="1" customHeight="1" s="95">
      <c r="A61" s="96" t="n"/>
    </row>
    <row r="62" ht="14.25" customFormat="1" customHeight="1" s="95">
      <c r="A62" s="94" t="inlineStr">
        <is>
          <t>Составил ______________________        Е.А. Князева</t>
        </is>
      </c>
    </row>
    <row r="63" ht="14.25" customFormat="1" customHeight="1" s="95">
      <c r="A63" s="97" t="inlineStr">
        <is>
          <t xml:space="preserve">                         (подпись, инициалы, фамилия)</t>
        </is>
      </c>
    </row>
    <row r="64" ht="14.25" customFormat="1" customHeight="1" s="95">
      <c r="A64" s="94" t="n"/>
    </row>
    <row r="65" ht="14.25" customFormat="1" customHeight="1" s="95">
      <c r="A65" s="94" t="inlineStr">
        <is>
          <t>Проверил ______________________        А.В. Костянецкая</t>
        </is>
      </c>
    </row>
    <row r="66" ht="14.25" customFormat="1" customHeight="1" s="95">
      <c r="A66" s="97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100" min="1" max="1"/>
    <col width="14.85546875" customWidth="1" style="100" min="2" max="2"/>
    <col width="39.140625" customWidth="1" style="100" min="3" max="3"/>
    <col width="8.28515625" customWidth="1" style="100" min="4" max="4"/>
    <col width="13.5703125" customWidth="1" style="100" min="5" max="5"/>
    <col width="12.42578125" customWidth="1" style="100" min="6" max="6"/>
    <col width="14.140625" customWidth="1" style="100" min="7" max="7"/>
  </cols>
  <sheetData>
    <row r="1">
      <c r="A1" s="159" t="inlineStr">
        <is>
          <t>Приложение №6</t>
        </is>
      </c>
    </row>
    <row r="2">
      <c r="A2" s="159" t="n"/>
      <c r="B2" s="159" t="n"/>
      <c r="C2" s="159" t="n"/>
      <c r="D2" s="159" t="n"/>
      <c r="E2" s="159" t="n"/>
      <c r="F2" s="159" t="n"/>
      <c r="G2" s="159" t="n"/>
    </row>
    <row r="3">
      <c r="A3" s="159" t="n"/>
      <c r="B3" s="159" t="n"/>
      <c r="C3" s="159" t="n"/>
      <c r="D3" s="159" t="n"/>
      <c r="E3" s="159" t="n"/>
      <c r="F3" s="159" t="n"/>
      <c r="G3" s="159" t="n"/>
    </row>
    <row r="4">
      <c r="A4" s="159" t="n"/>
      <c r="B4" s="159" t="n"/>
      <c r="C4" s="159" t="n"/>
      <c r="D4" s="159" t="n"/>
      <c r="E4" s="159" t="n"/>
      <c r="F4" s="159" t="n"/>
      <c r="G4" s="159" t="n"/>
    </row>
    <row r="5">
      <c r="A5" s="136" t="inlineStr">
        <is>
          <t>Расчет стоимости оборудования</t>
        </is>
      </c>
    </row>
    <row r="6" ht="64.5" customHeight="1" s="100">
      <c r="A6" s="123">
        <f>'Прил.1 Сравнит табл'!B7</f>
        <v/>
      </c>
    </row>
    <row r="7">
      <c r="A7" s="94" t="n"/>
      <c r="B7" s="94" t="n"/>
      <c r="C7" s="94" t="n"/>
      <c r="D7" s="94" t="n"/>
      <c r="E7" s="94" t="n"/>
      <c r="F7" s="94" t="n"/>
      <c r="G7" s="94" t="n"/>
    </row>
    <row r="8" ht="30" customHeight="1" s="100">
      <c r="A8" s="160" t="inlineStr">
        <is>
          <t>№ пп.</t>
        </is>
      </c>
      <c r="B8" s="160" t="inlineStr">
        <is>
          <t>Код ресурса</t>
        </is>
      </c>
      <c r="C8" s="160" t="inlineStr">
        <is>
          <t>Наименование</t>
        </is>
      </c>
      <c r="D8" s="160" t="inlineStr">
        <is>
          <t>Ед. изм.</t>
        </is>
      </c>
      <c r="E8" s="139" t="inlineStr">
        <is>
          <t>Кол-во единиц по проектным данным</t>
        </is>
      </c>
      <c r="F8" s="160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39" t="inlineStr">
        <is>
          <t>на ед. изм.</t>
        </is>
      </c>
      <c r="G9" s="139" t="inlineStr">
        <is>
          <t>общая</t>
        </is>
      </c>
    </row>
    <row r="10">
      <c r="A10" s="139" t="n">
        <v>1</v>
      </c>
      <c r="B10" s="139" t="n">
        <v>2</v>
      </c>
      <c r="C10" s="139" t="n">
        <v>3</v>
      </c>
      <c r="D10" s="139" t="n">
        <v>4</v>
      </c>
      <c r="E10" s="139" t="n">
        <v>5</v>
      </c>
      <c r="F10" s="139" t="n">
        <v>6</v>
      </c>
      <c r="G10" s="139" t="n">
        <v>7</v>
      </c>
    </row>
    <row r="11" ht="15" customHeight="1" s="100">
      <c r="A11" s="7" t="n"/>
      <c r="B11" s="144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 s="100">
      <c r="A12" s="139" t="n"/>
      <c r="B12" s="153" t="n"/>
      <c r="C12" s="144" t="inlineStr">
        <is>
          <t>ИТОГО ИНЖЕНЕРНОЕ ОБОРУДОВАНИЕ</t>
        </is>
      </c>
      <c r="D12" s="153" t="n"/>
      <c r="E12" s="8" t="n"/>
      <c r="F12" s="146" t="n"/>
      <c r="G12" s="146" t="n">
        <v>0</v>
      </c>
    </row>
    <row r="13">
      <c r="A13" s="139" t="n"/>
      <c r="B13" s="144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>
      <c r="A14" s="139" t="n">
        <v>1</v>
      </c>
      <c r="B14" s="43">
        <f>'Прил.5 Расчет СМР и ОБ'!B28</f>
        <v/>
      </c>
      <c r="C14" s="80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0">
      <c r="A15" s="13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6" t="n"/>
      <c r="G15" s="14">
        <f>SUM(G14:G14)</f>
        <v/>
      </c>
    </row>
    <row r="16" ht="19.5" customHeight="1" s="100">
      <c r="A16" s="139" t="n"/>
      <c r="B16" s="144" t="n"/>
      <c r="C16" s="144" t="inlineStr">
        <is>
          <t>Всего по разделу «Оборудование»</t>
        </is>
      </c>
      <c r="D16" s="144" t="n"/>
      <c r="E16" s="158" t="n"/>
      <c r="F16" s="146" t="n"/>
      <c r="G16" s="14">
        <f>G12+G15</f>
        <v/>
      </c>
    </row>
    <row r="17">
      <c r="A17" s="96" t="n"/>
      <c r="B17" s="11" t="n"/>
      <c r="C17" s="96" t="n"/>
      <c r="D17" s="96" t="n"/>
      <c r="E17" s="96" t="n"/>
      <c r="F17" s="96" t="n"/>
      <c r="G17" s="96" t="n"/>
    </row>
    <row r="18">
      <c r="A18" s="94" t="inlineStr">
        <is>
          <t>Составил ______________________        Е.А. Князева</t>
        </is>
      </c>
      <c r="B18" s="95" t="n"/>
      <c r="C18" s="95" t="n"/>
      <c r="D18" s="96" t="n"/>
      <c r="E18" s="96" t="n"/>
      <c r="F18" s="96" t="n"/>
      <c r="G18" s="96" t="n"/>
    </row>
    <row r="19">
      <c r="A19" s="97" t="inlineStr">
        <is>
          <t xml:space="preserve">                         (подпись, инициалы, фамилия)</t>
        </is>
      </c>
      <c r="B19" s="95" t="n"/>
      <c r="C19" s="95" t="n"/>
      <c r="D19" s="96" t="n"/>
      <c r="E19" s="96" t="n"/>
      <c r="F19" s="96" t="n"/>
      <c r="G19" s="96" t="n"/>
    </row>
    <row r="20">
      <c r="A20" s="94" t="n"/>
      <c r="B20" s="95" t="n"/>
      <c r="C20" s="95" t="n"/>
      <c r="D20" s="96" t="n"/>
      <c r="E20" s="96" t="n"/>
      <c r="F20" s="96" t="n"/>
      <c r="G20" s="96" t="n"/>
    </row>
    <row r="21">
      <c r="A21" s="94" t="inlineStr">
        <is>
          <t>Проверил ______________________        А.В. Костянецкая</t>
        </is>
      </c>
      <c r="B21" s="95" t="n"/>
      <c r="C21" s="95" t="n"/>
      <c r="D21" s="96" t="n"/>
      <c r="E21" s="96" t="n"/>
      <c r="F21" s="96" t="n"/>
      <c r="G21" s="96" t="n"/>
    </row>
    <row r="22">
      <c r="A22" s="97" t="inlineStr">
        <is>
          <t xml:space="preserve">                        (подпись, инициалы, фамилия)</t>
        </is>
      </c>
      <c r="B22" s="95" t="n"/>
      <c r="C22" s="95" t="n"/>
      <c r="D22" s="96" t="n"/>
      <c r="E22" s="96" t="n"/>
      <c r="F22" s="96" t="n"/>
      <c r="G22" s="96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RowHeight="15"/>
  <cols>
    <col width="12.7109375" customWidth="1" style="100" min="1" max="1"/>
    <col width="22.42578125" customWidth="1" style="100" min="2" max="2"/>
    <col width="37.140625" customWidth="1" style="100" min="3" max="3"/>
    <col width="49" customWidth="1" style="100" min="4" max="4"/>
    <col width="9.140625" customWidth="1" style="100" min="5" max="5"/>
  </cols>
  <sheetData>
    <row r="1" ht="15.75" customHeight="1" s="100">
      <c r="A1" s="102" t="n"/>
      <c r="B1" s="102" t="n"/>
      <c r="C1" s="102" t="n"/>
      <c r="D1" s="102" t="inlineStr">
        <is>
          <t>Приложение №7</t>
        </is>
      </c>
    </row>
    <row r="2" ht="15.75" customHeight="1" s="100">
      <c r="A2" s="102" t="n"/>
      <c r="B2" s="102" t="n"/>
      <c r="C2" s="102" t="n"/>
      <c r="D2" s="102" t="n"/>
    </row>
    <row r="3" ht="15.75" customHeight="1" s="100">
      <c r="A3" s="102" t="n"/>
      <c r="B3" s="89" t="inlineStr">
        <is>
          <t>Расчет показателя УНЦ</t>
        </is>
      </c>
      <c r="C3" s="102" t="n"/>
      <c r="D3" s="102" t="n"/>
    </row>
    <row r="4" ht="15.75" customHeight="1" s="100">
      <c r="A4" s="102" t="n"/>
      <c r="B4" s="102" t="n"/>
      <c r="C4" s="102" t="n"/>
      <c r="D4" s="102" t="n"/>
    </row>
    <row r="5" ht="47.25" customHeight="1" s="100">
      <c r="A5" s="161" t="inlineStr">
        <is>
          <t xml:space="preserve">Наименование разрабатываемого показателя УНЦ - </t>
        </is>
      </c>
      <c r="D5" s="161">
        <f>'Прил.5 Расчет СМР и ОБ'!D6:J6</f>
        <v/>
      </c>
    </row>
    <row r="6" ht="15.75" customHeight="1" s="100">
      <c r="A6" s="102" t="inlineStr">
        <is>
          <t>Единица измерения  — 1 ед</t>
        </is>
      </c>
      <c r="B6" s="102" t="n"/>
      <c r="C6" s="102" t="n"/>
      <c r="D6" s="102" t="n"/>
    </row>
    <row r="7" ht="15.75" customHeight="1" s="100">
      <c r="A7" s="102" t="n"/>
      <c r="B7" s="102" t="n"/>
      <c r="C7" s="102" t="n"/>
      <c r="D7" s="102" t="n"/>
    </row>
    <row r="8">
      <c r="A8" s="127" t="inlineStr">
        <is>
          <t>Код показателя</t>
        </is>
      </c>
      <c r="B8" s="127" t="inlineStr">
        <is>
          <t>Наименование показателя</t>
        </is>
      </c>
      <c r="C8" s="127" t="inlineStr">
        <is>
          <t>Наименование РМ, входящих в состав показателя</t>
        </is>
      </c>
      <c r="D8" s="127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 s="100">
      <c r="A10" s="127" t="n">
        <v>1</v>
      </c>
      <c r="B10" s="127" t="n">
        <v>2</v>
      </c>
      <c r="C10" s="127" t="n">
        <v>3</v>
      </c>
      <c r="D10" s="127" t="n">
        <v>4</v>
      </c>
    </row>
    <row r="11" ht="63" customHeight="1" s="100">
      <c r="A11" s="127" t="inlineStr">
        <is>
          <t>И6-08-2</t>
        </is>
      </c>
      <c r="B11" s="127" t="inlineStr">
        <is>
          <t xml:space="preserve">УНЦ выключателя 110 - 750 кВ без устройства фундаментов </t>
        </is>
      </c>
      <c r="C11" s="92">
        <f>D5</f>
        <v/>
      </c>
      <c r="D11" s="108">
        <f>'Прил.4 РМ'!C41/1000</f>
        <v/>
      </c>
    </row>
    <row r="13">
      <c r="A13" s="94" t="inlineStr">
        <is>
          <t>Составил ______________________        Е.А. Князева</t>
        </is>
      </c>
      <c r="B13" s="95" t="n"/>
      <c r="C13" s="95" t="n"/>
      <c r="D13" s="96" t="n"/>
    </row>
    <row r="14">
      <c r="A14" s="97" t="inlineStr">
        <is>
          <t xml:space="preserve">                         (подпись, инициалы, фамилия)</t>
        </is>
      </c>
      <c r="B14" s="95" t="n"/>
      <c r="C14" s="95" t="n"/>
      <c r="D14" s="96" t="n"/>
    </row>
    <row r="15">
      <c r="A15" s="94" t="n"/>
      <c r="B15" s="95" t="n"/>
      <c r="C15" s="95" t="n"/>
      <c r="D15" s="96" t="n"/>
    </row>
    <row r="16">
      <c r="A16" s="94" t="inlineStr">
        <is>
          <t>Проверил ______________________        А.В. Костянецкая</t>
        </is>
      </c>
      <c r="B16" s="95" t="n"/>
      <c r="C16" s="95" t="n"/>
      <c r="D16" s="96" t="n"/>
    </row>
    <row r="17" ht="20.25" customHeight="1" s="100">
      <c r="A17" s="97" t="inlineStr">
        <is>
          <t xml:space="preserve">                        (подпись, инициалы, фамилия)</t>
        </is>
      </c>
      <c r="B17" s="95" t="n"/>
      <c r="C17" s="95" t="n"/>
      <c r="D17" s="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C24" sqref="C24"/>
    </sheetView>
  </sheetViews>
  <sheetFormatPr baseColWidth="8" defaultRowHeight="15"/>
  <cols>
    <col width="40.7109375" customWidth="1" style="100" min="2" max="2"/>
    <col width="37" customWidth="1" style="100" min="3" max="3"/>
    <col width="32" customWidth="1" style="100" min="4" max="4"/>
  </cols>
  <sheetData>
    <row r="4" ht="15.75" customHeight="1" s="100">
      <c r="B4" s="121" t="inlineStr">
        <is>
          <t>Приложение № 10</t>
        </is>
      </c>
    </row>
    <row r="5" ht="18.75" customHeight="1" s="100">
      <c r="B5" s="20" t="n"/>
    </row>
    <row r="6" ht="15.75" customHeight="1" s="100">
      <c r="B6" s="122" t="inlineStr">
        <is>
          <t>Используемые индексы изменений сметной стоимости и нормы сопутствующих затрат</t>
        </is>
      </c>
    </row>
    <row r="7">
      <c r="B7" s="162" t="n"/>
    </row>
    <row r="8" ht="47.25" customHeight="1" s="100">
      <c r="B8" s="127" t="inlineStr">
        <is>
          <t>Наименование индекса / норм сопутствующих затрат</t>
        </is>
      </c>
      <c r="C8" s="127" t="inlineStr">
        <is>
          <t>Дата применения и обоснование индекса / норм сопутствующих затрат</t>
        </is>
      </c>
      <c r="D8" s="127" t="inlineStr">
        <is>
          <t>Размер индекса / норма сопутствующих затрат</t>
        </is>
      </c>
    </row>
    <row r="9" ht="15.75" customHeight="1" s="100">
      <c r="B9" s="127" t="n">
        <v>1</v>
      </c>
      <c r="C9" s="127" t="n">
        <v>2</v>
      </c>
      <c r="D9" s="127" t="n">
        <v>3</v>
      </c>
    </row>
    <row r="10" ht="31.5" customHeight="1" s="100">
      <c r="B10" s="127" t="inlineStr">
        <is>
          <t xml:space="preserve">Индекс изменения сметной стоимости на 1 квартал 2023 года. ОЗП </t>
        </is>
      </c>
      <c r="C10" s="127" t="inlineStr">
        <is>
          <t>Письмо Минстроя России от 30.03.2023г. №17106-ИФ/09  прил.1</t>
        </is>
      </c>
      <c r="D10" s="127" t="n">
        <v>44.29</v>
      </c>
    </row>
    <row r="11" ht="31.5" customHeight="1" s="100">
      <c r="B11" s="127" t="inlineStr">
        <is>
          <t>Индекс изменения сметной стоимости на 1 квартал 2023 года. ЭМ</t>
        </is>
      </c>
      <c r="C11" s="127" t="inlineStr">
        <is>
          <t>Письмо Минстроя России от 30.03.2023г. №17106-ИФ/09  прил.1</t>
        </is>
      </c>
      <c r="D11" s="127" t="n">
        <v>13.47</v>
      </c>
    </row>
    <row r="12" ht="31.5" customHeight="1" s="100">
      <c r="B12" s="127" t="inlineStr">
        <is>
          <t>Индекс изменения сметной стоимости на 1 квартал 2023 года. МАТ</t>
        </is>
      </c>
      <c r="C12" s="127" t="inlineStr">
        <is>
          <t>Письмо Минстроя России от 30.03.2023г. №17106-ИФ/09  прил.1</t>
        </is>
      </c>
      <c r="D12" s="127" t="n">
        <v>8.039999999999999</v>
      </c>
    </row>
    <row r="13" ht="31.5" customHeight="1" s="100">
      <c r="B13" s="127" t="inlineStr">
        <is>
          <t>Индекс изменения сметной стоимости на 1 квартал 2023 года. ОБ</t>
        </is>
      </c>
      <c r="C13" s="127" t="inlineStr">
        <is>
          <t>Письмо Минстроя России от 23.02.2023г. №9791-ИФ/09 прил.6</t>
        </is>
      </c>
      <c r="D13" s="127" t="n">
        <v>6.26</v>
      </c>
    </row>
    <row r="14" ht="78.75" customHeight="1" s="100">
      <c r="B14" s="127" t="inlineStr">
        <is>
          <t>Временные здания и сооружения</t>
        </is>
      </c>
      <c r="C14" s="127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99" t="n">
        <v>0.039</v>
      </c>
    </row>
    <row r="15" ht="78.75" customHeight="1" s="100">
      <c r="B15" s="127" t="inlineStr">
        <is>
          <t>Дополнительные затраты при производстве строительно-монтажных работ в зимнее время</t>
        </is>
      </c>
      <c r="C15" s="12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99" t="n">
        <v>0.021</v>
      </c>
    </row>
    <row r="16" ht="15.75" customHeight="1" s="100">
      <c r="B16" s="127" t="inlineStr">
        <is>
          <t>Пусконаладочные работы</t>
        </is>
      </c>
      <c r="C16" s="127" t="n"/>
      <c r="D16" s="127" t="inlineStr">
        <is>
          <t>расчет</t>
        </is>
      </c>
    </row>
    <row r="17" ht="31.5" customHeight="1" s="100">
      <c r="B17" s="127" t="inlineStr">
        <is>
          <t>Строительный контроль</t>
        </is>
      </c>
      <c r="C17" s="127" t="inlineStr">
        <is>
          <t>Постановление Правительства РФ от 21.06.10 г. № 468</t>
        </is>
      </c>
      <c r="D17" s="99" t="n">
        <v>0.0214</v>
      </c>
    </row>
    <row r="18" ht="31.5" customHeight="1" s="100">
      <c r="B18" s="127" t="inlineStr">
        <is>
          <t>Авторский надзор</t>
        </is>
      </c>
      <c r="C18" s="127" t="inlineStr">
        <is>
          <t>Приказ от 4.08.2020 № 421/пр п.173</t>
        </is>
      </c>
      <c r="D18" s="99" t="n">
        <v>0.002</v>
      </c>
    </row>
    <row r="19" ht="24" customHeight="1" s="100">
      <c r="B19" s="127" t="inlineStr">
        <is>
          <t>Непредвиденные расходы</t>
        </is>
      </c>
      <c r="C19" s="127" t="inlineStr">
        <is>
          <t>Приказ от 4.08.2020 № 421/пр п.179</t>
        </is>
      </c>
      <c r="D19" s="99" t="n">
        <v>0.03</v>
      </c>
    </row>
    <row r="20" ht="18.75" customHeight="1" s="100">
      <c r="B20" s="21" t="n"/>
    </row>
    <row r="21" ht="18.75" customHeight="1" s="100">
      <c r="B21" s="21" t="n"/>
    </row>
    <row r="22" ht="18.75" customHeight="1" s="100">
      <c r="B22" s="21" t="n"/>
    </row>
    <row r="23" ht="18.75" customHeight="1" s="100">
      <c r="B23" s="21" t="n"/>
    </row>
    <row r="26">
      <c r="B26" s="94" t="inlineStr">
        <is>
          <t>Составил ______________________        Е.А. Князева</t>
        </is>
      </c>
      <c r="C26" s="95" t="n"/>
    </row>
    <row r="27">
      <c r="B27" s="97" t="inlineStr">
        <is>
          <t xml:space="preserve">                         (подпись, инициалы, фамилия)</t>
        </is>
      </c>
      <c r="C27" s="95" t="n"/>
    </row>
    <row r="28">
      <c r="B28" s="94" t="n"/>
      <c r="C28" s="95" t="n"/>
    </row>
    <row r="29">
      <c r="B29" s="94" t="inlineStr">
        <is>
          <t>Проверил ______________________        А.В. Костянецкая</t>
        </is>
      </c>
      <c r="C29" s="95" t="n"/>
    </row>
    <row r="30">
      <c r="B30" s="97" t="inlineStr">
        <is>
          <t xml:space="preserve">                        (подпись, инициалы, фамилия)</t>
        </is>
      </c>
      <c r="C30" s="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0" min="2" max="2"/>
    <col width="13" customWidth="1" style="100" min="3" max="3"/>
    <col width="22.85546875" customWidth="1" style="100" min="4" max="4"/>
    <col width="21.5703125" customWidth="1" style="100" min="5" max="5"/>
    <col width="53.7109375" bestFit="1" customWidth="1" style="100" min="6" max="6"/>
  </cols>
  <sheetData>
    <row r="1" s="100"/>
    <row r="2" ht="17.25" customHeight="1" s="100">
      <c r="A2" s="122" t="inlineStr">
        <is>
          <t>Расчет размера средств на оплату труда рабочих-строителей в текущем уровне цен (ФОТр.тек.)</t>
        </is>
      </c>
    </row>
    <row r="3" s="100"/>
    <row r="4" ht="18" customHeight="1" s="100">
      <c r="A4" s="101" t="inlineStr">
        <is>
          <t>Составлен в уровне цен на 01.01.2023 г.</t>
        </is>
      </c>
      <c r="B4" s="102" t="n"/>
      <c r="C4" s="102" t="n"/>
      <c r="D4" s="102" t="n"/>
      <c r="E4" s="102" t="n"/>
      <c r="F4" s="102" t="n"/>
      <c r="G4" s="102" t="n"/>
    </row>
    <row r="5" ht="15.75" customHeight="1" s="100">
      <c r="A5" s="103" t="inlineStr">
        <is>
          <t>№ пп.</t>
        </is>
      </c>
      <c r="B5" s="103" t="inlineStr">
        <is>
          <t>Наименование элемента</t>
        </is>
      </c>
      <c r="C5" s="103" t="inlineStr">
        <is>
          <t>Обозначение</t>
        </is>
      </c>
      <c r="D5" s="103" t="inlineStr">
        <is>
          <t>Формула</t>
        </is>
      </c>
      <c r="E5" s="103" t="inlineStr">
        <is>
          <t>Величина элемента</t>
        </is>
      </c>
      <c r="F5" s="103" t="inlineStr">
        <is>
          <t>Наименования обосновывающих документов</t>
        </is>
      </c>
      <c r="G5" s="102" t="n"/>
    </row>
    <row r="6" ht="15.75" customHeight="1" s="100">
      <c r="A6" s="103" t="n">
        <v>1</v>
      </c>
      <c r="B6" s="103" t="n">
        <v>2</v>
      </c>
      <c r="C6" s="103" t="n">
        <v>3</v>
      </c>
      <c r="D6" s="103" t="n">
        <v>4</v>
      </c>
      <c r="E6" s="103" t="n">
        <v>5</v>
      </c>
      <c r="F6" s="103" t="n">
        <v>6</v>
      </c>
      <c r="G6" s="102" t="n"/>
    </row>
    <row r="7" ht="110.25" customHeight="1" s="100">
      <c r="A7" s="104" t="inlineStr">
        <is>
          <t>1.1</t>
        </is>
      </c>
      <c r="B7" s="1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7" t="inlineStr">
        <is>
          <t>С1ср</t>
        </is>
      </c>
      <c r="D7" s="127" t="inlineStr">
        <is>
          <t>-</t>
        </is>
      </c>
      <c r="E7" s="107" t="n">
        <v>47872.94</v>
      </c>
      <c r="F7" s="1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2" t="n"/>
    </row>
    <row r="8" ht="31.5" customHeight="1" s="100">
      <c r="A8" s="104" t="inlineStr">
        <is>
          <t>1.2</t>
        </is>
      </c>
      <c r="B8" s="109" t="inlineStr">
        <is>
          <t>Среднегодовое нормативное число часов работы одного рабочего в месяц, часы (ч.)</t>
        </is>
      </c>
      <c r="C8" s="127" t="inlineStr">
        <is>
          <t>tср</t>
        </is>
      </c>
      <c r="D8" s="127" t="inlineStr">
        <is>
          <t>1973ч/12мес.</t>
        </is>
      </c>
      <c r="E8" s="108">
        <f>1973/12</f>
        <v/>
      </c>
      <c r="F8" s="109" t="inlineStr">
        <is>
          <t>Производственный календарь 2023 год
(40-часов.неделя)</t>
        </is>
      </c>
      <c r="G8" s="111" t="n"/>
    </row>
    <row r="9" ht="15.75" customHeight="1" s="100">
      <c r="A9" s="104" t="inlineStr">
        <is>
          <t>1.3</t>
        </is>
      </c>
      <c r="B9" s="109" t="inlineStr">
        <is>
          <t>Коэффициент увеличения</t>
        </is>
      </c>
      <c r="C9" s="127" t="inlineStr">
        <is>
          <t>Кув</t>
        </is>
      </c>
      <c r="D9" s="127" t="inlineStr">
        <is>
          <t>-</t>
        </is>
      </c>
      <c r="E9" s="108" t="n">
        <v>1</v>
      </c>
      <c r="F9" s="109" t="n"/>
      <c r="G9" s="111" t="n"/>
    </row>
    <row r="10" ht="15.75" customHeight="1" s="100">
      <c r="A10" s="104" t="inlineStr">
        <is>
          <t>1.4</t>
        </is>
      </c>
      <c r="B10" s="109" t="inlineStr">
        <is>
          <t>Средний разряд работ</t>
        </is>
      </c>
      <c r="C10" s="127" t="n"/>
      <c r="D10" s="127" t="n"/>
      <c r="E10" s="190" t="n">
        <v>4</v>
      </c>
      <c r="F10" s="109" t="inlineStr">
        <is>
          <t>РТМ</t>
        </is>
      </c>
      <c r="G10" s="111" t="n"/>
    </row>
    <row r="11" ht="78.75" customHeight="1" s="100">
      <c r="A11" s="104" t="inlineStr">
        <is>
          <t>1.5</t>
        </is>
      </c>
      <c r="B11" s="109" t="inlineStr">
        <is>
          <t>Тарифный коэффициент среднего разряда работ</t>
        </is>
      </c>
      <c r="C11" s="127" t="inlineStr">
        <is>
          <t>КТ</t>
        </is>
      </c>
      <c r="D11" s="127" t="inlineStr">
        <is>
          <t>-</t>
        </is>
      </c>
      <c r="E11" s="191" t="n">
        <v>1.34</v>
      </c>
      <c r="F11" s="1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2" t="n"/>
    </row>
    <row r="12" ht="78.75" customHeight="1" s="100">
      <c r="A12" s="114" t="inlineStr">
        <is>
          <t>1.6</t>
        </is>
      </c>
      <c r="B12" s="163" t="inlineStr">
        <is>
          <t>Коэффициент инфляции, определяемый поквартально</t>
        </is>
      </c>
      <c r="C12" s="128" t="inlineStr">
        <is>
          <t>Кинф</t>
        </is>
      </c>
      <c r="D12" s="128" t="inlineStr">
        <is>
          <t>-</t>
        </is>
      </c>
      <c r="E12" s="192" t="n">
        <v>1.139</v>
      </c>
      <c r="F12" s="16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0">
      <c r="A13" s="166" t="inlineStr">
        <is>
          <t>1.7</t>
        </is>
      </c>
      <c r="B13" s="167" t="inlineStr">
        <is>
          <t>Размер средств на оплату труда рабочих-строителей в текущем уровне цен (ФОТр.тек.), руб/чел.-ч</t>
        </is>
      </c>
      <c r="C13" s="168" t="inlineStr">
        <is>
          <t>ФОТр.тек.</t>
        </is>
      </c>
      <c r="D13" s="168" t="inlineStr">
        <is>
          <t>(С1ср/tср*КТ*Т*Кув)*Кинф</t>
        </is>
      </c>
      <c r="E13" s="169">
        <f>((E7*E9/E8)*E11)*E12</f>
        <v/>
      </c>
      <c r="F13" s="17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2025-01-24T12:02:35Z</dcterms:modified>
  <cp:lastModifiedBy>Николай Трофименко</cp:lastModifiedBy>
  <cp:lastPrinted>2023-11-27T07:19:13Z</cp:lastPrinted>
</cp:coreProperties>
</file>