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стоим'!$A$1:$J$33</definedName>
    <definedName name="_Toc132270799" localSheetId="2">Прил.3!$A$2</definedName>
    <definedName name="_xlnm.Print_Titles" localSheetId="2">'Прил.3'!$9:$11</definedName>
    <definedName name="_xlnm.Print_Area" localSheetId="2">'Прил.3'!$A$1:$H$70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#,##0.0000"/>
    <numFmt numFmtId="165" formatCode="0.0000"/>
    <numFmt numFmtId="166" formatCode="#,##0.000"/>
    <numFmt numFmtId="167" formatCode="0.000"/>
    <numFmt numFmtId="168" formatCode="0.0"/>
    <numFmt numFmtId="169" formatCode="0.000%"/>
    <numFmt numFmtId="170" formatCode="_-* #,##0.00\ _₽_-;\-* #,##0.00\ _₽_-;_-* &quot;-&quot;??\ _₽_-;_-@_-"/>
    <numFmt numFmtId="171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5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" fontId="6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6" fontId="6" fillId="0" borderId="1" applyAlignment="1" pivotButton="0" quotePrefix="0" xfId="0">
      <alignment horizontal="right" vertical="center"/>
    </xf>
    <xf numFmtId="166" fontId="6" fillId="0" borderId="1" applyAlignment="1" pivotButton="0" quotePrefix="0" xfId="0">
      <alignment horizontal="right" vertical="center" wrapText="1"/>
    </xf>
    <xf numFmtId="166" fontId="10" fillId="0" borderId="1" applyAlignment="1" pivotButton="0" quotePrefix="0" xfId="0">
      <alignment vertical="center" wrapText="1"/>
    </xf>
    <xf numFmtId="165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4" fontId="6" fillId="0" borderId="0" pivotButton="0" quotePrefix="0" xfId="0"/>
    <xf numFmtId="0" fontId="6" fillId="0" borderId="1" applyAlignment="1" pivotButton="0" quotePrefix="1" xfId="0">
      <alignment horizontal="center" vertical="center"/>
    </xf>
    <xf numFmtId="0" fontId="6" fillId="0" borderId="1" applyAlignment="1" pivotButton="0" quotePrefix="0" xfId="0">
      <alignment vertical="center"/>
    </xf>
    <xf numFmtId="0" fontId="10" fillId="0" borderId="0" applyAlignment="1" pivotButton="0" quotePrefix="0" xfId="0">
      <alignment horizontal="right" vertical="center" wrapText="1"/>
    </xf>
    <xf numFmtId="166" fontId="10" fillId="0" borderId="0" applyAlignment="1" pivotButton="0" quotePrefix="0" xfId="0">
      <alignment vertical="center" wrapText="1"/>
    </xf>
    <xf numFmtId="168" fontId="6" fillId="0" borderId="0" pivotButton="0" quotePrefix="0" xfId="0"/>
    <xf numFmtId="0" fontId="13" fillId="0" borderId="0" pivotButton="0" quotePrefix="0" xfId="0"/>
    <xf numFmtId="169" fontId="0" fillId="0" borderId="0" pivotButton="0" quotePrefix="0" xfId="0"/>
    <xf numFmtId="49" fontId="6" fillId="0" borderId="1" applyAlignment="1" pivotButton="0" quotePrefix="1" xfId="0">
      <alignment horizontal="center" vertical="center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67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horizontal="right" vertical="top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1" fontId="2" fillId="0" borderId="1" applyAlignment="1" pivotButton="0" quotePrefix="0" xfId="0">
      <alignment horizontal="center" vertical="top" wrapText="1"/>
    </xf>
    <xf numFmtId="170" fontId="6" fillId="0" borderId="0" pivotButton="0" quotePrefix="0" xfId="0"/>
    <xf numFmtId="170" fontId="10" fillId="0" borderId="0" pivotButton="0" quotePrefix="0" xfId="0"/>
    <xf numFmtId="0" fontId="2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5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2" pivotButton="0" quotePrefix="0" xfId="0"/>
    <xf numFmtId="166" fontId="6" fillId="0" borderId="1" applyAlignment="1" pivotButton="0" quotePrefix="0" xfId="0">
      <alignment horizontal="right" vertical="center"/>
    </xf>
    <xf numFmtId="166" fontId="6" fillId="0" borderId="1" applyAlignment="1" pivotButton="0" quotePrefix="0" xfId="0">
      <alignment horizontal="right" vertical="center" wrapText="1"/>
    </xf>
    <xf numFmtId="166" fontId="10" fillId="0" borderId="1" applyAlignment="1" pivotButton="0" quotePrefix="0" xfId="0">
      <alignment vertical="center" wrapText="1"/>
    </xf>
    <xf numFmtId="166" fontId="10" fillId="0" borderId="0" applyAlignment="1" pivotButton="0" quotePrefix="0" xfId="0">
      <alignment vertical="center" wrapText="1"/>
    </xf>
    <xf numFmtId="168" fontId="6" fillId="0" borderId="0" pivotButton="0" quotePrefix="0" xfId="0"/>
    <xf numFmtId="43" fontId="3" fillId="0" borderId="1" applyAlignment="1" pivotButton="0" quotePrefix="0" xfId="0">
      <alignment vertical="center" wrapText="1"/>
    </xf>
    <xf numFmtId="167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top" wrapText="1"/>
    </xf>
    <xf numFmtId="170" fontId="10" fillId="0" borderId="0" pivotButton="0" quotePrefix="0" xfId="0"/>
    <xf numFmtId="170" fontId="6" fillId="0" borderId="0" pivotButton="0" quotePrefix="0" xfId="0"/>
    <xf numFmtId="43" fontId="0" fillId="0" borderId="0" pivotButton="0" quotePrefix="0" xfId="0"/>
    <xf numFmtId="169" fontId="0" fillId="0" borderId="0" pivotButton="0" quotePrefix="0" xfId="0"/>
    <xf numFmtId="165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5" fontId="12" fillId="0" borderId="0" pivotButton="0" quotePrefix="0" xfId="0"/>
    <xf numFmtId="0" fontId="3" fillId="0" borderId="11" applyAlignment="1" pivotButton="0" quotePrefix="0" xfId="0">
      <alignment horizontal="left" vertical="center" wrapText="1"/>
    </xf>
    <xf numFmtId="0" fontId="0" fillId="0" borderId="7" pivotButton="0" quotePrefix="0" xfId="0"/>
    <xf numFmtId="171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5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J35"/>
  <sheetViews>
    <sheetView tabSelected="1" view="pageBreakPreview" zoomScale="60" zoomScaleNormal="55" workbookViewId="0">
      <selection activeCell="D30" sqref="D30"/>
    </sheetView>
  </sheetViews>
  <sheetFormatPr baseColWidth="8" defaultRowHeight="15.75"/>
  <cols>
    <col width="9.140625" customWidth="1" style="125" min="1" max="2"/>
    <col width="36.85546875" customWidth="1" style="125" min="3" max="3"/>
    <col width="42" customWidth="1" style="125" min="4" max="4"/>
    <col width="51" customWidth="1" style="125" min="5" max="5"/>
    <col width="14.28515625" customWidth="1" style="123" min="6" max="6"/>
    <col width="12.140625" customWidth="1" style="123" min="7" max="7"/>
    <col width="12.28515625" customWidth="1" style="123" min="8" max="8"/>
    <col width="15" customWidth="1" style="123" min="9" max="9"/>
  </cols>
  <sheetData>
    <row r="1">
      <c r="F1" s="125" t="n"/>
      <c r="G1" s="125" t="n"/>
      <c r="H1" s="125" t="n"/>
      <c r="I1" s="125" t="n"/>
      <c r="J1" s="125" t="n"/>
    </row>
    <row r="2">
      <c r="F2" s="125" t="n"/>
      <c r="G2" s="125" t="n"/>
      <c r="H2" s="125" t="n"/>
      <c r="I2" s="125" t="n"/>
      <c r="J2" s="125" t="n"/>
    </row>
    <row r="3">
      <c r="B3" s="142" t="inlineStr">
        <is>
          <t>Приложение № 1</t>
        </is>
      </c>
      <c r="F3" s="125" t="n"/>
      <c r="G3" s="125" t="n"/>
      <c r="H3" s="125" t="n"/>
      <c r="I3" s="125" t="n"/>
      <c r="J3" s="125" t="n"/>
    </row>
    <row r="4">
      <c r="B4" s="143" t="inlineStr">
        <is>
          <t>Сравнительная таблица отбора объекта-представителя</t>
        </is>
      </c>
      <c r="F4" s="125" t="n"/>
      <c r="G4" s="125" t="n"/>
      <c r="H4" s="125" t="n"/>
      <c r="I4" s="125" t="n"/>
      <c r="J4" s="125" t="n"/>
    </row>
    <row r="5">
      <c r="B5" s="54" t="n"/>
      <c r="C5" s="54" t="n"/>
      <c r="D5" s="54" t="n"/>
      <c r="E5" s="54" t="n"/>
      <c r="F5" s="125" t="n"/>
      <c r="G5" s="125" t="n"/>
      <c r="H5" s="125" t="n"/>
      <c r="I5" s="125" t="n"/>
      <c r="J5" s="125" t="n"/>
    </row>
    <row r="6">
      <c r="B6" s="54" t="n"/>
      <c r="C6" s="54" t="n"/>
      <c r="D6" s="54" t="n"/>
      <c r="E6" s="54" t="n"/>
      <c r="F6" s="125" t="n"/>
      <c r="G6" s="125" t="n"/>
      <c r="H6" s="125" t="n"/>
      <c r="I6" s="125" t="n"/>
      <c r="J6" s="125" t="n"/>
    </row>
    <row r="7" ht="48" customHeight="1" s="123">
      <c r="B7" s="141">
        <f>_xlfn.CONCAT(TEXT('Прил.5 Расчет СМР и ОБ'!A6,0)," - ",TEXT('Прил.5 Расчет СМР и ОБ'!D6,0))</f>
        <v/>
      </c>
      <c r="F7" s="55" t="n"/>
      <c r="G7" s="125" t="n"/>
      <c r="H7" s="125" t="n"/>
      <c r="I7" s="125" t="n"/>
      <c r="J7" s="125" t="n"/>
    </row>
    <row r="8" ht="15.75" customHeight="1" s="123">
      <c r="B8" s="53" t="inlineStr">
        <is>
          <t xml:space="preserve">Сопоставимый уровень цен: </t>
        </is>
      </c>
      <c r="C8" s="53" t="n"/>
      <c r="D8" s="53">
        <f>D22</f>
        <v/>
      </c>
      <c r="E8" s="53" t="n"/>
      <c r="F8" s="125" t="n"/>
      <c r="G8" s="125" t="n"/>
      <c r="H8" s="125" t="n"/>
      <c r="I8" s="125" t="n"/>
      <c r="J8" s="125" t="n"/>
    </row>
    <row r="9" ht="15.75" customHeight="1" s="123">
      <c r="B9" s="141" t="inlineStr">
        <is>
          <t>Единица измерения  — 1 ед</t>
        </is>
      </c>
      <c r="F9" s="55" t="n"/>
      <c r="G9" s="125" t="n"/>
      <c r="H9" s="125" t="n"/>
      <c r="I9" s="125" t="n"/>
      <c r="J9" s="125" t="n"/>
    </row>
    <row r="10">
      <c r="B10" s="141" t="n"/>
      <c r="F10" s="125" t="n"/>
      <c r="G10" s="125" t="n"/>
      <c r="H10" s="125" t="n"/>
      <c r="I10" s="125" t="n"/>
      <c r="J10" s="125" t="n"/>
    </row>
    <row r="11" ht="27" customHeight="1" s="123">
      <c r="B11" s="146" t="inlineStr">
        <is>
          <t>№ п/п</t>
        </is>
      </c>
      <c r="C11" s="146" t="inlineStr">
        <is>
          <t>Параметр</t>
        </is>
      </c>
      <c r="D11" s="146" t="inlineStr">
        <is>
          <t>Объект-представитель 1</t>
        </is>
      </c>
      <c r="E11" s="146" t="inlineStr">
        <is>
          <t>Объект-представитель 2</t>
        </is>
      </c>
      <c r="F11" s="55" t="n"/>
      <c r="G11" s="125" t="n"/>
      <c r="H11" s="125" t="n"/>
      <c r="I11" s="125" t="n"/>
      <c r="J11" s="125" t="n"/>
    </row>
    <row r="12" ht="71.25" customHeight="1" s="123">
      <c r="B12" s="146" t="n">
        <v>1</v>
      </c>
      <c r="C12" s="56" t="inlineStr">
        <is>
          <t>Наименование объекта-представителя</t>
        </is>
      </c>
      <c r="D12" s="146" t="inlineStr">
        <is>
          <t>Реконструкция ПС 35 кВ "Саперная" (замена силовых трансформаторов мощностью 2х6.3 МВА на 2х10 МВА)</t>
        </is>
      </c>
      <c r="E12" s="146" t="inlineStr">
        <is>
          <t>Реконструкция ПС 35/10/6 кВ Купино в части замены существующих трансформаторов 2х2,5 МВА и 1х4 МВА на трансформаторы 2х4 МВА</t>
        </is>
      </c>
      <c r="F12" s="125" t="n"/>
      <c r="G12" s="125" t="n"/>
      <c r="H12" s="125" t="n"/>
      <c r="I12" s="125" t="n"/>
      <c r="J12" s="125" t="n"/>
    </row>
    <row r="13" ht="31.5" customHeight="1" s="123">
      <c r="B13" s="146" t="n">
        <v>2</v>
      </c>
      <c r="C13" s="56" t="inlineStr">
        <is>
          <t>Наименование субъекта Российской Федерации</t>
        </is>
      </c>
      <c r="D13" s="146" t="inlineStr">
        <is>
          <t>Ленинградская область</t>
        </is>
      </c>
      <c r="E13" s="146" t="inlineStr">
        <is>
          <t>Самарская область</t>
        </is>
      </c>
      <c r="F13" s="125" t="n"/>
      <c r="G13" s="125" t="n"/>
      <c r="H13" s="125" t="n"/>
      <c r="I13" s="125" t="n"/>
      <c r="J13" s="125" t="n"/>
    </row>
    <row r="14">
      <c r="B14" s="146" t="n">
        <v>3</v>
      </c>
      <c r="C14" s="56" t="inlineStr">
        <is>
          <t>Климатический район и подрайон</t>
        </is>
      </c>
      <c r="D14" s="146" t="inlineStr">
        <is>
          <t>IIВ</t>
        </is>
      </c>
      <c r="E14" s="146" t="inlineStr">
        <is>
          <t>IIB</t>
        </is>
      </c>
      <c r="F14" s="125" t="n"/>
      <c r="G14" s="125" t="n"/>
      <c r="H14" s="125" t="n"/>
      <c r="I14" s="125" t="n"/>
      <c r="J14" s="125" t="n"/>
    </row>
    <row r="15">
      <c r="B15" s="146" t="n">
        <v>4</v>
      </c>
      <c r="C15" s="56" t="inlineStr">
        <is>
          <t>Мощность объекта</t>
        </is>
      </c>
      <c r="D15" s="146" t="n">
        <v>2</v>
      </c>
      <c r="E15" s="146" t="n">
        <v>3</v>
      </c>
      <c r="F15" s="125" t="n"/>
      <c r="G15" s="125" t="n"/>
      <c r="H15" s="125" t="n"/>
      <c r="I15" s="125" t="n"/>
      <c r="J15" s="125" t="n"/>
    </row>
    <row r="16" ht="173.25" customHeight="1" s="123">
      <c r="B16" s="146" t="n">
        <v>5</v>
      </c>
      <c r="C16" s="12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6" t="inlineStr">
        <is>
          <t>ВР35НТ-35-25/1600 УХЛ1 - 2 шт;
СВС 219(8)-500(8)-5000 -4 шт
площадки обсулживания
рамы Рм-3</t>
        </is>
      </c>
      <c r="E16" s="146" t="inlineStr">
        <is>
          <t>Выключатель  ВВН-СЭЩ-П-35-25/1000 УХЛ1 - 3 шт.
ЭЛ-1: Установка сборных железобетонных опорных и подкладных плит объемом до 1,5 м3 - 2,6 м3 - 2 шт
ЭЛ-1.1: Установка сборных железобетонных опорных и подкладных плит объемом до 1,5 м3 - 1,3 м3 - 1 шт</t>
        </is>
      </c>
      <c r="F16" s="125" t="n"/>
      <c r="G16" s="125" t="n"/>
      <c r="H16" s="125" t="n"/>
      <c r="I16" s="125" t="n"/>
      <c r="J16" s="125" t="n"/>
    </row>
    <row r="17" ht="82.5" customHeight="1" s="123">
      <c r="B17" s="146" t="n">
        <v>6</v>
      </c>
      <c r="C17" s="12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8">
        <f>SUM(D18:D21)</f>
        <v/>
      </c>
      <c r="E17" s="58">
        <f>SUM(E18:E21)</f>
        <v/>
      </c>
      <c r="F17" s="59" t="n"/>
      <c r="G17" s="125" t="n"/>
      <c r="H17" s="125" t="n"/>
      <c r="I17" s="125" t="n"/>
      <c r="J17" s="125" t="n"/>
    </row>
    <row r="18">
      <c r="B18" s="60" t="inlineStr">
        <is>
          <t>6.1</t>
        </is>
      </c>
      <c r="C18" s="56" t="inlineStr">
        <is>
          <t>строительно-монтажные работы</t>
        </is>
      </c>
      <c r="D18" s="58">
        <f>'Прил.2 Расч стоим'!F14+'Прил.2 Расч стоим'!G14</f>
        <v/>
      </c>
      <c r="E18" s="58">
        <f>'Прил.2 Расч стоим'!F23+'Прил.2 Расч стоим'!G23</f>
        <v/>
      </c>
      <c r="F18" s="125" t="n"/>
      <c r="G18" s="125" t="n"/>
      <c r="H18" s="125" t="n"/>
      <c r="I18" s="125" t="n"/>
      <c r="J18" s="125" t="n"/>
    </row>
    <row r="19">
      <c r="B19" s="60" t="inlineStr">
        <is>
          <t>6.2</t>
        </is>
      </c>
      <c r="C19" s="56" t="inlineStr">
        <is>
          <t>оборудование и инвентарь</t>
        </is>
      </c>
      <c r="D19" s="58">
        <f>'Прил.2 Расч стоим'!H14</f>
        <v/>
      </c>
      <c r="E19" s="58">
        <f>'Прил.2 Расч стоим'!H21</f>
        <v/>
      </c>
      <c r="F19" s="125" t="n"/>
      <c r="G19" s="125" t="n"/>
      <c r="H19" s="125" t="n"/>
      <c r="I19" s="125" t="n"/>
      <c r="J19" s="125" t="n"/>
    </row>
    <row r="20">
      <c r="B20" s="60" t="inlineStr">
        <is>
          <t>6.3</t>
        </is>
      </c>
      <c r="C20" s="56" t="inlineStr">
        <is>
          <t>пусконаладочные работы</t>
        </is>
      </c>
      <c r="D20" s="58" t="n">
        <v>0</v>
      </c>
      <c r="E20" s="187" t="n">
        <v>0</v>
      </c>
      <c r="F20" s="125" t="n"/>
      <c r="G20" s="125" t="n"/>
      <c r="H20" s="125" t="n"/>
      <c r="I20" s="125" t="n"/>
      <c r="J20" s="125" t="n"/>
    </row>
    <row r="21" ht="31.5" customHeight="1" s="123">
      <c r="B21" s="60" t="inlineStr">
        <is>
          <t>6.4</t>
        </is>
      </c>
      <c r="C21" s="61" t="inlineStr">
        <is>
          <t>прочие и лимитированные затраты</t>
        </is>
      </c>
      <c r="D21" s="187">
        <f>D18*2.5%+(D18+D18*2.5%)*2.1%</f>
        <v/>
      </c>
      <c r="E21" s="187">
        <f>E18*2.5%+(E18+E18*2.5%)*2.1%</f>
        <v/>
      </c>
      <c r="F21" s="125" t="n"/>
      <c r="G21" s="125" t="n"/>
      <c r="H21" s="125" t="n"/>
      <c r="I21" s="125" t="n"/>
      <c r="J21" s="125" t="n"/>
    </row>
    <row r="22">
      <c r="B22" s="146" t="n">
        <v>7</v>
      </c>
      <c r="C22" s="61" t="inlineStr">
        <is>
          <t>Сопоставимый уровень цен</t>
        </is>
      </c>
      <c r="D22" s="146" t="inlineStr">
        <is>
          <t>2 кв. 2020г</t>
        </is>
      </c>
      <c r="E22" s="146">
        <f>D22</f>
        <v/>
      </c>
      <c r="F22" s="59" t="n"/>
      <c r="G22" s="125" t="n"/>
      <c r="H22" s="125" t="n"/>
      <c r="I22" s="125" t="n"/>
      <c r="J22" s="125" t="n"/>
    </row>
    <row r="23" ht="119.25" customHeight="1" s="123">
      <c r="B23" s="146" t="n">
        <v>8</v>
      </c>
      <c r="C23" s="6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58">
        <f>'Прил.2 Расч стоим'!M23*8.19+'Прил.2 Расч стоим'!N23*8.19+'Прил.2 Расч стоим'!O23*4.91+'Прил.2 Расч стоим'!M28+'Прил.2 Расч стоим'!M29</f>
        <v/>
      </c>
      <c r="F23" s="125" t="n"/>
      <c r="G23" s="125" t="n"/>
      <c r="H23" s="125" t="n"/>
      <c r="I23" s="125" t="n"/>
      <c r="J23" s="125" t="n"/>
    </row>
    <row r="24" ht="47.25" customHeight="1" s="123">
      <c r="B24" s="146" t="n">
        <v>9</v>
      </c>
      <c r="C24" s="121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63">
        <f>E23/E15</f>
        <v/>
      </c>
      <c r="F24" s="59" t="n"/>
      <c r="G24" s="125" t="n"/>
      <c r="H24" s="125" t="n"/>
      <c r="I24" s="125" t="n"/>
      <c r="J24" s="125" t="n"/>
    </row>
    <row r="25" ht="47.25" customHeight="1" s="123">
      <c r="B25" s="146" t="n">
        <v>10</v>
      </c>
      <c r="C25" s="56" t="inlineStr">
        <is>
          <t>Примечание</t>
        </is>
      </c>
      <c r="D25" s="56" t="inlineStr">
        <is>
          <t xml:space="preserve">Выбран объектом-представителем с учетом минимальной удельной стоимости </t>
        </is>
      </c>
      <c r="E25" s="72" t="n"/>
      <c r="F25" s="125" t="n"/>
      <c r="G25" s="125" t="n"/>
      <c r="H25" s="125" t="n"/>
      <c r="I25" s="125" t="n"/>
      <c r="J25" s="125" t="n"/>
    </row>
    <row r="26">
      <c r="B26" s="176" t="n"/>
      <c r="C26" s="65" t="n"/>
      <c r="D26" s="65" t="n"/>
      <c r="E26" s="65" t="n"/>
      <c r="F26" s="125" t="n"/>
      <c r="G26" s="125" t="n"/>
      <c r="H26" s="125" t="n"/>
      <c r="I26" s="125" t="n"/>
      <c r="J26" s="125" t="n"/>
    </row>
    <row r="27">
      <c r="B27" s="53" t="n"/>
      <c r="F27" s="125" t="n"/>
      <c r="G27" s="125" t="n"/>
      <c r="H27" s="125" t="n"/>
      <c r="I27" s="125" t="n"/>
      <c r="J27" s="125" t="n"/>
    </row>
    <row r="28">
      <c r="B28" s="125" t="inlineStr">
        <is>
          <t>Составил ______________________  Е. М. Добровольская</t>
        </is>
      </c>
      <c r="F28" s="125" t="n"/>
      <c r="G28" s="125" t="n"/>
      <c r="H28" s="125" t="n"/>
      <c r="I28" s="125" t="n"/>
      <c r="J28" s="125" t="n"/>
    </row>
    <row r="29" ht="22.5" customHeight="1" s="123">
      <c r="B29" s="73" t="inlineStr">
        <is>
          <t xml:space="preserve">                         (подпись, инициалы, фамилия)</t>
        </is>
      </c>
      <c r="F29" s="125" t="n"/>
      <c r="G29" s="125" t="n"/>
      <c r="H29" s="125" t="n"/>
      <c r="I29" s="125" t="n"/>
      <c r="J29" s="125" t="n"/>
    </row>
    <row r="30">
      <c r="F30" s="125" t="n"/>
      <c r="G30" s="125" t="n"/>
      <c r="H30" s="125" t="n"/>
      <c r="I30" s="125" t="n"/>
      <c r="J30" s="125" t="n"/>
    </row>
    <row r="31">
      <c r="B31" s="125" t="inlineStr">
        <is>
          <t>Проверил ______________________        А.В. Костянецкая</t>
        </is>
      </c>
      <c r="F31" s="125" t="n"/>
      <c r="G31" s="125" t="n"/>
      <c r="H31" s="125" t="n"/>
      <c r="I31" s="125" t="n"/>
      <c r="J31" s="125" t="n"/>
    </row>
    <row r="32" ht="22.5" customHeight="1" s="123">
      <c r="B32" s="73" t="inlineStr">
        <is>
          <t xml:space="preserve">                        (подпись, инициалы, фамилия)</t>
        </is>
      </c>
      <c r="F32" s="125" t="n"/>
      <c r="G32" s="125" t="n"/>
      <c r="H32" s="125" t="n"/>
      <c r="I32" s="125" t="n"/>
      <c r="J32" s="125" t="n"/>
    </row>
    <row r="33">
      <c r="F33" s="125" t="n"/>
      <c r="G33" s="125" t="n"/>
      <c r="H33" s="125" t="n"/>
      <c r="I33" s="125" t="n"/>
      <c r="J33" s="125" t="n"/>
    </row>
    <row r="34">
      <c r="F34" s="125" t="n"/>
      <c r="G34" s="125" t="n"/>
      <c r="H34" s="125" t="n"/>
      <c r="I34" s="125" t="n"/>
      <c r="J34" s="125" t="n"/>
    </row>
    <row r="35">
      <c r="F35" s="125" t="n"/>
      <c r="G35" s="125" t="n"/>
      <c r="H35" s="125" t="n"/>
      <c r="I35" s="125" t="n"/>
      <c r="J35" s="125" t="n"/>
    </row>
  </sheetData>
  <mergeCells count="4">
    <mergeCell ref="B7:E7"/>
    <mergeCell ref="B9:E9"/>
    <mergeCell ref="B3:E3"/>
    <mergeCell ref="B4:E4"/>
  </mergeCells>
  <pageMargins left="0.7" right="0.7" top="0.75" bottom="0.75" header="0.3" footer="0.3"/>
  <pageSetup orientation="portrait" paperSize="9" scale="5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Q33"/>
  <sheetViews>
    <sheetView view="pageBreakPreview" zoomScale="70" zoomScaleNormal="70" workbookViewId="0">
      <selection activeCell="F28" sqref="F28"/>
    </sheetView>
  </sheetViews>
  <sheetFormatPr baseColWidth="8" defaultRowHeight="15"/>
  <cols>
    <col width="5.5703125" customWidth="1" style="123" min="1" max="1"/>
    <col width="35.28515625" customWidth="1" style="123" min="3" max="3"/>
    <col width="13.85546875" customWidth="1" style="123" min="4" max="4"/>
    <col width="24.85546875" customWidth="1" style="123" min="5" max="5"/>
    <col width="15.28515625" customWidth="1" style="123" min="6" max="6"/>
    <col width="14.85546875" customWidth="1" style="123" min="7" max="7"/>
    <col width="16.7109375" customWidth="1" style="123" min="8" max="8"/>
    <col width="13" customWidth="1" style="123" min="9" max="10"/>
    <col hidden="1" width="13.42578125" customWidth="1" style="123" min="12" max="12"/>
    <col hidden="1" width="15.28515625" customWidth="1" style="123" min="13" max="13"/>
    <col hidden="1" width="14" customWidth="1" style="123" min="14" max="14"/>
    <col hidden="1" width="14.28515625" customWidth="1" style="123" min="15" max="15"/>
    <col hidden="1" style="123" min="16" max="16"/>
    <col hidden="1" width="15.28515625" customWidth="1" style="123" min="17" max="17"/>
    <col hidden="1" style="123" min="18" max="18"/>
  </cols>
  <sheetData>
    <row r="1" ht="15.75" customHeight="1" s="123">
      <c r="A1" s="125" t="n"/>
      <c r="B1" s="125" t="n"/>
      <c r="C1" s="125" t="n"/>
      <c r="D1" s="125" t="n"/>
      <c r="E1" s="125" t="n"/>
      <c r="F1" s="125" t="n"/>
      <c r="G1" s="125" t="n"/>
      <c r="H1" s="125" t="n"/>
      <c r="I1" s="125" t="n"/>
      <c r="J1" s="125" t="n"/>
    </row>
    <row r="2" ht="15.75" customHeight="1" s="123">
      <c r="A2" s="125" t="n"/>
      <c r="B2" s="125" t="n"/>
      <c r="C2" s="125" t="n"/>
      <c r="D2" s="125" t="n"/>
      <c r="E2" s="125" t="n"/>
      <c r="F2" s="125" t="n"/>
      <c r="G2" s="125" t="n"/>
      <c r="H2" s="125" t="n"/>
      <c r="I2" s="125" t="n"/>
      <c r="J2" s="125" t="n"/>
    </row>
    <row r="3" ht="15.75" customHeight="1" s="123">
      <c r="A3" s="125" t="n"/>
      <c r="B3" s="142" t="inlineStr">
        <is>
          <t>Приложение № 2</t>
        </is>
      </c>
    </row>
    <row r="4" ht="15.75" customHeight="1" s="123">
      <c r="A4" s="125" t="n"/>
      <c r="B4" s="143" t="inlineStr">
        <is>
          <t>Расчет стоимости основных видов работ для выбора объекта-представителя</t>
        </is>
      </c>
    </row>
    <row r="5" ht="15.75" customHeight="1" s="123">
      <c r="A5" s="125" t="n"/>
      <c r="B5" s="54" t="n"/>
      <c r="C5" s="54" t="n"/>
      <c r="D5" s="54" t="n"/>
      <c r="E5" s="54" t="n"/>
      <c r="F5" s="54" t="n"/>
      <c r="G5" s="54" t="n"/>
      <c r="H5" s="54" t="n"/>
      <c r="I5" s="54" t="n"/>
      <c r="J5" s="54" t="n"/>
    </row>
    <row r="6" ht="45.75" customHeight="1" s="123">
      <c r="A6" s="125" t="n"/>
      <c r="B6" s="144">
        <f>'Прил.1 Сравнит табл'!B7</f>
        <v/>
      </c>
    </row>
    <row r="7" ht="15.75" customHeight="1" s="123">
      <c r="A7" s="125" t="n"/>
      <c r="B7" s="141">
        <f>'Прил.1 Сравнит табл'!B9</f>
        <v/>
      </c>
    </row>
    <row r="8" ht="15.75" customHeight="1" s="123">
      <c r="A8" s="125" t="n"/>
      <c r="B8" s="141" t="n"/>
      <c r="C8" s="125" t="n"/>
      <c r="D8" s="125" t="n"/>
      <c r="E8" s="125" t="n"/>
      <c r="F8" s="125" t="n"/>
      <c r="G8" s="125" t="n"/>
      <c r="H8" s="125" t="n"/>
      <c r="I8" s="125" t="n"/>
      <c r="J8" s="125" t="n"/>
    </row>
    <row r="9" ht="15.75" customHeight="1" s="123">
      <c r="A9" s="125" t="n"/>
      <c r="B9" s="146" t="inlineStr">
        <is>
          <t>№ п/п</t>
        </is>
      </c>
      <c r="C9" s="14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6" t="inlineStr">
        <is>
          <t>Объект-представитель 1</t>
        </is>
      </c>
      <c r="E9" s="188" t="n"/>
      <c r="F9" s="188" t="n"/>
      <c r="G9" s="188" t="n"/>
      <c r="H9" s="188" t="n"/>
      <c r="I9" s="188" t="n"/>
      <c r="J9" s="189" t="n"/>
    </row>
    <row r="10" ht="15.75" customHeight="1" s="123">
      <c r="A10" s="125" t="n"/>
      <c r="B10" s="190" t="n"/>
      <c r="C10" s="190" t="n"/>
      <c r="D10" s="146" t="inlineStr">
        <is>
          <t>Номер сметы</t>
        </is>
      </c>
      <c r="E10" s="146" t="inlineStr">
        <is>
          <t>Наименование сметы</t>
        </is>
      </c>
      <c r="F10" s="146" t="inlineStr">
        <is>
          <t>Сметная стоимость в уровне цен 2 квартал 2020г, тыс. руб.</t>
        </is>
      </c>
      <c r="G10" s="188" t="n"/>
      <c r="H10" s="188" t="n"/>
      <c r="I10" s="188" t="n"/>
      <c r="J10" s="189" t="n"/>
    </row>
    <row r="11" ht="63.75" customHeight="1" s="123">
      <c r="A11" s="125" t="n"/>
      <c r="B11" s="191" t="n"/>
      <c r="C11" s="191" t="n"/>
      <c r="D11" s="191" t="n"/>
      <c r="E11" s="191" t="n"/>
      <c r="F11" s="146" t="inlineStr">
        <is>
          <t>Строительные работы</t>
        </is>
      </c>
      <c r="G11" s="146" t="inlineStr">
        <is>
          <t>Монтажные работы</t>
        </is>
      </c>
      <c r="H11" s="146" t="inlineStr">
        <is>
          <t>Оборудование</t>
        </is>
      </c>
      <c r="I11" s="146" t="inlineStr">
        <is>
          <t>Прочее</t>
        </is>
      </c>
      <c r="J11" s="146" t="inlineStr">
        <is>
          <t>Всего</t>
        </is>
      </c>
    </row>
    <row r="12" ht="15.75" customHeight="1" s="123">
      <c r="A12" s="125" t="n"/>
      <c r="B12" s="90" t="n">
        <v>1</v>
      </c>
      <c r="C12" s="56" t="inlineStr">
        <is>
          <t>Строительные работы</t>
        </is>
      </c>
      <c r="D12" s="89" t="inlineStr">
        <is>
          <t>02-01-01</t>
        </is>
      </c>
      <c r="E12" s="56" t="inlineStr">
        <is>
          <t>Строительные работы</t>
        </is>
      </c>
      <c r="F12" s="192">
        <f>23544/1000*6.67</f>
        <v/>
      </c>
      <c r="G12" s="192" t="n"/>
      <c r="H12" s="192" t="n"/>
      <c r="I12" s="192" t="n"/>
      <c r="J12" s="193">
        <f>SUM(F12:I12)</f>
        <v/>
      </c>
    </row>
    <row r="13" ht="31.5" customHeight="1" s="123">
      <c r="A13" s="125" t="n"/>
      <c r="B13" s="90" t="n">
        <v>2</v>
      </c>
      <c r="C13" s="56" t="inlineStr">
        <is>
          <t xml:space="preserve">Установка фундаментов </t>
        </is>
      </c>
      <c r="D13" s="96" t="inlineStr">
        <is>
          <t>02-01-02</t>
        </is>
      </c>
      <c r="E13" s="56" t="inlineStr">
        <is>
          <t>Первичное электрооборудование</t>
        </is>
      </c>
      <c r="F13" s="192" t="n"/>
      <c r="G13" s="192">
        <f>10350/1000*6.67</f>
        <v/>
      </c>
      <c r="H13" s="192">
        <f>321532/1000*4.91</f>
        <v/>
      </c>
      <c r="I13" s="192" t="n"/>
      <c r="J13" s="193">
        <f>SUM(F13:I13)</f>
        <v/>
      </c>
    </row>
    <row r="14" ht="15" customHeight="1" s="123">
      <c r="A14" s="125" t="n"/>
      <c r="B14" s="145" t="inlineStr">
        <is>
          <t>Всего по объекту:</t>
        </is>
      </c>
      <c r="C14" s="188" t="n"/>
      <c r="D14" s="188" t="n"/>
      <c r="E14" s="189" t="n"/>
      <c r="F14" s="194">
        <f>SUM(F12:F13)</f>
        <v/>
      </c>
      <c r="G14" s="194">
        <f>SUM(G12:G13)</f>
        <v/>
      </c>
      <c r="H14" s="194">
        <f>SUM(H12:H13)</f>
        <v/>
      </c>
      <c r="I14" s="194">
        <f>SUM(I12:I13)</f>
        <v/>
      </c>
      <c r="J14" s="194">
        <f>SUM(F14:I14)</f>
        <v/>
      </c>
    </row>
    <row r="15" ht="15.75" customHeight="1" s="123">
      <c r="A15" s="125" t="n"/>
      <c r="B15" s="145" t="inlineStr">
        <is>
          <t>Всего по объекту в сопоставимом уровне цен 2 кв. 2020г:</t>
        </is>
      </c>
      <c r="C15" s="188" t="n"/>
      <c r="D15" s="188" t="n"/>
      <c r="E15" s="189" t="n"/>
      <c r="F15" s="194">
        <f>F14</f>
        <v/>
      </c>
      <c r="G15" s="194">
        <f>G14</f>
        <v/>
      </c>
      <c r="H15" s="194">
        <f>H14</f>
        <v/>
      </c>
      <c r="I15" s="194">
        <f>I14</f>
        <v/>
      </c>
      <c r="J15" s="194">
        <f>SUM(F15:I15)</f>
        <v/>
      </c>
    </row>
    <row r="16" ht="15.75" customHeight="1" s="123">
      <c r="A16" s="125" t="n"/>
      <c r="B16" s="91" t="n"/>
      <c r="C16" s="91" t="n"/>
      <c r="D16" s="91" t="n"/>
      <c r="E16" s="91" t="n"/>
      <c r="F16" s="195" t="n"/>
      <c r="G16" s="195" t="n"/>
      <c r="H16" s="195" t="n"/>
      <c r="I16" s="195" t="n"/>
      <c r="J16" s="195" t="n"/>
    </row>
    <row r="17" ht="66" customHeight="1" s="123">
      <c r="A17" s="125" t="n"/>
      <c r="B17" s="141" t="n"/>
      <c r="C17" s="125" t="n"/>
      <c r="D17" s="125" t="n"/>
      <c r="E17" s="125" t="n"/>
      <c r="F17" s="125" t="n"/>
      <c r="G17" s="125" t="n"/>
      <c r="H17" s="125" t="n"/>
      <c r="I17" s="125" t="n"/>
      <c r="J17" s="125" t="n"/>
    </row>
    <row r="18" ht="15.75" customHeight="1" s="123">
      <c r="A18" s="125" t="n"/>
      <c r="B18" s="146" t="inlineStr">
        <is>
          <t>№ п/п</t>
        </is>
      </c>
      <c r="C18" s="14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146" t="inlineStr">
        <is>
          <t>Объект-представитель 2</t>
        </is>
      </c>
      <c r="E18" s="188" t="n"/>
      <c r="F18" s="188" t="n"/>
      <c r="G18" s="188" t="n"/>
      <c r="H18" s="188" t="n"/>
      <c r="I18" s="188" t="n"/>
      <c r="J18" s="189" t="n"/>
    </row>
    <row r="19" ht="15.75" customHeight="1" s="123">
      <c r="A19" s="125" t="n"/>
      <c r="B19" s="190" t="n"/>
      <c r="C19" s="190" t="n"/>
      <c r="D19" s="146" t="inlineStr">
        <is>
          <t>Номер сметы</t>
        </is>
      </c>
      <c r="E19" s="146" t="inlineStr">
        <is>
          <t>Наименование сметы</t>
        </is>
      </c>
      <c r="F19" s="146" t="inlineStr">
        <is>
          <t>Сметная стоимость в уровне цен 3 кв. 2018 г., тыс. руб.</t>
        </is>
      </c>
      <c r="G19" s="188" t="n"/>
      <c r="H19" s="188" t="n"/>
      <c r="I19" s="188" t="n"/>
      <c r="J19" s="189" t="n"/>
    </row>
    <row r="20" ht="63" customHeight="1" s="123">
      <c r="A20" s="125" t="n"/>
      <c r="B20" s="191" t="n"/>
      <c r="C20" s="191" t="n"/>
      <c r="D20" s="191" t="n"/>
      <c r="E20" s="191" t="n"/>
      <c r="F20" s="146" t="inlineStr">
        <is>
          <t>Строительные работы</t>
        </is>
      </c>
      <c r="G20" s="146" t="inlineStr">
        <is>
          <t>Монтажные работы</t>
        </is>
      </c>
      <c r="H20" s="146" t="inlineStr">
        <is>
          <t>Оборудование</t>
        </is>
      </c>
      <c r="I20" s="146" t="inlineStr">
        <is>
          <t>Прочее</t>
        </is>
      </c>
      <c r="J20" s="146" t="inlineStr">
        <is>
          <t>Всего</t>
        </is>
      </c>
      <c r="M20" s="146" t="inlineStr">
        <is>
          <t>Строительные работы</t>
        </is>
      </c>
      <c r="N20" s="146" t="inlineStr">
        <is>
          <t>Монтажные работы</t>
        </is>
      </c>
      <c r="O20" s="146" t="inlineStr">
        <is>
          <t>Оборудование</t>
        </is>
      </c>
      <c r="P20" s="146" t="inlineStr">
        <is>
          <t>Прочее</t>
        </is>
      </c>
      <c r="Q20" s="146" t="inlineStr">
        <is>
          <t>Всего</t>
        </is>
      </c>
    </row>
    <row r="21" ht="47.25" customHeight="1" s="123">
      <c r="A21" s="125" t="n"/>
      <c r="B21" s="56" t="n">
        <v>1</v>
      </c>
      <c r="C21" s="56" t="inlineStr">
        <is>
          <t>Земляные работы, фундаменты, заземление</t>
        </is>
      </c>
      <c r="D21" s="89" t="inlineStr">
        <is>
          <t>02-01-01</t>
        </is>
      </c>
      <c r="E21" s="56" t="inlineStr">
        <is>
          <t>Электротехнические решения, ПС 35/10/6 кВ Купино</t>
        </is>
      </c>
      <c r="F21" s="192">
        <f>44109.42/1000*7.7</f>
        <v/>
      </c>
      <c r="G21" s="192" t="n"/>
      <c r="H21" s="192">
        <f>867814.56/1000*4.53</f>
        <v/>
      </c>
      <c r="I21" s="192" t="n"/>
      <c r="J21" s="193">
        <f>SUM(F21:I21)</f>
        <v/>
      </c>
      <c r="M21" s="192">
        <f>44109.42/1000</f>
        <v/>
      </c>
      <c r="N21" s="192" t="n"/>
      <c r="O21" s="192">
        <f>867814.56/1000</f>
        <v/>
      </c>
      <c r="P21" s="192" t="n"/>
      <c r="Q21" s="193">
        <f>SUM(M21:P21)</f>
        <v/>
      </c>
    </row>
    <row r="22" ht="47.25" customHeight="1" s="123">
      <c r="A22" s="125" t="n"/>
      <c r="B22" s="56" t="n">
        <v>2</v>
      </c>
      <c r="C22" s="56" t="inlineStr">
        <is>
          <t>Подвеска проводов</t>
        </is>
      </c>
      <c r="D22" s="96" t="inlineStr">
        <is>
          <t>02-01-02</t>
        </is>
      </c>
      <c r="E22" s="56" t="inlineStr">
        <is>
          <t>Конструктивно-строительные работы, ПС 35/10/6 кВ Купино</t>
        </is>
      </c>
      <c r="F22" s="192">
        <f>9582.21/1000*7.7</f>
        <v/>
      </c>
      <c r="G22" s="192">
        <f>8462.4/1000*7.7</f>
        <v/>
      </c>
      <c r="H22" s="192" t="n"/>
      <c r="I22" s="192" t="n"/>
      <c r="J22" s="193">
        <f>SUM(F22:I22)</f>
        <v/>
      </c>
      <c r="M22" s="192">
        <f>9582.21/1000</f>
        <v/>
      </c>
      <c r="N22" s="192">
        <f>8462.4/1000</f>
        <v/>
      </c>
      <c r="O22" s="192" t="n"/>
      <c r="P22" s="192" t="n"/>
      <c r="Q22" s="193">
        <f>SUM(M22:P22)</f>
        <v/>
      </c>
    </row>
    <row r="23" ht="15.75" customHeight="1" s="123">
      <c r="A23" s="125" t="n"/>
      <c r="B23" s="145" t="inlineStr">
        <is>
          <t>Всего по объекту:</t>
        </is>
      </c>
      <c r="C23" s="188" t="n"/>
      <c r="D23" s="188" t="n"/>
      <c r="E23" s="189" t="n"/>
      <c r="F23" s="194">
        <f>SUM(F21:F22)</f>
        <v/>
      </c>
      <c r="G23" s="194">
        <f>SUM(G21:G22)</f>
        <v/>
      </c>
      <c r="H23" s="194">
        <f>SUM(H21:H22)</f>
        <v/>
      </c>
      <c r="I23" s="194">
        <f>SUM(I21:I22)</f>
        <v/>
      </c>
      <c r="J23" s="194">
        <f>SUM(F23:I23)</f>
        <v/>
      </c>
      <c r="M23" s="194">
        <f>SUM(M21:M22)</f>
        <v/>
      </c>
      <c r="N23" s="194">
        <f>SUM(N21:N22)</f>
        <v/>
      </c>
      <c r="O23" s="194">
        <f>SUM(O21:O22)</f>
        <v/>
      </c>
      <c r="P23" s="194">
        <f>SUM(P21:P22)</f>
        <v/>
      </c>
      <c r="Q23" s="194">
        <f>SUM(M23:P23)</f>
        <v/>
      </c>
    </row>
    <row r="24" ht="15.75" customHeight="1" s="123">
      <c r="A24" s="125" t="n"/>
      <c r="B24" s="145" t="inlineStr">
        <is>
          <t>Всего по объекту в сопоставимом уровне цен 3 кв. 2018г:</t>
        </is>
      </c>
      <c r="C24" s="188" t="n"/>
      <c r="D24" s="188" t="n"/>
      <c r="E24" s="189" t="n"/>
      <c r="F24" s="194">
        <f>F23</f>
        <v/>
      </c>
      <c r="G24" s="194">
        <f>G23</f>
        <v/>
      </c>
      <c r="H24" s="194">
        <f>H23</f>
        <v/>
      </c>
      <c r="I24" s="194">
        <f>I23</f>
        <v/>
      </c>
      <c r="J24" s="194">
        <f>SUM(F24:I24)</f>
        <v/>
      </c>
    </row>
    <row r="25" ht="15.75" customHeight="1" s="123">
      <c r="A25" s="125" t="n"/>
      <c r="B25" s="125" t="n"/>
      <c r="C25" s="125" t="n"/>
      <c r="D25" s="125" t="n"/>
      <c r="E25" s="125" t="n"/>
      <c r="F25" s="125" t="n"/>
      <c r="G25" s="125" t="n"/>
      <c r="H25" s="125" t="n"/>
      <c r="I25" s="125" t="n"/>
      <c r="J25" s="125" t="n"/>
      <c r="M25">
        <f>M23*8.19</f>
        <v/>
      </c>
      <c r="N25">
        <f>N23*8.19</f>
        <v/>
      </c>
      <c r="O25">
        <f>O23*4.91</f>
        <v/>
      </c>
      <c r="Q25">
        <f>O25+N25+M25</f>
        <v/>
      </c>
    </row>
    <row r="26" ht="15.75" customHeight="1" s="123">
      <c r="A26" s="125" t="n"/>
      <c r="B26" s="125" t="n"/>
      <c r="C26" s="125" t="n"/>
      <c r="D26" s="125" t="n"/>
      <c r="E26" s="125" t="n"/>
      <c r="F26" s="125" t="n"/>
      <c r="G26" s="125" t="n"/>
      <c r="H26" s="125" t="n"/>
      <c r="I26" s="125" t="n"/>
      <c r="J26" s="125" t="n"/>
      <c r="M26">
        <f>M25+N25</f>
        <v/>
      </c>
    </row>
    <row r="27" ht="15.75" customHeight="1" s="123">
      <c r="A27" s="125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</row>
    <row r="28" ht="15.75" customHeight="1" s="123">
      <c r="A28" s="125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M28">
        <f>M26*2.5%</f>
        <v/>
      </c>
    </row>
    <row r="29" ht="15.75" customHeight="1" s="123">
      <c r="A29" s="125" t="n"/>
      <c r="B29" s="125" t="inlineStr">
        <is>
          <t>Составил ______________________   Е. М. Добровольская</t>
        </is>
      </c>
      <c r="C29" s="125" t="n"/>
      <c r="D29" s="125" t="n"/>
      <c r="E29" s="125" t="n"/>
      <c r="F29" s="125" t="n"/>
      <c r="G29" s="125" t="n"/>
      <c r="H29" s="125" t="n"/>
      <c r="I29" s="125" t="n"/>
      <c r="J29" s="125" t="n"/>
      <c r="M29">
        <f>(M26+M28*2.5%)*2.1%</f>
        <v/>
      </c>
    </row>
    <row r="30" ht="22.5" customHeight="1" s="123">
      <c r="A30" s="125" t="n"/>
      <c r="B30" s="73" t="inlineStr">
        <is>
          <t xml:space="preserve">                         (подпись, инициалы, фамилия)</t>
        </is>
      </c>
      <c r="C30" s="125" t="n"/>
      <c r="D30" s="125" t="n"/>
      <c r="E30" s="125" t="n"/>
      <c r="F30" s="125" t="n"/>
      <c r="G30" s="125" t="n"/>
      <c r="H30" s="125" t="n"/>
      <c r="I30" s="125" t="n"/>
      <c r="J30" s="125" t="n"/>
    </row>
    <row r="31" ht="15.75" customHeight="1" s="123">
      <c r="A31" s="125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</row>
    <row r="32" ht="15.75" customHeight="1" s="123">
      <c r="A32" s="125" t="n"/>
      <c r="B32" s="125" t="inlineStr">
        <is>
          <t>Проверил ______________________        А.В. Костянецкая</t>
        </is>
      </c>
      <c r="C32" s="125" t="n"/>
      <c r="D32" s="125" t="n"/>
      <c r="E32" s="125" t="n"/>
      <c r="F32" s="125" t="n"/>
      <c r="G32" s="125" t="n"/>
      <c r="H32" s="125" t="n"/>
      <c r="I32" s="125" t="n"/>
      <c r="J32" s="125" t="n"/>
    </row>
    <row r="33" ht="22.5" customHeight="1" s="123">
      <c r="A33" s="125" t="n"/>
      <c r="B33" s="73" t="inlineStr">
        <is>
          <t xml:space="preserve">                        (подпись, инициалы, фамилия)</t>
        </is>
      </c>
      <c r="C33" s="125" t="n"/>
      <c r="D33" s="125" t="n"/>
      <c r="E33" s="125" t="n"/>
      <c r="F33" s="125" t="n"/>
      <c r="G33" s="125" t="n"/>
      <c r="H33" s="125" t="n"/>
      <c r="I33" s="125" t="n"/>
      <c r="J33" s="125" t="n"/>
    </row>
  </sheetData>
  <mergeCells count="20">
    <mergeCell ref="D18:J18"/>
    <mergeCell ref="D9:J9"/>
    <mergeCell ref="F10:J10"/>
    <mergeCell ref="B15:E15"/>
    <mergeCell ref="F19:J19"/>
    <mergeCell ref="B24:E24"/>
    <mergeCell ref="E19:E20"/>
    <mergeCell ref="E10:E11"/>
    <mergeCell ref="B6:J6"/>
    <mergeCell ref="C18:C20"/>
    <mergeCell ref="B4:J4"/>
    <mergeCell ref="B18:B20"/>
    <mergeCell ref="B14:E14"/>
    <mergeCell ref="B7:J7"/>
    <mergeCell ref="D19:D20"/>
    <mergeCell ref="B23:E23"/>
    <mergeCell ref="B3:J3"/>
    <mergeCell ref="D10:D11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9"/>
  <sheetViews>
    <sheetView view="pageBreakPreview" topLeftCell="A40" zoomScale="70" workbookViewId="0">
      <selection activeCell="E55" sqref="E55"/>
    </sheetView>
  </sheetViews>
  <sheetFormatPr baseColWidth="8" defaultRowHeight="15.75"/>
  <cols>
    <col width="9.140625" customWidth="1" style="125" min="1" max="1"/>
    <col width="12.5703125" customWidth="1" style="125" min="2" max="2"/>
    <col width="22.42578125" customWidth="1" style="125" min="3" max="3"/>
    <col width="49.7109375" customWidth="1" style="125" min="4" max="4"/>
    <col width="12.42578125" customWidth="1" style="125" min="5" max="5"/>
    <col width="24.5703125" customWidth="1" style="125" min="6" max="6"/>
    <col width="16.140625" customWidth="1" style="125" min="7" max="7"/>
    <col width="20.42578125" customWidth="1" style="125" min="8" max="8"/>
    <col width="9.140625" customWidth="1" style="125" min="9" max="9"/>
    <col width="19.42578125" customWidth="1" style="125" min="10" max="10"/>
    <col width="13" customWidth="1" style="123" min="11" max="11"/>
    <col width="9.140625" customWidth="1" style="123" min="12" max="12"/>
  </cols>
  <sheetData>
    <row r="1">
      <c r="K1" s="125" t="n"/>
    </row>
    <row r="2">
      <c r="A2" s="142" t="inlineStr">
        <is>
          <t xml:space="preserve">Приложение № 3 </t>
        </is>
      </c>
      <c r="K2" s="125" t="n"/>
    </row>
    <row r="3">
      <c r="A3" s="143" t="inlineStr">
        <is>
          <t>Объектная ресурсная ведомость</t>
        </is>
      </c>
      <c r="K3" s="125" t="n"/>
    </row>
    <row r="4" s="123">
      <c r="A4" s="143" t="n"/>
      <c r="B4" s="143" t="n"/>
      <c r="C4" s="143" t="n"/>
      <c r="D4" s="143" t="n"/>
      <c r="E4" s="143" t="n"/>
      <c r="F4" s="143" t="n"/>
      <c r="G4" s="143" t="n"/>
      <c r="H4" s="143" t="n"/>
      <c r="I4" s="125" t="n"/>
      <c r="J4" s="125" t="n"/>
      <c r="K4" s="125" t="n"/>
    </row>
    <row r="5" ht="18.75" customHeight="1" s="123">
      <c r="A5" s="141" t="n"/>
      <c r="K5" s="125" t="n"/>
    </row>
    <row r="6">
      <c r="A6" s="150">
        <f>'Прил.1 Сравнит табл'!B7</f>
        <v/>
      </c>
      <c r="K6" s="125" t="n"/>
    </row>
    <row r="7" s="123">
      <c r="A7" s="150" t="n"/>
      <c r="B7" s="150" t="n"/>
      <c r="C7" s="150" t="n"/>
      <c r="D7" s="150" t="n"/>
      <c r="E7" s="150" t="n"/>
      <c r="F7" s="150" t="n"/>
      <c r="G7" s="150" t="n"/>
      <c r="H7" s="150" t="n"/>
      <c r="I7" s="125" t="n"/>
      <c r="J7" s="125" t="n"/>
      <c r="K7" s="125" t="n"/>
    </row>
    <row r="8">
      <c r="A8" s="150" t="n"/>
      <c r="B8" s="150" t="n"/>
      <c r="C8" s="150" t="n"/>
      <c r="D8" s="150" t="n"/>
      <c r="E8" s="150" t="n"/>
      <c r="F8" s="150" t="n"/>
      <c r="G8" s="150" t="n"/>
      <c r="H8" s="150" t="n"/>
      <c r="K8" s="125" t="n"/>
    </row>
    <row r="9" ht="15.75" customHeight="1" s="123">
      <c r="A9" s="146" t="inlineStr">
        <is>
          <t>п/п</t>
        </is>
      </c>
      <c r="B9" s="146" t="inlineStr">
        <is>
          <t>№ЛСР</t>
        </is>
      </c>
      <c r="C9" s="146" t="inlineStr">
        <is>
          <t>Код ресурса</t>
        </is>
      </c>
      <c r="D9" s="146" t="inlineStr">
        <is>
          <t>Наименование ресурса</t>
        </is>
      </c>
      <c r="E9" s="146" t="inlineStr">
        <is>
          <t>Ед. изм.</t>
        </is>
      </c>
      <c r="F9" s="146" t="inlineStr">
        <is>
          <t>Кол-во единиц по данным объекта-представителя</t>
        </is>
      </c>
      <c r="G9" s="146" t="inlineStr">
        <is>
          <t>Сметная стоимость в ценах на 01.01.2000 (руб.)</t>
        </is>
      </c>
      <c r="H9" s="189" t="n"/>
      <c r="K9" s="125" t="n"/>
    </row>
    <row r="10">
      <c r="A10" s="191" t="n"/>
      <c r="B10" s="191" t="n"/>
      <c r="C10" s="191" t="n"/>
      <c r="D10" s="191" t="n"/>
      <c r="E10" s="191" t="n"/>
      <c r="F10" s="191" t="n"/>
      <c r="G10" s="146" t="inlineStr">
        <is>
          <t>на ед.изм.</t>
        </is>
      </c>
      <c r="H10" s="146" t="inlineStr">
        <is>
          <t>общая</t>
        </is>
      </c>
      <c r="K10" s="125" t="n"/>
    </row>
    <row r="11">
      <c r="A11" s="138" t="n">
        <v>1</v>
      </c>
      <c r="B11" s="138" t="n"/>
      <c r="C11" s="138" t="n">
        <v>2</v>
      </c>
      <c r="D11" s="138" t="inlineStr">
        <is>
          <t>З</t>
        </is>
      </c>
      <c r="E11" s="138" t="n">
        <v>4</v>
      </c>
      <c r="F11" s="138" t="n">
        <v>5</v>
      </c>
      <c r="G11" s="138" t="n">
        <v>6</v>
      </c>
      <c r="H11" s="138" t="n">
        <v>7</v>
      </c>
      <c r="I11" s="196" t="n"/>
      <c r="K11" s="125" t="n"/>
    </row>
    <row r="12">
      <c r="A12" s="147" t="inlineStr">
        <is>
          <t>Затраты труда рабочих</t>
        </is>
      </c>
      <c r="B12" s="188" t="n"/>
      <c r="C12" s="188" t="n"/>
      <c r="D12" s="188" t="n"/>
      <c r="E12" s="189" t="n"/>
      <c r="F12" s="197" t="n">
        <v>94.674318</v>
      </c>
      <c r="G12" s="104" t="n"/>
      <c r="H12" s="197">
        <f>SUM(H13:H15)</f>
        <v/>
      </c>
      <c r="I12" s="111" t="n"/>
      <c r="J12" s="111" t="n"/>
      <c r="K12" s="111" t="n"/>
    </row>
    <row r="13">
      <c r="A13" s="105" t="n">
        <v>1</v>
      </c>
      <c r="B13" s="85" t="n"/>
      <c r="C13" s="46" t="inlineStr">
        <is>
          <t>1-4-0</t>
        </is>
      </c>
      <c r="D13" s="98" t="inlineStr">
        <is>
          <t>Затраты труда рабочих (ср 4)</t>
        </is>
      </c>
      <c r="E13" s="175" t="inlineStr">
        <is>
          <t>чел.-ч</t>
        </is>
      </c>
      <c r="F13" s="198" t="n">
        <v>88.59999999999999</v>
      </c>
      <c r="G13" s="101" t="n">
        <v>9.619999999999999</v>
      </c>
      <c r="H13" s="101">
        <f>ROUND(F13*G13,2)</f>
        <v/>
      </c>
      <c r="K13" s="125" t="n"/>
    </row>
    <row r="14" ht="15" customHeight="1" s="123">
      <c r="A14" s="105" t="n">
        <v>2</v>
      </c>
      <c r="B14" s="85" t="n"/>
      <c r="C14" s="46" t="inlineStr">
        <is>
          <t>1-4-1</t>
        </is>
      </c>
      <c r="D14" s="98" t="inlineStr">
        <is>
          <t>Затраты труда рабочих (ср 4,1)</t>
        </is>
      </c>
      <c r="E14" s="175" t="inlineStr">
        <is>
          <t>чел.-ч</t>
        </is>
      </c>
      <c r="F14" s="198" t="n">
        <v>5.302334</v>
      </c>
      <c r="G14" s="101" t="n">
        <v>9.76</v>
      </c>
      <c r="H14" s="101">
        <f>ROUND(F14*G14,2)</f>
        <v/>
      </c>
      <c r="K14" s="125" t="n"/>
    </row>
    <row r="15">
      <c r="A15" s="105" t="n">
        <v>3</v>
      </c>
      <c r="B15" s="85" t="n"/>
      <c r="C15" s="46" t="inlineStr">
        <is>
          <t>1-3-5</t>
        </is>
      </c>
      <c r="D15" s="98" t="inlineStr">
        <is>
          <t>Затраты труда рабочих (ср 3,5)</t>
        </is>
      </c>
      <c r="E15" s="175" t="inlineStr">
        <is>
          <t>чел.-ч</t>
        </is>
      </c>
      <c r="F15" s="198" t="n">
        <v>0.771984</v>
      </c>
      <c r="G15" s="101" t="n">
        <v>9.07</v>
      </c>
      <c r="H15" s="101">
        <f>ROUND(F15*G15,2)</f>
        <v/>
      </c>
      <c r="K15" s="125" t="n"/>
    </row>
    <row r="16">
      <c r="A16" s="147" t="inlineStr">
        <is>
          <t>Затраты труда машинистов</t>
        </is>
      </c>
      <c r="B16" s="188" t="n"/>
      <c r="C16" s="188" t="n"/>
      <c r="D16" s="188" t="n"/>
      <c r="E16" s="189" t="n"/>
      <c r="F16" s="147" t="n"/>
      <c r="G16" s="68" t="n"/>
      <c r="H16" s="197">
        <f>H17</f>
        <v/>
      </c>
      <c r="K16" s="125" t="n"/>
    </row>
    <row r="17">
      <c r="A17" s="105" t="n">
        <v>4</v>
      </c>
      <c r="B17" s="126" t="n"/>
      <c r="C17" s="46" t="n">
        <v>2</v>
      </c>
      <c r="D17" s="98" t="inlineStr">
        <is>
          <t>Затраты труда машинистов</t>
        </is>
      </c>
      <c r="E17" s="175" t="inlineStr">
        <is>
          <t>чел.-ч</t>
        </is>
      </c>
      <c r="F17" s="198" t="n">
        <v>11.098351</v>
      </c>
      <c r="G17" s="101" t="n"/>
      <c r="H17" s="199" t="n">
        <v>146.2</v>
      </c>
      <c r="K17" s="125" t="n"/>
    </row>
    <row r="18">
      <c r="A18" s="147" t="inlineStr">
        <is>
          <t>Машины и механизмы</t>
        </is>
      </c>
      <c r="B18" s="188" t="n"/>
      <c r="C18" s="188" t="n"/>
      <c r="D18" s="188" t="n"/>
      <c r="E18" s="189" t="n"/>
      <c r="F18" s="147" t="n"/>
      <c r="G18" s="68" t="n"/>
      <c r="H18" s="197">
        <f>SUM(H19:H27)</f>
        <v/>
      </c>
      <c r="I18" s="111" t="n"/>
      <c r="J18" s="200" t="n"/>
      <c r="K18" s="111" t="n"/>
    </row>
    <row r="19" ht="25.5" customHeight="1" s="123">
      <c r="A19" s="105" t="n">
        <v>5</v>
      </c>
      <c r="B19" s="126" t="n"/>
      <c r="C19" s="46" t="inlineStr">
        <is>
          <t>91.05.05-015</t>
        </is>
      </c>
      <c r="D19" s="98" t="inlineStr">
        <is>
          <t>Краны на автомобильном ходу, грузоподъемность 16 т</t>
        </is>
      </c>
      <c r="E19" s="175" t="inlineStr">
        <is>
          <t>маш.час</t>
        </is>
      </c>
      <c r="F19" s="46" t="n">
        <v>9.194941</v>
      </c>
      <c r="G19" s="108" t="n">
        <v>115.4</v>
      </c>
      <c r="H19" s="70">
        <f>ROUND(F19*G19,2)</f>
        <v/>
      </c>
      <c r="J19" s="201" t="n"/>
      <c r="K19" s="125" t="n"/>
    </row>
    <row r="20">
      <c r="A20" s="105" t="n">
        <v>6</v>
      </c>
      <c r="B20" s="126" t="n"/>
      <c r="C20" s="46" t="inlineStr">
        <is>
          <t>91.14.02-001</t>
        </is>
      </c>
      <c r="D20" s="98" t="inlineStr">
        <is>
          <t>Автомобили бортовые, грузоподъемность до 5 т</t>
        </is>
      </c>
      <c r="E20" s="175" t="inlineStr">
        <is>
          <t>маш.час</t>
        </is>
      </c>
      <c r="F20" s="46" t="n">
        <v>1.887148</v>
      </c>
      <c r="G20" s="108" t="n">
        <v>65.70999999999999</v>
      </c>
      <c r="H20" s="70">
        <f>ROUND(F20*G20,2)</f>
        <v/>
      </c>
      <c r="I20" s="111" t="n"/>
      <c r="J20" s="111" t="n"/>
      <c r="K20" s="111" t="n"/>
    </row>
    <row r="21" ht="25.5" customHeight="1" s="123">
      <c r="A21" s="105" t="n">
        <v>7</v>
      </c>
      <c r="B21" s="126" t="n"/>
      <c r="C21" s="46" t="inlineStr">
        <is>
          <t>91.17.04-036</t>
        </is>
      </c>
      <c r="D21" s="98" t="inlineStr">
        <is>
          <t>Агрегаты сварочные передвижные с дизельным двигателем, номинальный сварочный ток 250-400 А</t>
        </is>
      </c>
      <c r="E21" s="175" t="inlineStr">
        <is>
          <t>маш.час</t>
        </is>
      </c>
      <c r="F21" s="46" t="n">
        <v>0.993426</v>
      </c>
      <c r="G21" s="108" t="n">
        <v>14</v>
      </c>
      <c r="H21" s="70">
        <f>ROUND(F21*G21,2)</f>
        <v/>
      </c>
      <c r="K21" s="125" t="n"/>
    </row>
    <row r="22" ht="25.5" customHeight="1" s="123">
      <c r="A22" s="105" t="n">
        <v>8</v>
      </c>
      <c r="B22" s="126" t="n"/>
      <c r="C22" s="46" t="inlineStr">
        <is>
          <t>91.21.01-012</t>
        </is>
      </c>
      <c r="D22" s="98" t="inlineStr">
        <is>
          <t>Агрегаты окрасочные высокого давления для окраски поверхностей конструкций, мощность 1 кВт</t>
        </is>
      </c>
      <c r="E22" s="175" t="inlineStr">
        <is>
          <t>маш.час</t>
        </is>
      </c>
      <c r="F22" s="46" t="n">
        <v>1.05433</v>
      </c>
      <c r="G22" s="108" t="n">
        <v>6.82</v>
      </c>
      <c r="H22" s="70">
        <f>ROUND(F22*G22,2)</f>
        <v/>
      </c>
      <c r="K22" s="125" t="n"/>
    </row>
    <row r="23" ht="25.5" customHeight="1" s="123">
      <c r="A23" s="105" t="n">
        <v>9</v>
      </c>
      <c r="B23" s="126" t="n"/>
      <c r="C23" s="46" t="inlineStr">
        <is>
          <t>91.17.04-233</t>
        </is>
      </c>
      <c r="D23" s="98" t="inlineStr">
        <is>
          <t>Установки для сварки ручной дуговой (постоянного тока)</t>
        </is>
      </c>
      <c r="E23" s="175" t="inlineStr">
        <is>
          <t>маш.час</t>
        </is>
      </c>
      <c r="F23" s="46" t="n">
        <v>0.24</v>
      </c>
      <c r="G23" s="108" t="n">
        <v>8.1</v>
      </c>
      <c r="H23" s="70">
        <f>ROUND(F23*G23,2)</f>
        <v/>
      </c>
      <c r="K23" s="125" t="n"/>
    </row>
    <row r="24" ht="25.5" customHeight="1" s="123">
      <c r="A24" s="105" t="n">
        <v>10</v>
      </c>
      <c r="B24" s="126" t="n"/>
      <c r="C24" s="46" t="inlineStr">
        <is>
          <t>91.19.02-002</t>
        </is>
      </c>
      <c r="D24" s="98" t="inlineStr">
        <is>
          <t>Маслонасосы шестеренные, производительность 2,3 м3/час</t>
        </is>
      </c>
      <c r="E24" s="175" t="inlineStr">
        <is>
          <t>маш.час</t>
        </is>
      </c>
      <c r="F24" s="46" t="n">
        <v>1.06</v>
      </c>
      <c r="G24" s="108" t="n">
        <v>0.9</v>
      </c>
      <c r="H24" s="70">
        <f>ROUND(F24*G24,2)</f>
        <v/>
      </c>
      <c r="K24" s="125" t="n"/>
    </row>
    <row r="25">
      <c r="A25" s="105" t="n">
        <v>11</v>
      </c>
      <c r="B25" s="126" t="n"/>
      <c r="C25" s="46" t="inlineStr">
        <is>
          <t>91.14.02-002</t>
        </is>
      </c>
      <c r="D25" s="98" t="inlineStr">
        <is>
          <t>Автомобили бортовые, грузоподъемность до 8 т</t>
        </is>
      </c>
      <c r="E25" s="175" t="inlineStr">
        <is>
          <t>маш.час</t>
        </is>
      </c>
      <c r="F25" s="46" t="n">
        <v>0.009114000000000001</v>
      </c>
      <c r="G25" s="108" t="n">
        <v>85.84</v>
      </c>
      <c r="H25" s="70">
        <f>ROUND(F25*G25,2)</f>
        <v/>
      </c>
      <c r="K25" s="125" t="n"/>
    </row>
    <row r="26">
      <c r="A26" s="105" t="n">
        <v>12</v>
      </c>
      <c r="B26" s="126" t="n"/>
      <c r="C26" s="46" t="inlineStr">
        <is>
          <t>91.06.05-011</t>
        </is>
      </c>
      <c r="D26" s="98" t="inlineStr">
        <is>
          <t>Погрузчики, грузоподъемность 5 т</t>
        </is>
      </c>
      <c r="E26" s="175" t="inlineStr">
        <is>
          <t>маш.час</t>
        </is>
      </c>
      <c r="F26" s="46" t="n">
        <v>0.007148</v>
      </c>
      <c r="G26" s="108" t="n">
        <v>89.98999999999999</v>
      </c>
      <c r="H26" s="70">
        <f>ROUND(F26*G26,2)</f>
        <v/>
      </c>
      <c r="K26" s="125" t="n"/>
    </row>
    <row r="27" ht="25.5" customHeight="1" s="123">
      <c r="A27" s="105" t="n">
        <v>13</v>
      </c>
      <c r="B27" s="126" t="n"/>
      <c r="C27" s="46" t="inlineStr">
        <is>
          <t>91.06.03-060</t>
        </is>
      </c>
      <c r="D27" s="98" t="inlineStr">
        <is>
          <t>Лебедки электрические тяговым усилием до 5,79 кН (0,59 т)</t>
        </is>
      </c>
      <c r="E27" s="175" t="inlineStr">
        <is>
          <t>маш.час</t>
        </is>
      </c>
      <c r="F27" s="46" t="n">
        <v>0.010722</v>
      </c>
      <c r="G27" s="108" t="n">
        <v>1.7</v>
      </c>
      <c r="H27" s="70">
        <f>ROUND(F27*G27,2)</f>
        <v/>
      </c>
      <c r="K27" s="125" t="n"/>
    </row>
    <row r="28">
      <c r="A28" s="147" t="inlineStr">
        <is>
          <t>Оборудование</t>
        </is>
      </c>
      <c r="B28" s="188" t="n"/>
      <c r="C28" s="188" t="n"/>
      <c r="D28" s="188" t="n"/>
      <c r="E28" s="189" t="n"/>
      <c r="F28" s="147" t="n"/>
      <c r="G28" s="68" t="n"/>
      <c r="H28" s="197">
        <f>H29</f>
        <v/>
      </c>
      <c r="J28" s="81" t="n"/>
    </row>
    <row r="29" ht="25.5" customHeight="1" s="123">
      <c r="A29" s="105" t="n">
        <v>14</v>
      </c>
      <c r="B29" s="168" t="n"/>
      <c r="C29" s="97" t="inlineStr">
        <is>
          <t>Прайс из СД ОП</t>
        </is>
      </c>
      <c r="D29" s="98" t="inlineStr">
        <is>
          <t>Выключатель номинальный ток 1600 А, номинальный ток отключения 25 кА</t>
        </is>
      </c>
      <c r="E29" s="175" t="inlineStr">
        <is>
          <t>шт</t>
        </is>
      </c>
      <c r="F29" s="175" t="n">
        <v>2</v>
      </c>
      <c r="G29" s="101" t="n">
        <v>188980.65</v>
      </c>
      <c r="H29" s="101">
        <f>ROUND(F29*G29,2)</f>
        <v/>
      </c>
      <c r="I29" s="84" t="n"/>
    </row>
    <row r="30">
      <c r="A30" s="147" t="inlineStr">
        <is>
          <t>Материалы</t>
        </is>
      </c>
      <c r="B30" s="188" t="n"/>
      <c r="C30" s="188" t="n"/>
      <c r="D30" s="188" t="n"/>
      <c r="E30" s="189" t="n"/>
      <c r="F30" s="147" t="n"/>
      <c r="G30" s="68" t="n"/>
      <c r="H30" s="197">
        <f>SUM(H31:H42)</f>
        <v/>
      </c>
      <c r="J30" s="81" t="n"/>
    </row>
    <row r="31" ht="25.5" customHeight="1" s="123">
      <c r="A31" s="105" t="n">
        <v>15</v>
      </c>
      <c r="B31" s="87" t="n"/>
      <c r="C31" s="46" t="inlineStr">
        <is>
          <t>07.2.07.04-0014</t>
        </is>
      </c>
      <c r="D31" s="98" t="inlineStr">
        <is>
          <t>Конструкции сварные индивидуальные прочие, масса сборочной единицы от 0,1 до 0,5 т</t>
        </is>
      </c>
      <c r="E31" s="175" t="inlineStr">
        <is>
          <t>т</t>
        </is>
      </c>
      <c r="F31" s="175" t="n">
        <v>0.4694</v>
      </c>
      <c r="G31" s="101" t="n">
        <v>10046</v>
      </c>
      <c r="H31" s="101">
        <f>ROUND(F31*G31,2)</f>
        <v/>
      </c>
    </row>
    <row r="32" ht="38.25" customHeight="1" s="123">
      <c r="A32" s="105" t="n">
        <v>16</v>
      </c>
      <c r="B32" s="87" t="n"/>
      <c r="C32" s="46" t="inlineStr">
        <is>
          <t>14.4.01.20-0001</t>
        </is>
      </c>
      <c r="D32" s="98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32" s="175" t="inlineStr">
        <is>
          <t>т</t>
        </is>
      </c>
      <c r="F32" s="175" t="n">
        <v>0.007148</v>
      </c>
      <c r="G32" s="101" t="n">
        <v>107351.35</v>
      </c>
      <c r="H32" s="101">
        <f>ROUND(F32*G32,2)</f>
        <v/>
      </c>
    </row>
    <row r="33" ht="38.25" customHeight="1" s="123">
      <c r="A33" s="105" t="n">
        <v>17</v>
      </c>
      <c r="B33" s="87" t="n"/>
      <c r="C33" s="46" t="inlineStr">
        <is>
          <t>14.4.01.20-0012</t>
        </is>
      </c>
      <c r="D33" s="98" t="inlineStr">
        <is>
          <t>Грунтовка антикоррозионная цинкнаполненная быстросохнущая, преобразователь ржавчины и окалины</t>
        </is>
      </c>
      <c r="E33" s="175" t="inlineStr">
        <is>
          <t>т</t>
        </is>
      </c>
      <c r="F33" s="175" t="n">
        <v>0.005361</v>
      </c>
      <c r="G33" s="101" t="n">
        <v>86794.72</v>
      </c>
      <c r="H33" s="101">
        <f>ROUND(F33*G33,2)</f>
        <v/>
      </c>
    </row>
    <row r="34">
      <c r="A34" s="105" t="n">
        <v>18</v>
      </c>
      <c r="B34" s="87" t="n"/>
      <c r="C34" s="46" t="inlineStr">
        <is>
          <t>01.7.03.04-0001</t>
        </is>
      </c>
      <c r="D34" s="98" t="inlineStr">
        <is>
          <t>Электроэнергия</t>
        </is>
      </c>
      <c r="E34" s="175" t="inlineStr">
        <is>
          <t>кВт-ч</t>
        </is>
      </c>
      <c r="F34" s="175" t="n">
        <v>723.84</v>
      </c>
      <c r="G34" s="101" t="n">
        <v>0.4</v>
      </c>
      <c r="H34" s="101">
        <f>ROUND(F34*G34,2)</f>
        <v/>
      </c>
    </row>
    <row r="35" ht="15" customHeight="1" s="123">
      <c r="A35" s="105" t="n">
        <v>19</v>
      </c>
      <c r="B35" s="87" t="n"/>
      <c r="C35" s="46" t="inlineStr">
        <is>
          <t>14.4.02.09-0001</t>
        </is>
      </c>
      <c r="D35" s="98" t="inlineStr">
        <is>
          <t>Краска</t>
        </is>
      </c>
      <c r="E35" s="175" t="inlineStr">
        <is>
          <t>кг</t>
        </is>
      </c>
      <c r="F35" s="175" t="n">
        <v>7.6</v>
      </c>
      <c r="G35" s="101" t="n">
        <v>28.6</v>
      </c>
      <c r="H35" s="101">
        <f>ROUND(F35*G35,2)</f>
        <v/>
      </c>
    </row>
    <row r="36" ht="25.5" customHeight="1" s="123">
      <c r="A36" s="105" t="n">
        <v>20</v>
      </c>
      <c r="B36" s="87" t="n"/>
      <c r="C36" s="46" t="inlineStr">
        <is>
          <t>08.3.07.01-0076</t>
        </is>
      </c>
      <c r="D36" s="98" t="inlineStr">
        <is>
          <t>Прокат полосовой, горячекатаный, марка стали Ст3сп, ширина 50-200 мм, толщина 4-5 мм</t>
        </is>
      </c>
      <c r="E36" s="175" t="inlineStr">
        <is>
          <t>т</t>
        </is>
      </c>
      <c r="F36" s="175" t="n">
        <v>0.006</v>
      </c>
      <c r="G36" s="101" t="n">
        <v>5000</v>
      </c>
      <c r="H36" s="101">
        <f>ROUND(F36*G36,2)</f>
        <v/>
      </c>
    </row>
    <row r="37">
      <c r="A37" s="105" t="n">
        <v>21</v>
      </c>
      <c r="B37" s="87" t="n"/>
      <c r="C37" s="46" t="inlineStr">
        <is>
          <t>01.7.11.07-0032</t>
        </is>
      </c>
      <c r="D37" s="98" t="inlineStr">
        <is>
          <t>Электроды сварочные Э42, диаметр 4 мм</t>
        </is>
      </c>
      <c r="E37" s="175" t="inlineStr">
        <is>
          <t>т</t>
        </is>
      </c>
      <c r="F37" s="175" t="n">
        <v>0.0022785</v>
      </c>
      <c r="G37" s="101" t="n">
        <v>10315.01</v>
      </c>
      <c r="H37" s="101">
        <f>ROUND(F37*G37,2)</f>
        <v/>
      </c>
    </row>
    <row r="38" ht="15" customHeight="1" s="123">
      <c r="A38" s="105" t="n">
        <v>22</v>
      </c>
      <c r="B38" s="87" t="n"/>
      <c r="C38" s="46" t="inlineStr">
        <is>
          <t>01.3.01.06-0050</t>
        </is>
      </c>
      <c r="D38" s="98" t="inlineStr">
        <is>
          <t>Смазка универсальная тугоплавкая УТ (консталин жировой)</t>
        </is>
      </c>
      <c r="E38" s="175" t="inlineStr">
        <is>
          <t>т</t>
        </is>
      </c>
      <c r="F38" s="175" t="n">
        <v>0.001</v>
      </c>
      <c r="G38" s="101" t="n">
        <v>17500</v>
      </c>
      <c r="H38" s="101">
        <f>ROUND(F38*G38,2)</f>
        <v/>
      </c>
    </row>
    <row r="39">
      <c r="A39" s="105" t="n">
        <v>23</v>
      </c>
      <c r="B39" s="87" t="n"/>
      <c r="C39" s="46" t="inlineStr">
        <is>
          <t>01.7.20.08-0031</t>
        </is>
      </c>
      <c r="D39" s="98" t="inlineStr">
        <is>
          <t>Бязь суровая</t>
        </is>
      </c>
      <c r="E39" s="175" t="inlineStr">
        <is>
          <t>10 м2</t>
        </is>
      </c>
      <c r="F39" s="175" t="n">
        <v>0.22</v>
      </c>
      <c r="G39" s="101" t="n">
        <v>79.09999999999999</v>
      </c>
      <c r="H39" s="101">
        <f>ROUND(F39*G39,2)</f>
        <v/>
      </c>
    </row>
    <row r="40" ht="25.5" customHeight="1" s="123">
      <c r="A40" s="105" t="n">
        <v>24</v>
      </c>
      <c r="B40" s="87" t="n"/>
      <c r="C40" s="46" t="inlineStr">
        <is>
          <t>999-9950</t>
        </is>
      </c>
      <c r="D40" s="98" t="inlineStr">
        <is>
          <t>Вспомогательные ненормируемые ресурсы (2% от Оплаты труда рабочих)</t>
        </is>
      </c>
      <c r="E40" s="175" t="inlineStr">
        <is>
          <t>руб</t>
        </is>
      </c>
      <c r="F40" s="175" t="n">
        <v>17.04</v>
      </c>
      <c r="G40" s="101" t="n">
        <v>1</v>
      </c>
      <c r="H40" s="101">
        <f>ROUND(F40*G40,2)</f>
        <v/>
      </c>
    </row>
    <row r="41">
      <c r="A41" s="105" t="n">
        <v>25</v>
      </c>
      <c r="B41" s="87" t="n"/>
      <c r="C41" s="46" t="inlineStr">
        <is>
          <t>14.5.09.07-0030</t>
        </is>
      </c>
      <c r="D41" s="98" t="inlineStr">
        <is>
          <t>Растворитель Р-4</t>
        </is>
      </c>
      <c r="E41" s="175" t="inlineStr">
        <is>
          <t>кг</t>
        </is>
      </c>
      <c r="F41" s="175" t="n">
        <v>0.62545</v>
      </c>
      <c r="G41" s="101" t="n">
        <v>9.42</v>
      </c>
      <c r="H41" s="101">
        <f>ROUND(F41*G41,2)</f>
        <v/>
      </c>
    </row>
    <row r="42">
      <c r="A42" s="105" t="n">
        <v>26</v>
      </c>
      <c r="B42" s="87" t="n"/>
      <c r="C42" s="46" t="inlineStr">
        <is>
          <t>01.7.11.07-0034</t>
        </is>
      </c>
      <c r="D42" s="98" t="inlineStr">
        <is>
          <t>Электроды сварочные Э42А, диаметр 4 мм</t>
        </is>
      </c>
      <c r="E42" s="175" t="inlineStr">
        <is>
          <t>кг</t>
        </is>
      </c>
      <c r="F42" s="175" t="n">
        <v>0.1</v>
      </c>
      <c r="G42" s="101" t="n">
        <v>10.57</v>
      </c>
      <c r="H42" s="101">
        <f>ROUND(F42*G42,2)</f>
        <v/>
      </c>
    </row>
    <row r="43">
      <c r="J43" s="88" t="n"/>
    </row>
    <row r="45">
      <c r="B45" s="125" t="inlineStr">
        <is>
          <t>Составил ______________________  Е. М. Добровольская</t>
        </is>
      </c>
    </row>
    <row r="46">
      <c r="B46" s="53" t="inlineStr">
        <is>
          <t xml:space="preserve">                         (подпись, инициалы, фамилия)</t>
        </is>
      </c>
    </row>
    <row r="48">
      <c r="B48" s="125" t="inlineStr">
        <is>
          <t>Проверил ______________________        А.В. Костянецкая</t>
        </is>
      </c>
    </row>
    <row r="49">
      <c r="B49" s="53" t="inlineStr">
        <is>
          <t xml:space="preserve">                        (подпись, инициалы, фамилия)</t>
        </is>
      </c>
    </row>
  </sheetData>
  <mergeCells count="15">
    <mergeCell ref="A30:E30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8:E28"/>
    <mergeCell ref="G9:H9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D45" sqref="D45"/>
    </sheetView>
  </sheetViews>
  <sheetFormatPr baseColWidth="8" defaultRowHeight="15"/>
  <cols>
    <col width="4.140625" customWidth="1" style="123" min="1" max="1"/>
    <col width="36.28515625" customWidth="1" style="123" min="2" max="2"/>
    <col width="18.85546875" customWidth="1" style="123" min="3" max="3"/>
    <col width="18.28515625" customWidth="1" style="123" min="4" max="4"/>
    <col width="18.85546875" customWidth="1" style="123" min="5" max="5"/>
    <col width="9.140625" customWidth="1" style="123" min="6" max="6"/>
    <col width="12.85546875" customWidth="1" style="123" min="7" max="7"/>
    <col width="9.140625" customWidth="1" style="123" min="8" max="11"/>
    <col width="13.5703125" customWidth="1" style="123" min="12" max="12"/>
    <col width="9.140625" customWidth="1" style="123" min="13" max="13"/>
  </cols>
  <sheetData>
    <row r="1">
      <c r="B1" s="116" t="n"/>
      <c r="C1" s="116" t="n"/>
      <c r="D1" s="116" t="n"/>
      <c r="E1" s="116" t="n"/>
    </row>
    <row r="2">
      <c r="B2" s="116" t="n"/>
      <c r="C2" s="116" t="n"/>
      <c r="D2" s="116" t="n"/>
      <c r="E2" s="174" t="inlineStr">
        <is>
          <t>Приложение № 4</t>
        </is>
      </c>
    </row>
    <row r="3">
      <c r="B3" s="116" t="n"/>
      <c r="C3" s="116" t="n"/>
      <c r="D3" s="116" t="n"/>
      <c r="E3" s="116" t="n"/>
    </row>
    <row r="4">
      <c r="B4" s="116" t="n"/>
      <c r="C4" s="116" t="n"/>
      <c r="D4" s="116" t="n"/>
      <c r="E4" s="116" t="n"/>
    </row>
    <row r="5">
      <c r="B5" s="151" t="inlineStr">
        <is>
          <t>Ресурсная модель</t>
        </is>
      </c>
    </row>
    <row r="6">
      <c r="B6" s="16" t="n"/>
      <c r="C6" s="116" t="n"/>
      <c r="D6" s="116" t="n"/>
      <c r="E6" s="116" t="n"/>
    </row>
    <row r="7" ht="39.75" customHeight="1" s="123">
      <c r="B7" s="152">
        <f>'Прил.1 Сравнит табл'!B7</f>
        <v/>
      </c>
    </row>
    <row r="8">
      <c r="B8" s="153">
        <f>'Прил.1 Сравнит табл'!B9</f>
        <v/>
      </c>
    </row>
    <row r="9">
      <c r="B9" s="16" t="n"/>
      <c r="C9" s="116" t="n"/>
      <c r="D9" s="116" t="n"/>
      <c r="E9" s="116" t="n"/>
    </row>
    <row r="10" ht="51" customHeight="1" s="123">
      <c r="B10" s="154" t="inlineStr">
        <is>
          <t>Наименование</t>
        </is>
      </c>
      <c r="C10" s="154" t="inlineStr">
        <is>
          <t>Сметная стоимость в ценах на 01.01.2023
 (руб.)</t>
        </is>
      </c>
      <c r="D10" s="154" t="inlineStr">
        <is>
          <t>Удельный вес, 
(в СМР)</t>
        </is>
      </c>
      <c r="E10" s="154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ОБ'!J20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ОБ'!J29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ОБ'!J45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ОБ'!J81</f>
        <v/>
      </c>
      <c r="D17" s="24">
        <f>C17/$C$24</f>
        <v/>
      </c>
      <c r="E17" s="24">
        <f>C17/$C$40</f>
        <v/>
      </c>
      <c r="G17" s="202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ОБ'!E85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ОБ'!E84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23">
      <c r="B25" s="7" t="inlineStr">
        <is>
          <t>ВСЕГО стоимость оборудования, в том числе</t>
        </is>
      </c>
      <c r="C25" s="25">
        <f>'Прил.5 Расчет СМР и ОБ'!J36</f>
        <v/>
      </c>
      <c r="D25" s="24" t="n"/>
      <c r="E25" s="24">
        <f>C25/$C$40</f>
        <v/>
      </c>
    </row>
    <row r="26" ht="25.5" customHeight="1" s="123">
      <c r="B26" s="7" t="inlineStr">
        <is>
          <t>стоимость оборудования технологического</t>
        </is>
      </c>
      <c r="C26" s="25">
        <f>'Прил.5 Расчет СМР и ОБ'!J37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2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23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 t="n">
        <v>0.025</v>
      </c>
    </row>
    <row r="30" ht="38.25" customHeight="1" s="12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 t="n">
        <v>0.021</v>
      </c>
    </row>
    <row r="31">
      <c r="B31" s="7" t="inlineStr">
        <is>
          <t xml:space="preserve">Пусконаладочные работы </t>
        </is>
      </c>
      <c r="C31" s="23" t="n">
        <v>328074.34</v>
      </c>
      <c r="D31" s="7" t="n"/>
      <c r="E31" s="24">
        <f>C31/$C$40</f>
        <v/>
      </c>
    </row>
    <row r="32" ht="25.5" customHeight="1" s="123">
      <c r="B32" s="7" t="inlineStr">
        <is>
          <t>Затраты по перевозке работников к месту работы и обратно</t>
        </is>
      </c>
      <c r="C32" s="23" t="n">
        <v>0</v>
      </c>
      <c r="D32" s="7" t="n"/>
      <c r="E32" s="24">
        <f>C32/$C$40</f>
        <v/>
      </c>
      <c r="G32" s="84" t="n"/>
    </row>
    <row r="33" ht="25.5" customHeight="1" s="12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4" t="n"/>
    </row>
    <row r="34" ht="51" customHeight="1" s="12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4" t="n"/>
    </row>
    <row r="35" ht="76.5" customHeight="1" s="12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203" t="n"/>
    </row>
    <row r="36" ht="25.5" customHeight="1" s="12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2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2" t="n"/>
      <c r="L37" s="18" t="n"/>
    </row>
    <row r="38" ht="38.25" customHeight="1" s="123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23">
      <c r="B39" s="7" t="inlineStr">
        <is>
          <t>Непредвиденные расходы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ОБ'!E88</f>
        <v/>
      </c>
      <c r="D41" s="7" t="n"/>
      <c r="E41" s="7" t="n"/>
    </row>
    <row r="42">
      <c r="B42" s="19" t="n"/>
      <c r="C42" s="116" t="n"/>
      <c r="D42" s="116" t="n"/>
      <c r="E42" s="116" t="n"/>
    </row>
    <row r="43">
      <c r="B43" s="116" t="inlineStr">
        <is>
          <t>Составил ______________________    Е. М. Добровольская</t>
        </is>
      </c>
      <c r="C43" s="117" t="n"/>
      <c r="D43" s="116" t="n"/>
      <c r="E43" s="116" t="n"/>
    </row>
    <row r="44">
      <c r="B44" s="119" t="inlineStr">
        <is>
          <t xml:space="preserve">                         (подпись, инициалы, фамилия)</t>
        </is>
      </c>
      <c r="C44" s="117" t="n"/>
      <c r="D44" s="116" t="n"/>
      <c r="E44" s="116" t="n"/>
    </row>
    <row r="45">
      <c r="B45" s="116" t="n"/>
      <c r="C45" s="117" t="n"/>
      <c r="D45" s="116" t="n"/>
      <c r="E45" s="116" t="n"/>
    </row>
    <row r="46">
      <c r="B46" s="116" t="inlineStr">
        <is>
          <t>Проверил ______________________        А.В. Костянецкая</t>
        </is>
      </c>
      <c r="C46" s="117" t="n"/>
      <c r="D46" s="116" t="n"/>
      <c r="E46" s="116" t="n"/>
    </row>
    <row r="47">
      <c r="B47" s="119" t="inlineStr">
        <is>
          <t xml:space="preserve">                        (подпись, инициалы, фамилия)</t>
        </is>
      </c>
      <c r="C47" s="117" t="n"/>
      <c r="D47" s="116" t="n"/>
      <c r="E47" s="116" t="n"/>
    </row>
    <row r="49">
      <c r="B49" s="116" t="n"/>
      <c r="C49" s="116" t="n"/>
      <c r="D49" s="116" t="n"/>
      <c r="E49" s="116" t="n"/>
    </row>
    <row r="50">
      <c r="B50" s="116" t="n"/>
      <c r="C50" s="116" t="n"/>
      <c r="D50" s="116" t="n"/>
      <c r="E50" s="11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5"/>
  <sheetViews>
    <sheetView view="pageBreakPreview" topLeftCell="A87" workbookViewId="0">
      <selection activeCell="E96" sqref="E96"/>
    </sheetView>
  </sheetViews>
  <sheetFormatPr baseColWidth="8" defaultColWidth="9.140625" defaultRowHeight="15" outlineLevelRow="1"/>
  <cols>
    <col width="5.7109375" customWidth="1" style="117" min="1" max="1"/>
    <col width="22.5703125" customWidth="1" style="117" min="2" max="2"/>
    <col width="39.140625" customWidth="1" style="117" min="3" max="3"/>
    <col width="10.7109375" customWidth="1" style="117" min="4" max="4"/>
    <col width="12.7109375" customWidth="1" style="117" min="5" max="5"/>
    <col width="14.5703125" customWidth="1" style="117" min="6" max="6"/>
    <col width="13.42578125" customWidth="1" style="117" min="7" max="7"/>
    <col width="12.7109375" customWidth="1" style="117" min="8" max="8"/>
    <col width="14.5703125" customWidth="1" style="117" min="9" max="9"/>
    <col width="15.140625" customWidth="1" style="117" min="10" max="10"/>
    <col width="2.85546875" customWidth="1" style="117" min="11" max="11"/>
    <col width="18.7109375" customWidth="1" style="117" min="12" max="12"/>
    <col width="10.85546875" customWidth="1" style="117" min="13" max="13"/>
    <col width="9.140625" customWidth="1" style="117" min="14" max="14"/>
  </cols>
  <sheetData>
    <row r="2" ht="15.75" customHeight="1" s="123">
      <c r="I2" s="125" t="n"/>
      <c r="J2" s="43" t="inlineStr">
        <is>
          <t>Приложение №5</t>
        </is>
      </c>
    </row>
    <row r="4" ht="12.75" customFormat="1" customHeight="1" s="116">
      <c r="A4" s="151" t="inlineStr">
        <is>
          <t>Расчет стоимости СМР и оборудования</t>
        </is>
      </c>
      <c r="I4" s="151" t="n"/>
      <c r="J4" s="151" t="n"/>
    </row>
    <row r="5" ht="12.75" customFormat="1" customHeight="1" s="116">
      <c r="A5" s="151" t="n"/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</row>
    <row r="6" ht="41.25" customFormat="1" customHeight="1" s="116">
      <c r="A6" s="74" t="inlineStr">
        <is>
          <t>Наименование разрабатываемого показателя УНЦ</t>
        </is>
      </c>
      <c r="B6" s="75" t="n"/>
      <c r="C6" s="75" t="n"/>
      <c r="D6" s="167" t="inlineStr">
        <is>
          <t>Выключатель 35 кВ без устройства фундаментов, номинальный ток 2500 А, номинальный ток отключения 31,5 кА</t>
        </is>
      </c>
    </row>
    <row r="7" ht="12.75" customFormat="1" customHeight="1" s="116">
      <c r="A7" s="167">
        <f>'Прил.1 Сравнит табл'!B9</f>
        <v/>
      </c>
      <c r="I7" s="152" t="n"/>
      <c r="J7" s="152" t="n"/>
    </row>
    <row r="8" ht="12.75" customFormat="1" customHeight="1" s="116"/>
    <row r="9" ht="27" customHeight="1" s="123">
      <c r="A9" s="154" t="inlineStr">
        <is>
          <t>№ пп.</t>
        </is>
      </c>
      <c r="B9" s="154" t="inlineStr">
        <is>
          <t>Код ресурса</t>
        </is>
      </c>
      <c r="C9" s="154" t="inlineStr">
        <is>
          <t>Наименование</t>
        </is>
      </c>
      <c r="D9" s="154" t="inlineStr">
        <is>
          <t>Ед. изм.</t>
        </is>
      </c>
      <c r="E9" s="154" t="inlineStr">
        <is>
          <t>Кол-во единиц по проектным данным</t>
        </is>
      </c>
      <c r="F9" s="154" t="inlineStr">
        <is>
          <t>Сметная стоимость в ценах на 01.01.2000 (руб.)</t>
        </is>
      </c>
      <c r="G9" s="189" t="n"/>
      <c r="H9" s="154" t="inlineStr">
        <is>
          <t>Удельный вес, %</t>
        </is>
      </c>
      <c r="I9" s="154" t="inlineStr">
        <is>
          <t>Сметная стоимость в ценах на 01.01.2023 (руб.)</t>
        </is>
      </c>
      <c r="J9" s="189" t="n"/>
    </row>
    <row r="10" ht="28.5" customHeight="1" s="123">
      <c r="A10" s="191" t="n"/>
      <c r="B10" s="191" t="n"/>
      <c r="C10" s="191" t="n"/>
      <c r="D10" s="191" t="n"/>
      <c r="E10" s="191" t="n"/>
      <c r="F10" s="154" t="inlineStr">
        <is>
          <t>на ед. изм.</t>
        </is>
      </c>
      <c r="G10" s="154" t="inlineStr">
        <is>
          <t>общая</t>
        </is>
      </c>
      <c r="H10" s="191" t="n"/>
      <c r="I10" s="154" t="inlineStr">
        <is>
          <t>на ед. изм.</t>
        </is>
      </c>
      <c r="J10" s="154" t="inlineStr">
        <is>
          <t>общая</t>
        </is>
      </c>
    </row>
    <row r="11">
      <c r="A11" s="154" t="n">
        <v>1</v>
      </c>
      <c r="B11" s="154" t="n">
        <v>2</v>
      </c>
      <c r="C11" s="154" t="n">
        <v>3</v>
      </c>
      <c r="D11" s="154" t="n">
        <v>4</v>
      </c>
      <c r="E11" s="154" t="n">
        <v>5</v>
      </c>
      <c r="F11" s="154" t="n">
        <v>6</v>
      </c>
      <c r="G11" s="154" t="n">
        <v>7</v>
      </c>
      <c r="H11" s="154" t="n">
        <v>8</v>
      </c>
      <c r="I11" s="154" t="n">
        <v>9</v>
      </c>
      <c r="J11" s="154" t="n">
        <v>10</v>
      </c>
    </row>
    <row r="12">
      <c r="A12" s="154" t="n"/>
      <c r="B12" s="168" t="inlineStr">
        <is>
          <t>Затраты труда рабочих-строителей</t>
        </is>
      </c>
      <c r="C12" s="188" t="n"/>
      <c r="D12" s="188" t="n"/>
      <c r="E12" s="188" t="n"/>
      <c r="F12" s="188" t="n"/>
      <c r="G12" s="188" t="n"/>
      <c r="H12" s="189" t="n"/>
      <c r="I12" s="28" t="n"/>
      <c r="J12" s="28" t="n"/>
      <c r="L12" s="204" t="n"/>
    </row>
    <row r="13" ht="25.5" customHeight="1" s="123">
      <c r="A13" s="154" t="n">
        <v>1</v>
      </c>
      <c r="B13" s="97" t="inlineStr">
        <is>
          <t>1-4-0</t>
        </is>
      </c>
      <c r="C13" s="159" t="inlineStr">
        <is>
          <t>Затраты труда рабочих-строителей среднего разряда (4,0)</t>
        </is>
      </c>
      <c r="D13" s="154" t="inlineStr">
        <is>
          <t>чел.-ч.</t>
        </is>
      </c>
      <c r="E13" s="205">
        <f>G13/F13</f>
        <v/>
      </c>
      <c r="F13" s="14" t="n">
        <v>9.619999999999999</v>
      </c>
      <c r="G13" s="14">
        <f>Прил.3!H12</f>
        <v/>
      </c>
      <c r="H13" s="169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117">
      <c r="A14" s="154" t="n"/>
      <c r="B14" s="154" t="n"/>
      <c r="C14" s="168" t="inlineStr">
        <is>
          <t>Итого по разделу "Затраты труда рабочих-строителей"</t>
        </is>
      </c>
      <c r="D14" s="154" t="inlineStr">
        <is>
          <t>чел.-ч.</t>
        </is>
      </c>
      <c r="E14" s="205">
        <f>SUM(E13:E13)</f>
        <v/>
      </c>
      <c r="F14" s="14" t="n"/>
      <c r="G14" s="14">
        <f>SUM(G13:G13)</f>
        <v/>
      </c>
      <c r="H14" s="169" t="n">
        <v>1</v>
      </c>
      <c r="I14" s="14" t="n"/>
      <c r="J14" s="14">
        <f>SUM(J13:J13)</f>
        <v/>
      </c>
      <c r="L14" s="48" t="n"/>
    </row>
    <row r="15" ht="14.25" customFormat="1" customHeight="1" s="117">
      <c r="A15" s="154" t="n"/>
      <c r="B15" s="159" t="inlineStr">
        <is>
          <t>Затраты труда машинистов</t>
        </is>
      </c>
      <c r="C15" s="188" t="n"/>
      <c r="D15" s="188" t="n"/>
      <c r="E15" s="188" t="n"/>
      <c r="F15" s="188" t="n"/>
      <c r="G15" s="188" t="n"/>
      <c r="H15" s="189" t="n"/>
      <c r="I15" s="28" t="n"/>
      <c r="J15" s="28" t="n"/>
      <c r="L15" s="204" t="n"/>
    </row>
    <row r="16" ht="14.25" customFormat="1" customHeight="1" s="117">
      <c r="A16" s="154" t="n">
        <v>2</v>
      </c>
      <c r="B16" s="97" t="n">
        <v>2</v>
      </c>
      <c r="C16" s="159" t="inlineStr">
        <is>
          <t>Затраты труда машинистов</t>
        </is>
      </c>
      <c r="D16" s="154" t="inlineStr">
        <is>
          <t>чел.-ч.</t>
        </is>
      </c>
      <c r="E16" s="205">
        <f>Прил.3!F17</f>
        <v/>
      </c>
      <c r="F16" s="14">
        <f>G16/E16</f>
        <v/>
      </c>
      <c r="G16" s="14">
        <f>Прил.3!H17</f>
        <v/>
      </c>
      <c r="H16" s="169" t="n">
        <v>1</v>
      </c>
      <c r="I16" s="14">
        <f>ROUND(F16*Прил.10!D10,2)</f>
        <v/>
      </c>
      <c r="J16" s="14">
        <f>ROUND(I16*E16,2)</f>
        <v/>
      </c>
      <c r="L16" s="40" t="n"/>
    </row>
    <row r="17" ht="14.25" customFormat="1" customHeight="1" s="117">
      <c r="A17" s="154" t="n"/>
      <c r="B17" s="168" t="inlineStr">
        <is>
          <t>Машины и механизмы</t>
        </is>
      </c>
      <c r="C17" s="188" t="n"/>
      <c r="D17" s="188" t="n"/>
      <c r="E17" s="188" t="n"/>
      <c r="F17" s="188" t="n"/>
      <c r="G17" s="188" t="n"/>
      <c r="H17" s="189" t="n"/>
      <c r="I17" s="169" t="n"/>
      <c r="J17" s="169" t="n"/>
    </row>
    <row r="18" ht="14.25" customFormat="1" customHeight="1" s="117">
      <c r="A18" s="154" t="n"/>
      <c r="B18" s="159" t="inlineStr">
        <is>
          <t>Основные машины и механизмы</t>
        </is>
      </c>
      <c r="C18" s="188" t="n"/>
      <c r="D18" s="188" t="n"/>
      <c r="E18" s="188" t="n"/>
      <c r="F18" s="188" t="n"/>
      <c r="G18" s="188" t="n"/>
      <c r="H18" s="189" t="n"/>
      <c r="I18" s="28" t="n"/>
      <c r="J18" s="28" t="n"/>
    </row>
    <row r="19" ht="25.5" customFormat="1" customHeight="1" s="117">
      <c r="A19" s="154" t="n">
        <v>3</v>
      </c>
      <c r="B19" s="97" t="inlineStr">
        <is>
          <t>91.05.05-015</t>
        </is>
      </c>
      <c r="C19" s="159" t="inlineStr">
        <is>
          <t>Краны на автомобильном ходу, грузоподъемность 16 т</t>
        </is>
      </c>
      <c r="D19" s="154" t="inlineStr">
        <is>
          <t>маш.час</t>
        </is>
      </c>
      <c r="E19" s="205" t="n">
        <v>9.194941</v>
      </c>
      <c r="F19" s="14" t="n">
        <v>115.4</v>
      </c>
      <c r="G19" s="14">
        <f>ROUND(E19*F19,2)</f>
        <v/>
      </c>
      <c r="H19" s="169">
        <f>G19/$G$30</f>
        <v/>
      </c>
      <c r="I19" s="14">
        <f>ROUND(F19*Прил.10!$D$11,2)</f>
        <v/>
      </c>
      <c r="J19" s="14">
        <f>ROUND(I19*E19,2)</f>
        <v/>
      </c>
    </row>
    <row r="20" ht="14.25" customFormat="1" customHeight="1" s="117">
      <c r="A20" s="154" t="n">
        <v>4</v>
      </c>
      <c r="B20" s="97" t="n"/>
      <c r="C20" s="159" t="inlineStr">
        <is>
          <t>Итого основные машины и механизмы</t>
        </is>
      </c>
      <c r="D20" s="154" t="n"/>
      <c r="E20" s="205" t="n"/>
      <c r="F20" s="14" t="n"/>
      <c r="G20" s="14">
        <f>G19</f>
        <v/>
      </c>
      <c r="H20" s="169">
        <f>G20/G30</f>
        <v/>
      </c>
      <c r="I20" s="14" t="n"/>
      <c r="J20" s="14">
        <f>SUM(J19:J19)</f>
        <v/>
      </c>
      <c r="L20" s="206" t="n"/>
    </row>
    <row r="21" hidden="1" outlineLevel="1" ht="25.5" customFormat="1" customHeight="1" s="117">
      <c r="A21" s="154" t="n">
        <v>5</v>
      </c>
      <c r="B21" s="97" t="inlineStr">
        <is>
          <t>91.14.02-001</t>
        </is>
      </c>
      <c r="C21" s="159" t="inlineStr">
        <is>
          <t>Автомобили бортовые, грузоподъемность до 5 т</t>
        </is>
      </c>
      <c r="D21" s="154" t="inlineStr">
        <is>
          <t>маш.час</t>
        </is>
      </c>
      <c r="E21" s="205" t="n">
        <v>1.887148</v>
      </c>
      <c r="F21" s="14" t="n">
        <v>65.70999999999999</v>
      </c>
      <c r="G21" s="14">
        <f>ROUND(E21*F21,2)</f>
        <v/>
      </c>
      <c r="H21" s="169">
        <f>G21/$G$30</f>
        <v/>
      </c>
      <c r="I21" s="14">
        <f>ROUND(F21*Прил.10!$D$11,2)</f>
        <v/>
      </c>
      <c r="J21" s="14">
        <f>ROUND(I21*E21,2)</f>
        <v/>
      </c>
      <c r="L21" s="206" t="n"/>
    </row>
    <row r="22" hidden="1" outlineLevel="1" ht="38.25" customFormat="1" customHeight="1" s="117">
      <c r="A22" s="154" t="n">
        <v>6</v>
      </c>
      <c r="B22" s="97" t="inlineStr">
        <is>
          <t>91.17.04-036</t>
        </is>
      </c>
      <c r="C22" s="159" t="inlineStr">
        <is>
          <t>Агрегаты сварочные передвижные с дизельным двигателем, номинальный сварочный ток 250-400 А</t>
        </is>
      </c>
      <c r="D22" s="154" t="inlineStr">
        <is>
          <t>маш.час</t>
        </is>
      </c>
      <c r="E22" s="205" t="n">
        <v>0.993426</v>
      </c>
      <c r="F22" s="14" t="n">
        <v>14</v>
      </c>
      <c r="G22" s="14">
        <f>ROUND(E22*F22,2)</f>
        <v/>
      </c>
      <c r="H22" s="169">
        <f>G22/$G$30</f>
        <v/>
      </c>
      <c r="I22" s="14">
        <f>ROUND(F22*Прил.10!$D$11,2)</f>
        <v/>
      </c>
      <c r="J22" s="14">
        <f>ROUND(I22*E22,2)</f>
        <v/>
      </c>
      <c r="L22" s="206" t="n"/>
    </row>
    <row r="23" hidden="1" outlineLevel="1" ht="38.25" customFormat="1" customHeight="1" s="117">
      <c r="A23" s="154" t="n">
        <v>7</v>
      </c>
      <c r="B23" s="97" t="inlineStr">
        <is>
          <t>91.21.01-012</t>
        </is>
      </c>
      <c r="C23" s="159" t="inlineStr">
        <is>
          <t>Агрегаты окрасочные высокого давления для окраски поверхностей конструкций, мощность 1 кВт</t>
        </is>
      </c>
      <c r="D23" s="154" t="inlineStr">
        <is>
          <t>маш.час</t>
        </is>
      </c>
      <c r="E23" s="205" t="n">
        <v>1.05433</v>
      </c>
      <c r="F23" s="14" t="n">
        <v>6.82</v>
      </c>
      <c r="G23" s="14">
        <f>ROUND(E23*F23,2)</f>
        <v/>
      </c>
      <c r="H23" s="169">
        <f>G23/$G$30</f>
        <v/>
      </c>
      <c r="I23" s="14">
        <f>ROUND(F23*Прил.10!$D$11,2)</f>
        <v/>
      </c>
      <c r="J23" s="14">
        <f>ROUND(I23*E23,2)</f>
        <v/>
      </c>
      <c r="L23" s="206" t="n"/>
    </row>
    <row r="24" hidden="1" outlineLevel="1" ht="25.5" customFormat="1" customHeight="1" s="117">
      <c r="A24" s="154" t="n">
        <v>8</v>
      </c>
      <c r="B24" s="97" t="inlineStr">
        <is>
          <t>91.17.04-233</t>
        </is>
      </c>
      <c r="C24" s="159" t="inlineStr">
        <is>
          <t>Установки для сварки ручной дуговой (постоянного тока)</t>
        </is>
      </c>
      <c r="D24" s="154" t="inlineStr">
        <is>
          <t>маш.час</t>
        </is>
      </c>
      <c r="E24" s="205" t="n">
        <v>0.24</v>
      </c>
      <c r="F24" s="14" t="n">
        <v>8.1</v>
      </c>
      <c r="G24" s="14">
        <f>ROUND(E24*F24,2)</f>
        <v/>
      </c>
      <c r="H24" s="169">
        <f>G24/$G$30</f>
        <v/>
      </c>
      <c r="I24" s="14">
        <f>ROUND(F24*Прил.10!$D$11,2)</f>
        <v/>
      </c>
      <c r="J24" s="14">
        <f>ROUND(I24*E24,2)</f>
        <v/>
      </c>
      <c r="L24" s="206" t="n"/>
    </row>
    <row r="25" hidden="1" outlineLevel="1" ht="25.5" customFormat="1" customHeight="1" s="117">
      <c r="A25" s="154" t="n">
        <v>9</v>
      </c>
      <c r="B25" s="97" t="inlineStr">
        <is>
          <t>91.19.02-002</t>
        </is>
      </c>
      <c r="C25" s="159" t="inlineStr">
        <is>
          <t>Маслонасосы шестеренные, производительность 2,3 м3/час</t>
        </is>
      </c>
      <c r="D25" s="154" t="inlineStr">
        <is>
          <t>маш.час</t>
        </is>
      </c>
      <c r="E25" s="205" t="n">
        <v>1.06</v>
      </c>
      <c r="F25" s="14" t="n">
        <v>0.9</v>
      </c>
      <c r="G25" s="14">
        <f>ROUND(E25*F25,2)</f>
        <v/>
      </c>
      <c r="H25" s="169">
        <f>G25/$G$30</f>
        <v/>
      </c>
      <c r="I25" s="14">
        <f>ROUND(F25*Прил.10!$D$11,2)</f>
        <v/>
      </c>
      <c r="J25" s="14">
        <f>ROUND(I25*E25,2)</f>
        <v/>
      </c>
      <c r="L25" s="206" t="n"/>
    </row>
    <row r="26" hidden="1" outlineLevel="1" ht="25.5" customFormat="1" customHeight="1" s="117">
      <c r="A26" s="154" t="n">
        <v>10</v>
      </c>
      <c r="B26" s="97" t="inlineStr">
        <is>
          <t>91.14.02-002</t>
        </is>
      </c>
      <c r="C26" s="159" t="inlineStr">
        <is>
          <t>Автомобили бортовые, грузоподъемность до 8 т</t>
        </is>
      </c>
      <c r="D26" s="154" t="inlineStr">
        <is>
          <t>маш.час</t>
        </is>
      </c>
      <c r="E26" s="205" t="n">
        <v>0.009114000000000001</v>
      </c>
      <c r="F26" s="14" t="n">
        <v>85.84</v>
      </c>
      <c r="G26" s="14">
        <f>ROUND(E26*F26,2)</f>
        <v/>
      </c>
      <c r="H26" s="169">
        <f>G26/$G$30</f>
        <v/>
      </c>
      <c r="I26" s="14">
        <f>ROUND(F26*Прил.10!$D$11,2)</f>
        <v/>
      </c>
      <c r="J26" s="14">
        <f>ROUND(I26*E26,2)</f>
        <v/>
      </c>
      <c r="L26" s="206" t="n"/>
    </row>
    <row r="27" hidden="1" outlineLevel="1" ht="14.25" customFormat="1" customHeight="1" s="117">
      <c r="A27" s="154" t="n">
        <v>11</v>
      </c>
      <c r="B27" s="97" t="inlineStr">
        <is>
          <t>91.06.05-011</t>
        </is>
      </c>
      <c r="C27" s="159" t="inlineStr">
        <is>
          <t>Погрузчики, грузоподъемность 5 т</t>
        </is>
      </c>
      <c r="D27" s="154" t="inlineStr">
        <is>
          <t>маш.час</t>
        </is>
      </c>
      <c r="E27" s="205" t="n">
        <v>0.007148</v>
      </c>
      <c r="F27" s="14" t="n">
        <v>89.98999999999999</v>
      </c>
      <c r="G27" s="14">
        <f>ROUND(E27*F27,2)</f>
        <v/>
      </c>
      <c r="H27" s="169">
        <f>G27/$G$30</f>
        <v/>
      </c>
      <c r="I27" s="14">
        <f>ROUND(F27*Прил.10!$D$11,2)</f>
        <v/>
      </c>
      <c r="J27" s="14">
        <f>ROUND(I27*E27,2)</f>
        <v/>
      </c>
      <c r="L27" s="206" t="n"/>
    </row>
    <row r="28" hidden="1" outlineLevel="1" ht="25.5" customFormat="1" customHeight="1" s="117">
      <c r="A28" s="154" t="n">
        <v>12</v>
      </c>
      <c r="B28" s="97" t="inlineStr">
        <is>
          <t>91.06.03-060</t>
        </is>
      </c>
      <c r="C28" s="159" t="inlineStr">
        <is>
          <t>Лебедки электрические тяговым усилием до 5,79 кН (0,59 т)</t>
        </is>
      </c>
      <c r="D28" s="154" t="inlineStr">
        <is>
          <t>маш.час</t>
        </is>
      </c>
      <c r="E28" s="205" t="n">
        <v>0.010722</v>
      </c>
      <c r="F28" s="14" t="n">
        <v>1.7</v>
      </c>
      <c r="G28" s="14">
        <f>ROUND(E28*F28,2)</f>
        <v/>
      </c>
      <c r="H28" s="169">
        <f>G28/$G$30</f>
        <v/>
      </c>
      <c r="I28" s="14">
        <f>ROUND(F28*Прил.10!$D$11,2)</f>
        <v/>
      </c>
      <c r="J28" s="14">
        <f>ROUND(I28*E28,2)</f>
        <v/>
      </c>
      <c r="L28" s="206" t="n"/>
    </row>
    <row r="29" collapsed="1" ht="14.25" customFormat="1" customHeight="1" s="117">
      <c r="A29" s="154" t="n"/>
      <c r="B29" s="154" t="n"/>
      <c r="C29" s="159" t="inlineStr">
        <is>
          <t>Итого прочие машины и механизмы</t>
        </is>
      </c>
      <c r="D29" s="154" t="n"/>
      <c r="E29" s="160" t="n"/>
      <c r="F29" s="14" t="n"/>
      <c r="G29" s="14">
        <f>SUM(G21:G28)</f>
        <v/>
      </c>
      <c r="H29" s="169">
        <f>G29/G30</f>
        <v/>
      </c>
      <c r="I29" s="14" t="n"/>
      <c r="J29" s="14">
        <f>SUM(J21:J28)</f>
        <v/>
      </c>
      <c r="K29" s="206" t="n"/>
      <c r="L29" s="204" t="n"/>
    </row>
    <row r="30" ht="25.5" customFormat="1" customHeight="1" s="117">
      <c r="A30" s="154" t="n"/>
      <c r="B30" s="155" t="n"/>
      <c r="C30" s="163" t="inlineStr">
        <is>
          <t>Итого по разделу «Машины и механизмы»</t>
        </is>
      </c>
      <c r="D30" s="155" t="n"/>
      <c r="E30" s="35" t="n"/>
      <c r="F30" s="36" t="n"/>
      <c r="G30" s="36">
        <f>G20+G29</f>
        <v/>
      </c>
      <c r="H30" s="37" t="n">
        <v>1</v>
      </c>
      <c r="I30" s="36" t="n"/>
      <c r="J30" s="36">
        <f>J20+J29</f>
        <v/>
      </c>
    </row>
    <row r="31">
      <c r="A31" s="50" t="n"/>
      <c r="B31" s="163" t="inlineStr">
        <is>
          <t xml:space="preserve">Оборудование </t>
        </is>
      </c>
      <c r="C31" s="207" t="n"/>
      <c r="D31" s="207" t="n"/>
      <c r="E31" s="207" t="n"/>
      <c r="F31" s="207" t="n"/>
      <c r="G31" s="207" t="n"/>
      <c r="H31" s="207" t="n"/>
      <c r="I31" s="207" t="n"/>
      <c r="J31" s="208" t="n"/>
    </row>
    <row r="32" ht="15" customHeight="1" s="123">
      <c r="A32" s="154" t="n"/>
      <c r="B32" s="159" t="inlineStr">
        <is>
          <t>Основное оборудование</t>
        </is>
      </c>
      <c r="C32" s="188" t="n"/>
      <c r="D32" s="188" t="n"/>
      <c r="E32" s="188" t="n"/>
      <c r="F32" s="188" t="n"/>
      <c r="G32" s="188" t="n"/>
      <c r="H32" s="188" t="n"/>
      <c r="I32" s="188" t="n"/>
      <c r="J32" s="189" t="n"/>
    </row>
    <row r="33" ht="45.75" customHeight="1" s="123">
      <c r="A33" s="154" t="n">
        <v>13</v>
      </c>
      <c r="B33" s="97" t="inlineStr">
        <is>
          <t>БЦ.1.38</t>
        </is>
      </c>
      <c r="C33" s="159" t="inlineStr">
        <is>
          <t>Выключатель колонковый 35 кВ 2500/31,5 кА</t>
        </is>
      </c>
      <c r="D33" s="154" t="inlineStr">
        <is>
          <t>шт</t>
        </is>
      </c>
      <c r="E33" s="205" t="n">
        <v>2</v>
      </c>
      <c r="F33" s="14">
        <f>ROUND(I33/Прил.10!D13,2)</f>
        <v/>
      </c>
      <c r="G33" s="14">
        <f>ROUND(E33*F33,2)</f>
        <v/>
      </c>
      <c r="H33" s="169">
        <f>G33/$G$36</f>
        <v/>
      </c>
      <c r="I33" s="14" t="n">
        <v>4045283.02</v>
      </c>
      <c r="J33" s="14">
        <f>ROUND(I33*E33,2)</f>
        <v/>
      </c>
    </row>
    <row r="34">
      <c r="A34" s="51" t="n"/>
      <c r="B34" s="154" t="n"/>
      <c r="C34" s="159" t="inlineStr">
        <is>
          <t>Итого основное оборудование</t>
        </is>
      </c>
      <c r="D34" s="154" t="n"/>
      <c r="E34" s="205" t="n"/>
      <c r="F34" s="161" t="n"/>
      <c r="G34" s="14">
        <f>G33</f>
        <v/>
      </c>
      <c r="H34" s="169" t="n"/>
      <c r="I34" s="14" t="n"/>
      <c r="J34" s="14">
        <f>J33</f>
        <v/>
      </c>
      <c r="K34" s="206" t="n"/>
    </row>
    <row r="35">
      <c r="A35" s="51" t="n"/>
      <c r="B35" s="154" t="n"/>
      <c r="C35" s="159" t="inlineStr">
        <is>
          <t>Итого прочее оборудование</t>
        </is>
      </c>
      <c r="D35" s="154" t="n"/>
      <c r="E35" s="160" t="n"/>
      <c r="F35" s="161" t="n"/>
      <c r="G35" s="14" t="n">
        <v>0</v>
      </c>
      <c r="H35" s="169" t="n"/>
      <c r="I35" s="14" t="n"/>
      <c r="J35" s="14" t="n">
        <v>0</v>
      </c>
      <c r="K35" s="206" t="n"/>
      <c r="L35" s="209" t="n"/>
    </row>
    <row r="36">
      <c r="A36" s="154" t="n"/>
      <c r="B36" s="154" t="n"/>
      <c r="C36" s="168" t="inlineStr">
        <is>
          <t>Итого по разделу «Оборудование»</t>
        </is>
      </c>
      <c r="D36" s="154" t="n"/>
      <c r="E36" s="160" t="n"/>
      <c r="F36" s="161" t="n"/>
      <c r="G36" s="14">
        <f>G34+G35</f>
        <v/>
      </c>
      <c r="H36" s="169" t="n"/>
      <c r="I36" s="14" t="n"/>
      <c r="J36" s="14">
        <f>J35+J34</f>
        <v/>
      </c>
      <c r="K36" s="206" t="n"/>
    </row>
    <row r="37" ht="25.5" customHeight="1" s="123">
      <c r="A37" s="154" t="n"/>
      <c r="B37" s="154" t="n"/>
      <c r="C37" s="159" t="inlineStr">
        <is>
          <t>в том числе технологическое оборудование</t>
        </is>
      </c>
      <c r="D37" s="154" t="n"/>
      <c r="E37" s="160" t="n"/>
      <c r="F37" s="161" t="n"/>
      <c r="G37" s="14">
        <f>'Прил.6 Расчет ОБ'!G15</f>
        <v/>
      </c>
      <c r="H37" s="169" t="n"/>
      <c r="I37" s="14" t="n"/>
      <c r="J37" s="14">
        <f>ROUND(G37*Прил.10!$D$13,2)</f>
        <v/>
      </c>
      <c r="K37" s="206" t="n"/>
    </row>
    <row r="38" ht="14.25" customFormat="1" customHeight="1" s="117">
      <c r="A38" s="156" t="n"/>
      <c r="B38" s="210" t="inlineStr">
        <is>
          <t>Материалы</t>
        </is>
      </c>
      <c r="J38" s="211" t="n"/>
      <c r="K38" s="206" t="n"/>
    </row>
    <row r="39" ht="14.25" customFormat="1" customHeight="1" s="117">
      <c r="A39" s="154" t="n"/>
      <c r="B39" s="159" t="inlineStr">
        <is>
          <t>Основные материалы</t>
        </is>
      </c>
      <c r="C39" s="188" t="n"/>
      <c r="D39" s="188" t="n"/>
      <c r="E39" s="188" t="n"/>
      <c r="F39" s="188" t="n"/>
      <c r="G39" s="188" t="n"/>
      <c r="H39" s="189" t="n"/>
      <c r="I39" s="169" t="n"/>
      <c r="J39" s="169" t="n"/>
    </row>
    <row r="40" ht="38.25" customFormat="1" customHeight="1" s="94">
      <c r="A40" s="154" t="n">
        <v>14</v>
      </c>
      <c r="B40" s="97" t="inlineStr">
        <is>
          <t>07.2.07.04-0014</t>
        </is>
      </c>
      <c r="C40" s="159" t="inlineStr">
        <is>
          <t>Конструкции сварные индивидуальные прочие, масса сборочной единицы от 0,1 до 0,5 т</t>
        </is>
      </c>
      <c r="D40" s="154" t="inlineStr">
        <is>
          <t>т</t>
        </is>
      </c>
      <c r="E40" s="205" t="n">
        <v>0.4694</v>
      </c>
      <c r="F40" s="14" t="n">
        <v>10046</v>
      </c>
      <c r="G40" s="14">
        <f>ROUND(E40*F40,2)</f>
        <v/>
      </c>
      <c r="H40" s="169">
        <f>G40/$G$82</f>
        <v/>
      </c>
      <c r="I40" s="14">
        <f>ROUND(F40*Прил.10!$D$12,2)</f>
        <v/>
      </c>
      <c r="J40" s="14">
        <f>ROUND(I40*E40,2)</f>
        <v/>
      </c>
      <c r="L40" s="117" t="n"/>
    </row>
    <row r="41" ht="51" customFormat="1" customHeight="1" s="94">
      <c r="A41" s="154" t="n">
        <v>15</v>
      </c>
      <c r="B41" s="97" t="inlineStr">
        <is>
          <t>14.4.01.20-0001</t>
        </is>
      </c>
      <c r="C41" s="159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D41" s="154" t="inlineStr">
        <is>
          <t>т</t>
        </is>
      </c>
      <c r="E41" s="205" t="n">
        <v>0.01626</v>
      </c>
      <c r="F41" s="14" t="n">
        <v>107351.35</v>
      </c>
      <c r="G41" s="14">
        <f>ROUND(E41*F41,2)</f>
        <v/>
      </c>
      <c r="H41" s="169">
        <f>G41/$G$82</f>
        <v/>
      </c>
      <c r="I41" s="14">
        <f>ROUND(F41*Прил.10!$D$12,2)</f>
        <v/>
      </c>
      <c r="J41" s="14">
        <f>ROUND(I41*E41,2)</f>
        <v/>
      </c>
      <c r="L41" s="117" t="n"/>
    </row>
    <row r="42" ht="29.25" customFormat="1" customHeight="1" s="94">
      <c r="A42" s="154" t="n">
        <v>16</v>
      </c>
      <c r="B42" s="97" t="inlineStr">
        <is>
          <t>08.3.11.01-0054</t>
        </is>
      </c>
      <c r="C42" s="159" t="inlineStr">
        <is>
          <t>Швеллеры № 16-18, марка стали Ст3сп</t>
        </is>
      </c>
      <c r="D42" s="154" t="inlineStr">
        <is>
          <t>т</t>
        </is>
      </c>
      <c r="E42" s="205" t="n">
        <v>0.2715</v>
      </c>
      <c r="F42" s="14" t="n">
        <v>5200</v>
      </c>
      <c r="G42" s="14">
        <f>ROUND(E42*F42,2)</f>
        <v/>
      </c>
      <c r="H42" s="169">
        <f>G42/$G$82</f>
        <v/>
      </c>
      <c r="I42" s="14">
        <f>ROUND(F42*Прил.10!$D$12,2)</f>
        <v/>
      </c>
      <c r="J42" s="14">
        <f>ROUND(I42*E42,2)</f>
        <v/>
      </c>
      <c r="L42" s="117" t="n"/>
    </row>
    <row r="43" ht="38.25" customFormat="1" customHeight="1" s="94">
      <c r="A43" s="154" t="n">
        <v>17</v>
      </c>
      <c r="B43" s="97" t="inlineStr">
        <is>
          <t>14.4.01.20-0012</t>
        </is>
      </c>
      <c r="C43" s="159" t="inlineStr">
        <is>
          <t>Грунтовка антикоррозионная цинкнаполненная быстросохнущая, преобразователь ржавчины и окалины</t>
        </is>
      </c>
      <c r="D43" s="154" t="inlineStr">
        <is>
          <t>т</t>
        </is>
      </c>
      <c r="E43" s="205" t="n">
        <v>0.012195</v>
      </c>
      <c r="F43" s="14" t="n">
        <v>86794.72</v>
      </c>
      <c r="G43" s="14">
        <f>ROUND(E43*F43,2)</f>
        <v/>
      </c>
      <c r="H43" s="169">
        <f>G43/$G$82</f>
        <v/>
      </c>
      <c r="I43" s="14">
        <f>ROUND(F43*Прил.10!$D$12,2)</f>
        <v/>
      </c>
      <c r="J43" s="14">
        <f>ROUND(I43*E43,2)</f>
        <v/>
      </c>
      <c r="L43" s="117" t="n"/>
    </row>
    <row r="44" ht="38.25" customFormat="1" customHeight="1" s="117">
      <c r="A44" s="154" t="n">
        <v>18</v>
      </c>
      <c r="B44" s="97" t="inlineStr">
        <is>
          <t>08.3.12.04-0017</t>
        </is>
      </c>
      <c r="C44" s="159" t="inlineStr">
        <is>
          <t>Просечно-вытяжной прокат горячекатаный в листах мерных размеров из стали С235, шириной: 1000 мм, толщиной 5 мм</t>
        </is>
      </c>
      <c r="D44" s="154" t="inlineStr">
        <is>
          <t>т</t>
        </is>
      </c>
      <c r="E44" s="205" t="n">
        <v>0.1304</v>
      </c>
      <c r="F44" s="14" t="n">
        <v>8007</v>
      </c>
      <c r="G44" s="14">
        <f>ROUND(E44*F44,2)</f>
        <v/>
      </c>
      <c r="H44" s="169">
        <f>G44/$G$82</f>
        <v/>
      </c>
      <c r="I44" s="14">
        <f>ROUND(F44*Прил.10!$D$12,2)</f>
        <v/>
      </c>
      <c r="J44" s="14">
        <f>ROUND(I44*E44,2)</f>
        <v/>
      </c>
    </row>
    <row r="45" ht="14.25" customFormat="1" customHeight="1" s="117">
      <c r="A45" s="154" t="n"/>
      <c r="B45" s="97" t="n"/>
      <c r="C45" s="159" t="inlineStr">
        <is>
          <t>Итого основные материалы</t>
        </is>
      </c>
      <c r="D45" s="154" t="n"/>
      <c r="E45" s="205" t="n"/>
      <c r="F45" s="14" t="n"/>
      <c r="G45" s="14">
        <f>SUM(G40:G44)</f>
        <v/>
      </c>
      <c r="H45" s="169">
        <f>G45/$G$82</f>
        <v/>
      </c>
      <c r="I45" s="14" t="n"/>
      <c r="J45" s="14">
        <f>SUM(J40:J44)</f>
        <v/>
      </c>
      <c r="K45" s="206" t="n"/>
    </row>
    <row r="46" hidden="1" outlineLevel="1" ht="76.5" customFormat="1" customHeight="1" s="117">
      <c r="A46" s="154" t="n">
        <v>19</v>
      </c>
      <c r="B46" s="97" t="inlineStr">
        <is>
          <t>08.4.01.02-0013</t>
        </is>
      </c>
      <c r="C46" s="159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46" s="154" t="inlineStr">
        <is>
          <t>т</t>
        </is>
      </c>
      <c r="E46" s="205" t="n">
        <v>0.0607</v>
      </c>
      <c r="F46" s="14" t="n">
        <v>6800</v>
      </c>
      <c r="G46" s="14">
        <f>ROUND(F46*E46,2)</f>
        <v/>
      </c>
      <c r="H46" s="169">
        <f>G46/$G$82</f>
        <v/>
      </c>
      <c r="I46" s="14">
        <f>ROUND(F46*Прил.10!$D$12,2)</f>
        <v/>
      </c>
      <c r="J46" s="14">
        <f>ROUND(I46*E46,2)</f>
        <v/>
      </c>
    </row>
    <row r="47" hidden="1" outlineLevel="1" ht="25.5" customFormat="1" customHeight="1" s="117">
      <c r="A47" s="154">
        <f>A46+1</f>
        <v/>
      </c>
      <c r="B47" s="97" t="inlineStr">
        <is>
          <t>08.3.08.02-0031</t>
        </is>
      </c>
      <c r="C47" s="159" t="inlineStr">
        <is>
          <t>Сталь угловая равнополочная размером 50х50х5 мм</t>
        </is>
      </c>
      <c r="D47" s="154" t="inlineStr">
        <is>
          <t>кг</t>
        </is>
      </c>
      <c r="E47" s="205" t="n">
        <v>68</v>
      </c>
      <c r="F47" s="14" t="n">
        <v>5.43</v>
      </c>
      <c r="G47" s="14">
        <f>ROUND(F47*E47,2)</f>
        <v/>
      </c>
      <c r="H47" s="169">
        <f>G47/$G$82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117">
      <c r="A48" s="154">
        <f>A47+1</f>
        <v/>
      </c>
      <c r="B48" s="97" t="inlineStr">
        <is>
          <t>01.7.03.04-0001</t>
        </is>
      </c>
      <c r="C48" s="159" t="inlineStr">
        <is>
          <t>Электроэнергия</t>
        </is>
      </c>
      <c r="D48" s="154" t="inlineStr">
        <is>
          <t>кВт-ч</t>
        </is>
      </c>
      <c r="E48" s="205" t="n">
        <v>723.84</v>
      </c>
      <c r="F48" s="14" t="n">
        <v>0.4</v>
      </c>
      <c r="G48" s="14">
        <f>ROUND(F48*E48,2)</f>
        <v/>
      </c>
      <c r="H48" s="169">
        <f>G48/$G$82</f>
        <v/>
      </c>
      <c r="I48" s="14">
        <f>ROUND(F48*Прил.10!$D$12,2)</f>
        <v/>
      </c>
      <c r="J48" s="14">
        <f>ROUND(I48*E48,2)</f>
        <v/>
      </c>
    </row>
    <row r="49" hidden="1" outlineLevel="1" ht="25.5" customFormat="1" customHeight="1" s="117">
      <c r="A49" s="154">
        <f>A48+1</f>
        <v/>
      </c>
      <c r="B49" s="97" t="inlineStr">
        <is>
          <t>04.1.02.05-0006</t>
        </is>
      </c>
      <c r="C49" s="159" t="inlineStr">
        <is>
          <t>Смеси бетонные тяжелого бетона (БСТ), класс B15 (М200)</t>
        </is>
      </c>
      <c r="D49" s="154" t="inlineStr">
        <is>
          <t>м3</t>
        </is>
      </c>
      <c r="E49" s="205" t="n">
        <v>0.4466</v>
      </c>
      <c r="F49" s="14" t="n">
        <v>592.76</v>
      </c>
      <c r="G49" s="14">
        <f>ROUND(F49*E49,2)</f>
        <v/>
      </c>
      <c r="H49" s="169">
        <f>G49/$G$82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117">
      <c r="A50" s="154">
        <f>A49+1</f>
        <v/>
      </c>
      <c r="B50" s="97" t="inlineStr">
        <is>
          <t>08.4.02.04-0001</t>
        </is>
      </c>
      <c r="C50" s="159" t="inlineStr">
        <is>
          <t>Каркасы металлические</t>
        </is>
      </c>
      <c r="D50" s="154" t="inlineStr">
        <is>
          <t>т</t>
        </is>
      </c>
      <c r="E50" s="205" t="n">
        <v>0.0288</v>
      </c>
      <c r="F50" s="14" t="n">
        <v>8200</v>
      </c>
      <c r="G50" s="14">
        <f>ROUND(F50*E50,2)</f>
        <v/>
      </c>
      <c r="H50" s="169">
        <f>G50/$G$82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117">
      <c r="A51" s="154">
        <f>A50+1</f>
        <v/>
      </c>
      <c r="B51" s="97" t="inlineStr">
        <is>
          <t>14.4.02.09-0001</t>
        </is>
      </c>
      <c r="C51" s="159" t="inlineStr">
        <is>
          <t>Краска</t>
        </is>
      </c>
      <c r="D51" s="154" t="inlineStr">
        <is>
          <t>кг</t>
        </is>
      </c>
      <c r="E51" s="205" t="n">
        <v>7.6</v>
      </c>
      <c r="F51" s="14" t="n">
        <v>28.6</v>
      </c>
      <c r="G51" s="14">
        <f>ROUND(F51*E51,2)</f>
        <v/>
      </c>
      <c r="H51" s="169">
        <f>G51/$G$82</f>
        <v/>
      </c>
      <c r="I51" s="14">
        <f>ROUND(F51*Прил.10!$D$12,2)</f>
        <v/>
      </c>
      <c r="J51" s="14">
        <f>ROUND(I51*E51,2)</f>
        <v/>
      </c>
    </row>
    <row r="52" hidden="1" outlineLevel="1" ht="25.5" customFormat="1" customHeight="1" s="117">
      <c r="A52" s="154">
        <f>A51+1</f>
        <v/>
      </c>
      <c r="B52" s="97" t="inlineStr">
        <is>
          <t>02.3.01.02-0033</t>
        </is>
      </c>
      <c r="C52" s="159" t="inlineStr">
        <is>
          <t>Песок природный обогащенный для строительных работ средний</t>
        </is>
      </c>
      <c r="D52" s="154" t="inlineStr">
        <is>
          <t>м3</t>
        </is>
      </c>
      <c r="E52" s="205" t="n">
        <v>0.7675999999999999</v>
      </c>
      <c r="F52" s="14" t="n">
        <v>70.59999999999999</v>
      </c>
      <c r="G52" s="14">
        <f>ROUND(F52*E52,2)</f>
        <v/>
      </c>
      <c r="H52" s="169">
        <f>G52/$G$82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17">
      <c r="A53" s="154">
        <f>A52+1</f>
        <v/>
      </c>
      <c r="B53" s="97" t="inlineStr">
        <is>
          <t>01.2.03.03-0013</t>
        </is>
      </c>
      <c r="C53" s="159" t="inlineStr">
        <is>
          <t>Мастика битумная кровельная горячая</t>
        </is>
      </c>
      <c r="D53" s="154" t="inlineStr">
        <is>
          <t>т</t>
        </is>
      </c>
      <c r="E53" s="205" t="n">
        <v>0.014688</v>
      </c>
      <c r="F53" s="14" t="n">
        <v>3390</v>
      </c>
      <c r="G53" s="14">
        <f>ROUND(F53*E53,2)</f>
        <v/>
      </c>
      <c r="H53" s="169">
        <f>G53/$G$82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17">
      <c r="A54" s="154">
        <f>A53+1</f>
        <v/>
      </c>
      <c r="B54" s="97" t="inlineStr">
        <is>
          <t>01.7.07.12-0022</t>
        </is>
      </c>
      <c r="C54" s="159" t="inlineStr">
        <is>
          <t>Пленка полиэтиленовая, толщина 0,2-0,5 мм</t>
        </is>
      </c>
      <c r="D54" s="154" t="inlineStr">
        <is>
          <t>м2</t>
        </is>
      </c>
      <c r="E54" s="205" t="n">
        <v>3.4272</v>
      </c>
      <c r="F54" s="14" t="n">
        <v>12.19</v>
      </c>
      <c r="G54" s="14">
        <f>ROUND(F54*E54,2)</f>
        <v/>
      </c>
      <c r="H54" s="169">
        <f>G54/$G$82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17">
      <c r="A55" s="154">
        <f>A54+1</f>
        <v/>
      </c>
      <c r="B55" s="97" t="inlineStr">
        <is>
          <t>08.3.07.01-0076</t>
        </is>
      </c>
      <c r="C55" s="159" t="inlineStr">
        <is>
          <t>Прокат полосовой, горячекатаный, марка стали Ст3сп, ширина 50-200 мм, толщина 4-5 мм</t>
        </is>
      </c>
      <c r="D55" s="154" t="inlineStr">
        <is>
          <t>т</t>
        </is>
      </c>
      <c r="E55" s="205" t="n">
        <v>0.006</v>
      </c>
      <c r="F55" s="14" t="n">
        <v>5000</v>
      </c>
      <c r="G55" s="14">
        <f>ROUND(F55*E55,2)</f>
        <v/>
      </c>
      <c r="H55" s="169">
        <f>G55/$G$82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17">
      <c r="A56" s="154">
        <f>A55+1</f>
        <v/>
      </c>
      <c r="B56" s="97" t="inlineStr">
        <is>
          <t>01.7.11.07-0032</t>
        </is>
      </c>
      <c r="C56" s="159" t="inlineStr">
        <is>
          <t>Электроды сварочные Э42, диаметр 4 мм</t>
        </is>
      </c>
      <c r="D56" s="154" t="inlineStr">
        <is>
          <t>т</t>
        </is>
      </c>
      <c r="E56" s="205" t="n">
        <v>0.0023005</v>
      </c>
      <c r="F56" s="14" t="n">
        <v>10315.01</v>
      </c>
      <c r="G56" s="14">
        <f>ROUND(F56*E56,2)</f>
        <v/>
      </c>
      <c r="H56" s="169">
        <f>G56/$G$82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17">
      <c r="A57" s="154">
        <f>A56+1</f>
        <v/>
      </c>
      <c r="B57" s="97" t="inlineStr">
        <is>
          <t>01.7.11.07-0036</t>
        </is>
      </c>
      <c r="C57" s="159" t="inlineStr">
        <is>
          <t>Электроды сварочные Э46, диаметр 4 мм</t>
        </is>
      </c>
      <c r="D57" s="154" t="inlineStr">
        <is>
          <t>кг</t>
        </is>
      </c>
      <c r="E57" s="205" t="n">
        <v>1.8796</v>
      </c>
      <c r="F57" s="14" t="n">
        <v>10.75</v>
      </c>
      <c r="G57" s="14">
        <f>ROUND(F57*E57,2)</f>
        <v/>
      </c>
      <c r="H57" s="169">
        <f>G57/$G$82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17">
      <c r="A58" s="154">
        <f>A57+1</f>
        <v/>
      </c>
      <c r="B58" s="97" t="inlineStr">
        <is>
          <t>01.3.01.06-0050</t>
        </is>
      </c>
      <c r="C58" s="159" t="inlineStr">
        <is>
          <t>Смазка универсальная тугоплавкая УТ (консталин жировой)</t>
        </is>
      </c>
      <c r="D58" s="154" t="inlineStr">
        <is>
          <t>т</t>
        </is>
      </c>
      <c r="E58" s="205" t="n">
        <v>0.001</v>
      </c>
      <c r="F58" s="14" t="n">
        <v>17500</v>
      </c>
      <c r="G58" s="14">
        <f>ROUND(F58*E58,2)</f>
        <v/>
      </c>
      <c r="H58" s="169">
        <f>G58/$G$82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17">
      <c r="A59" s="154">
        <f>A58+1</f>
        <v/>
      </c>
      <c r="B59" s="97" t="inlineStr">
        <is>
          <t>01.7.20.08-0031</t>
        </is>
      </c>
      <c r="C59" s="159" t="inlineStr">
        <is>
          <t>Бязь суровая</t>
        </is>
      </c>
      <c r="D59" s="154" t="inlineStr">
        <is>
          <t>10 м2</t>
        </is>
      </c>
      <c r="E59" s="205" t="n">
        <v>0.22</v>
      </c>
      <c r="F59" s="14" t="n">
        <v>79.09999999999999</v>
      </c>
      <c r="G59" s="14">
        <f>ROUND(F59*E59,2)</f>
        <v/>
      </c>
      <c r="H59" s="169">
        <f>G59/$G$82</f>
        <v/>
      </c>
      <c r="I59" s="14">
        <f>ROUND(F59*Прил.10!$D$12,2)</f>
        <v/>
      </c>
      <c r="J59" s="14">
        <f>ROUND(I59*E59,2)</f>
        <v/>
      </c>
    </row>
    <row r="60" hidden="1" outlineLevel="1" ht="25.5" customFormat="1" customHeight="1" s="117">
      <c r="A60" s="154">
        <f>A59+1</f>
        <v/>
      </c>
      <c r="B60" s="97" t="inlineStr">
        <is>
          <t>999-9950</t>
        </is>
      </c>
      <c r="C60" s="159" t="inlineStr">
        <is>
          <t>Вспомогательные ненормируемые ресурсы (2% от Оплаты труда рабочих)</t>
        </is>
      </c>
      <c r="D60" s="154" t="inlineStr">
        <is>
          <t>руб</t>
        </is>
      </c>
      <c r="E60" s="205" t="n">
        <v>17.04</v>
      </c>
      <c r="F60" s="14" t="n">
        <v>1</v>
      </c>
      <c r="G60" s="14">
        <f>ROUND(F60*E60,2)</f>
        <v/>
      </c>
      <c r="H60" s="169">
        <f>G60/$G$82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17">
      <c r="A61" s="154">
        <f>A60+1</f>
        <v/>
      </c>
      <c r="B61" s="97" t="inlineStr">
        <is>
          <t>14.5.09.07-0030</t>
        </is>
      </c>
      <c r="C61" s="159" t="inlineStr">
        <is>
          <t>Растворитель Р-4</t>
        </is>
      </c>
      <c r="D61" s="154" t="inlineStr">
        <is>
          <t>кг</t>
        </is>
      </c>
      <c r="E61" s="205" t="n">
        <v>1.70469</v>
      </c>
      <c r="F61" s="14" t="n">
        <v>9.42</v>
      </c>
      <c r="G61" s="14">
        <f>ROUND(F61*E61,2)</f>
        <v/>
      </c>
      <c r="H61" s="169">
        <f>G61/$G$82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17">
      <c r="A62" s="154">
        <f>A61+1</f>
        <v/>
      </c>
      <c r="B62" s="97" t="inlineStr">
        <is>
          <t>08.3.11.01-0091</t>
        </is>
      </c>
      <c r="C62" s="159" t="inlineStr">
        <is>
          <t>Швеллеры № 40, марка стали Ст0</t>
        </is>
      </c>
      <c r="D62" s="154" t="inlineStr">
        <is>
          <t>т</t>
        </is>
      </c>
      <c r="E62" s="205" t="n">
        <v>0.0009116</v>
      </c>
      <c r="F62" s="14" t="n">
        <v>4920</v>
      </c>
      <c r="G62" s="14">
        <f>ROUND(F62*E62,2)</f>
        <v/>
      </c>
      <c r="H62" s="169">
        <f>G62/$G$82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17">
      <c r="A63" s="154">
        <f>A62+1</f>
        <v/>
      </c>
      <c r="B63" s="97" t="inlineStr">
        <is>
          <t>01.3.02.08-0001</t>
        </is>
      </c>
      <c r="C63" s="159" t="inlineStr">
        <is>
          <t>Кислород газообразный технический</t>
        </is>
      </c>
      <c r="D63" s="154" t="inlineStr">
        <is>
          <t>м3</t>
        </is>
      </c>
      <c r="E63" s="205" t="n">
        <v>0.643763</v>
      </c>
      <c r="F63" s="14" t="n">
        <v>6.22</v>
      </c>
      <c r="G63" s="14">
        <f>ROUND(F63*E63,2)</f>
        <v/>
      </c>
      <c r="H63" s="169">
        <f>G63/$G$82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17">
      <c r="A64" s="154">
        <f>A63+1</f>
        <v/>
      </c>
      <c r="B64" s="97" t="inlineStr">
        <is>
          <t>01.3.01.03-0002</t>
        </is>
      </c>
      <c r="C64" s="159" t="inlineStr">
        <is>
          <t>Керосин для технических целей</t>
        </is>
      </c>
      <c r="D64" s="154" t="inlineStr">
        <is>
          <t>т</t>
        </is>
      </c>
      <c r="E64" s="205" t="n">
        <v>0.0014688</v>
      </c>
      <c r="F64" s="14" t="n">
        <v>2606.9</v>
      </c>
      <c r="G64" s="14">
        <f>ROUND(F64*E64,2)</f>
        <v/>
      </c>
      <c r="H64" s="169">
        <f>G64/$G$82</f>
        <v/>
      </c>
      <c r="I64" s="14">
        <f>ROUND(F64*Прил.10!$D$12,2)</f>
        <v/>
      </c>
      <c r="J64" s="14">
        <f>ROUND(I64*E64,2)</f>
        <v/>
      </c>
    </row>
    <row r="65" hidden="1" outlineLevel="1" ht="51" customFormat="1" customHeight="1" s="117">
      <c r="A65" s="154">
        <f>A64+1</f>
        <v/>
      </c>
      <c r="B65" s="97" t="inlineStr">
        <is>
          <t>07.2.07.12-0020</t>
        </is>
      </c>
      <c r="C65" s="159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65" s="154" t="inlineStr">
        <is>
          <t>т</t>
        </is>
      </c>
      <c r="E65" s="205" t="n">
        <v>0.0004699</v>
      </c>
      <c r="F65" s="14" t="n">
        <v>7712</v>
      </c>
      <c r="G65" s="14">
        <f>ROUND(F65*E65,2)</f>
        <v/>
      </c>
      <c r="H65" s="169">
        <f>G65/$G$82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17">
      <c r="A66" s="154">
        <f>A65+1</f>
        <v/>
      </c>
      <c r="B66" s="97" t="inlineStr">
        <is>
          <t>14.4.01.01-0003</t>
        </is>
      </c>
      <c r="C66" s="159" t="inlineStr">
        <is>
          <t>Грунтовка ГФ-021</t>
        </is>
      </c>
      <c r="D66" s="154" t="inlineStr">
        <is>
          <t>т</t>
        </is>
      </c>
      <c r="E66" s="205" t="n">
        <v>0.0001457</v>
      </c>
      <c r="F66" s="14" t="n">
        <v>15620</v>
      </c>
      <c r="G66" s="14">
        <f>ROUND(F66*E66,2)</f>
        <v/>
      </c>
      <c r="H66" s="169">
        <f>G66/$G$82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17">
      <c r="A67" s="154">
        <f>A66+1</f>
        <v/>
      </c>
      <c r="B67" s="97" t="inlineStr">
        <is>
          <t>01.7.20.08-0071</t>
        </is>
      </c>
      <c r="C67" s="159" t="inlineStr">
        <is>
          <t>Канат пеньковый пропитанный</t>
        </is>
      </c>
      <c r="D67" s="154" t="inlineStr">
        <is>
          <t>т</t>
        </is>
      </c>
      <c r="E67" s="205" t="n">
        <v>4.7e-05</v>
      </c>
      <c r="F67" s="14" t="n">
        <v>37900</v>
      </c>
      <c r="G67" s="14">
        <f>ROUND(F67*E67,2)</f>
        <v/>
      </c>
      <c r="H67" s="169">
        <f>G67/$G$82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17">
      <c r="A68" s="154">
        <f>A67+1</f>
        <v/>
      </c>
      <c r="B68" s="97" t="inlineStr">
        <is>
          <t>01.2.01.02-0054</t>
        </is>
      </c>
      <c r="C68" s="159" t="inlineStr">
        <is>
          <t>Битумы нефтяные строительные БН-90/10</t>
        </is>
      </c>
      <c r="D68" s="154" t="inlineStr">
        <is>
          <t>т</t>
        </is>
      </c>
      <c r="E68" s="205" t="n">
        <v>0.0009791999999999999</v>
      </c>
      <c r="F68" s="14" t="n">
        <v>1383.1</v>
      </c>
      <c r="G68" s="14">
        <f>ROUND(F68*E68,2)</f>
        <v/>
      </c>
      <c r="H68" s="169">
        <f>G68/$G$82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17">
      <c r="A69" s="154">
        <f>A68+1</f>
        <v/>
      </c>
      <c r="B69" s="97" t="inlineStr">
        <is>
          <t>01.3.02.09-0022</t>
        </is>
      </c>
      <c r="C69" s="159" t="inlineStr">
        <is>
          <t>Пропан-бутан смесь техническая</t>
        </is>
      </c>
      <c r="D69" s="154" t="inlineStr">
        <is>
          <t>кг</t>
        </is>
      </c>
      <c r="E69" s="205" t="n">
        <v>0.192659</v>
      </c>
      <c r="F69" s="14" t="n">
        <v>6.09</v>
      </c>
      <c r="G69" s="14">
        <f>ROUND(F69*E69,2)</f>
        <v/>
      </c>
      <c r="H69" s="169">
        <f>G69/$G$82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17">
      <c r="A70" s="154">
        <f>A69+1</f>
        <v/>
      </c>
      <c r="B70" s="97" t="inlineStr">
        <is>
          <t>01.7.11.07-0034</t>
        </is>
      </c>
      <c r="C70" s="159" t="inlineStr">
        <is>
          <t>Электроды сварочные Э42А, диаметр 4 мм</t>
        </is>
      </c>
      <c r="D70" s="154" t="inlineStr">
        <is>
          <t>кг</t>
        </is>
      </c>
      <c r="E70" s="205" t="n">
        <v>0.1</v>
      </c>
      <c r="F70" s="14" t="n">
        <v>10.57</v>
      </c>
      <c r="G70" s="14">
        <f>ROUND(F70*E70,2)</f>
        <v/>
      </c>
      <c r="H70" s="169">
        <f>G70/$G$82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17">
      <c r="A71" s="154">
        <f>A70+1</f>
        <v/>
      </c>
      <c r="B71" s="97" t="inlineStr">
        <is>
          <t>11.2.13.04-0012</t>
        </is>
      </c>
      <c r="C71" s="159" t="inlineStr">
        <is>
          <t>Щиты из досок, толщина 40 мм</t>
        </is>
      </c>
      <c r="D71" s="154" t="inlineStr">
        <is>
          <t>м2</t>
        </is>
      </c>
      <c r="E71" s="205" t="n">
        <v>0.01584</v>
      </c>
      <c r="F71" s="14" t="n">
        <v>57.63</v>
      </c>
      <c r="G71" s="14">
        <f>ROUND(F71*E71,2)</f>
        <v/>
      </c>
      <c r="H71" s="169">
        <f>G71/$G$82</f>
        <v/>
      </c>
      <c r="I71" s="14">
        <f>ROUND(F71*Прил.10!$D$12,2)</f>
        <v/>
      </c>
      <c r="J71" s="14">
        <f>ROUND(I71*E71,2)</f>
        <v/>
      </c>
    </row>
    <row r="72" hidden="1" outlineLevel="1" ht="38.25" customFormat="1" customHeight="1" s="117">
      <c r="A72" s="154">
        <f>A71+1</f>
        <v/>
      </c>
      <c r="B72" s="97" t="inlineStr">
        <is>
          <t>11.1.03.01-0077</t>
        </is>
      </c>
      <c r="C72" s="159" t="inlineStr">
        <is>
          <t>Бруски обрезные, хвойных пород, длина 4-6,5 м, ширина 75-150 мм, толщина 40-75 мм, сорт I</t>
        </is>
      </c>
      <c r="D72" s="154" t="inlineStr">
        <is>
          <t>м3</t>
        </is>
      </c>
      <c r="E72" s="205" t="n">
        <v>0.000484</v>
      </c>
      <c r="F72" s="14" t="n">
        <v>1700</v>
      </c>
      <c r="G72" s="14">
        <f>ROUND(F72*E72,2)</f>
        <v/>
      </c>
      <c r="H72" s="169">
        <f>G72/$G$82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17">
      <c r="A73" s="154">
        <f>A72+1</f>
        <v/>
      </c>
      <c r="B73" s="97" t="inlineStr">
        <is>
          <t>01.7.07.12-0024</t>
        </is>
      </c>
      <c r="C73" s="159" t="inlineStr">
        <is>
          <t>Пленка полиэтиленовая, толщина 0,15 мм</t>
        </is>
      </c>
      <c r="D73" s="154" t="inlineStr">
        <is>
          <t>м2</t>
        </is>
      </c>
      <c r="E73" s="205" t="n">
        <v>0.132</v>
      </c>
      <c r="F73" s="14" t="n">
        <v>3.62</v>
      </c>
      <c r="G73" s="14">
        <f>ROUND(F73*E73,2)</f>
        <v/>
      </c>
      <c r="H73" s="169">
        <f>G73/$G$82</f>
        <v/>
      </c>
      <c r="I73" s="14">
        <f>ROUND(F73*Прил.10!$D$12,2)</f>
        <v/>
      </c>
      <c r="J73" s="14">
        <f>ROUND(I73*E73,2)</f>
        <v/>
      </c>
    </row>
    <row r="74" hidden="1" outlineLevel="1" ht="51" customFormat="1" customHeight="1" s="117">
      <c r="A74" s="154">
        <f>A73+1</f>
        <v/>
      </c>
      <c r="B74" s="97" t="inlineStr">
        <is>
          <t>08.2.02.11-0007</t>
        </is>
      </c>
      <c r="C74" s="15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74" s="154" t="inlineStr">
        <is>
          <t>10 м</t>
        </is>
      </c>
      <c r="E74" s="205" t="n">
        <v>0.008787100000000001</v>
      </c>
      <c r="F74" s="14" t="n">
        <v>50.24</v>
      </c>
      <c r="G74" s="14">
        <f>ROUND(F74*E74,2)</f>
        <v/>
      </c>
      <c r="H74" s="169">
        <f>G74/$G$82</f>
        <v/>
      </c>
      <c r="I74" s="14">
        <f>ROUND(F74*Прил.10!$D$12,2)</f>
        <v/>
      </c>
      <c r="J74" s="14">
        <f>ROUND(I74*E74,2)</f>
        <v/>
      </c>
    </row>
    <row r="75" hidden="1" outlineLevel="1" ht="25.5" customFormat="1" customHeight="1" s="117">
      <c r="A75" s="154">
        <f>A74+1</f>
        <v/>
      </c>
      <c r="B75" s="97" t="inlineStr">
        <is>
          <t>08.3.03.06-0002</t>
        </is>
      </c>
      <c r="C75" s="159" t="inlineStr">
        <is>
          <t>Проволока горячекатаная в мотках, диаметр 6,3-6,5 мм</t>
        </is>
      </c>
      <c r="D75" s="154" t="inlineStr">
        <is>
          <t>т</t>
        </is>
      </c>
      <c r="E75" s="205" t="n">
        <v>5.9e-05</v>
      </c>
      <c r="F75" s="14" t="n">
        <v>4455.2</v>
      </c>
      <c r="G75" s="14">
        <f>ROUND(F75*E75,2)</f>
        <v/>
      </c>
      <c r="H75" s="169">
        <f>G75/$G$82</f>
        <v/>
      </c>
      <c r="I75" s="14">
        <f>ROUND(F75*Прил.10!$D$12,2)</f>
        <v/>
      </c>
      <c r="J75" s="14">
        <f>ROUND(I75*E75,2)</f>
        <v/>
      </c>
    </row>
    <row r="76" hidden="1" outlineLevel="1" ht="38.25" customFormat="1" customHeight="1" s="117">
      <c r="A76" s="154">
        <f>A75+1</f>
        <v/>
      </c>
      <c r="B76" s="97" t="inlineStr">
        <is>
          <t>11.1.03.06-0095</t>
        </is>
      </c>
      <c r="C76" s="159" t="inlineStr">
        <is>
          <t>Доска обрезная, хвойных пород, ширина 75-150 мм, толщина 44 мм и более, длина 4-6,5 м, сорт III</t>
        </is>
      </c>
      <c r="D76" s="154" t="inlineStr">
        <is>
          <t>м3</t>
        </is>
      </c>
      <c r="E76" s="205" t="n">
        <v>0.000176</v>
      </c>
      <c r="F76" s="14" t="n">
        <v>1056</v>
      </c>
      <c r="G76" s="14">
        <f>ROUND(F76*E76,2)</f>
        <v/>
      </c>
      <c r="H76" s="169">
        <f>G76/$G$82</f>
        <v/>
      </c>
      <c r="I76" s="14">
        <f>ROUND(F76*Прил.10!$D$12,2)</f>
        <v/>
      </c>
      <c r="J76" s="14">
        <f>ROUND(I76*E76,2)</f>
        <v/>
      </c>
    </row>
    <row r="77" hidden="1" outlineLevel="1" ht="14.25" customFormat="1" customHeight="1" s="117">
      <c r="A77" s="154">
        <f>A76+1</f>
        <v/>
      </c>
      <c r="B77" s="97" t="inlineStr">
        <is>
          <t>01.7.15.06-0111</t>
        </is>
      </c>
      <c r="C77" s="159" t="inlineStr">
        <is>
          <t>Гвозди строительные</t>
        </is>
      </c>
      <c r="D77" s="154" t="inlineStr">
        <is>
          <t>т</t>
        </is>
      </c>
      <c r="E77" s="205" t="n">
        <v>1.35e-05</v>
      </c>
      <c r="F77" s="14" t="n">
        <v>11978</v>
      </c>
      <c r="G77" s="14">
        <f>ROUND(F77*E77,2)</f>
        <v/>
      </c>
      <c r="H77" s="169">
        <f>G77/$G$82</f>
        <v/>
      </c>
      <c r="I77" s="14">
        <f>ROUND(F77*Прил.10!$D$12,2)</f>
        <v/>
      </c>
      <c r="J77" s="14">
        <f>ROUND(I77*E77,2)</f>
        <v/>
      </c>
    </row>
    <row r="78" hidden="1" outlineLevel="1" ht="25.5" customFormat="1" customHeight="1" s="117">
      <c r="A78" s="154">
        <f>A77+1</f>
        <v/>
      </c>
      <c r="B78" s="97" t="inlineStr">
        <is>
          <t>03.1.02.03-0011</t>
        </is>
      </c>
      <c r="C78" s="159" t="inlineStr">
        <is>
          <t>Известь строительная негашеная комовая, сорт I</t>
        </is>
      </c>
      <c r="D78" s="154" t="inlineStr">
        <is>
          <t>т</t>
        </is>
      </c>
      <c r="E78" s="205" t="n">
        <v>4.4e-05</v>
      </c>
      <c r="F78" s="14" t="n">
        <v>734.5</v>
      </c>
      <c r="G78" s="14">
        <f>ROUND(F78*E78,2)</f>
        <v/>
      </c>
      <c r="H78" s="169">
        <f>G78/$G$82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17">
      <c r="A79" s="154">
        <f>A78+1</f>
        <v/>
      </c>
      <c r="B79" s="97" t="inlineStr">
        <is>
          <t>01.7.20.08-0051</t>
        </is>
      </c>
      <c r="C79" s="159" t="inlineStr">
        <is>
          <t>Ветошь</t>
        </is>
      </c>
      <c r="D79" s="154" t="inlineStr">
        <is>
          <t>кг</t>
        </is>
      </c>
      <c r="E79" s="205" t="n">
        <v>0.00612</v>
      </c>
      <c r="F79" s="14" t="n">
        <v>1.82</v>
      </c>
      <c r="G79" s="14">
        <f>ROUND(F79*E79,2)</f>
        <v/>
      </c>
      <c r="H79" s="169">
        <f>G79/$G$82</f>
        <v/>
      </c>
      <c r="I79" s="14">
        <f>ROUND(F79*Прил.10!$D$12,2)</f>
        <v/>
      </c>
      <c r="J79" s="14">
        <f>ROUND(I79*E79,2)</f>
        <v/>
      </c>
    </row>
    <row r="80" hidden="1" outlineLevel="1" ht="14.25" customFormat="1" customHeight="1" s="117">
      <c r="A80" s="154">
        <f>A79+1</f>
        <v/>
      </c>
      <c r="B80" s="97" t="inlineStr">
        <is>
          <t>01.7.03.01-0001</t>
        </is>
      </c>
      <c r="C80" s="159" t="inlineStr">
        <is>
          <t>Вода</t>
        </is>
      </c>
      <c r="D80" s="154" t="inlineStr">
        <is>
          <t>м3</t>
        </is>
      </c>
      <c r="E80" s="205" t="n">
        <v>0.003212</v>
      </c>
      <c r="F80" s="14" t="n">
        <v>2.44</v>
      </c>
      <c r="G80" s="14">
        <f>ROUND(F80*E80,2)</f>
        <v/>
      </c>
      <c r="H80" s="169">
        <f>G80/$G$82</f>
        <v/>
      </c>
      <c r="I80" s="14">
        <f>ROUND(F80*Прил.10!$D$12,2)</f>
        <v/>
      </c>
      <c r="J80" s="14">
        <f>ROUND(I80*E80,2)</f>
        <v/>
      </c>
    </row>
    <row r="81" collapsed="1" customFormat="1" s="117">
      <c r="A81" s="154" t="n"/>
      <c r="B81" s="154" t="n"/>
      <c r="C81" s="159" t="inlineStr">
        <is>
          <t>Итого прочие материалы</t>
        </is>
      </c>
      <c r="D81" s="154" t="n"/>
      <c r="E81" s="160" t="n"/>
      <c r="F81" s="161" t="n"/>
      <c r="G81" s="14">
        <f>SUM(G46:G80)</f>
        <v/>
      </c>
      <c r="H81" s="169">
        <f>G81/G82</f>
        <v/>
      </c>
      <c r="I81" s="14" t="n"/>
      <c r="J81" s="14">
        <f>SUM(J46:J80)</f>
        <v/>
      </c>
      <c r="L81" s="209" t="n"/>
    </row>
    <row r="82" ht="14.25" customFormat="1" customHeight="1" s="117">
      <c r="A82" s="154" t="n"/>
      <c r="B82" s="154" t="n"/>
      <c r="C82" s="168" t="inlineStr">
        <is>
          <t>Итого по разделу «Материалы»</t>
        </is>
      </c>
      <c r="D82" s="154" t="n"/>
      <c r="E82" s="160" t="n"/>
      <c r="F82" s="161" t="n"/>
      <c r="G82" s="14">
        <f>G45+G81</f>
        <v/>
      </c>
      <c r="H82" s="169" t="n">
        <v>1</v>
      </c>
      <c r="I82" s="161" t="n"/>
      <c r="J82" s="14">
        <f>J45+J81</f>
        <v/>
      </c>
      <c r="K82" s="206" t="n"/>
      <c r="L82" s="40" t="n"/>
    </row>
    <row r="83" ht="14.25" customFormat="1" customHeight="1" s="117">
      <c r="A83" s="154" t="n"/>
      <c r="B83" s="154" t="n"/>
      <c r="C83" s="159" t="inlineStr">
        <is>
          <t>ИТОГО ПО РМ</t>
        </is>
      </c>
      <c r="D83" s="154" t="n"/>
      <c r="E83" s="160" t="n"/>
      <c r="F83" s="161" t="n"/>
      <c r="G83" s="14">
        <f>G14+G30+G82</f>
        <v/>
      </c>
      <c r="H83" s="169" t="n"/>
      <c r="I83" s="161" t="n"/>
      <c r="J83" s="14">
        <f>J14+J30+J82</f>
        <v/>
      </c>
    </row>
    <row r="84" ht="14.25" customFormat="1" customHeight="1" s="117">
      <c r="A84" s="154" t="n"/>
      <c r="B84" s="154" t="n"/>
      <c r="C84" s="159" t="inlineStr">
        <is>
          <t>Накладные расходы</t>
        </is>
      </c>
      <c r="D84" s="154" t="inlineStr">
        <is>
          <t>%</t>
        </is>
      </c>
      <c r="E84" s="38">
        <f>ROUND(G84/(G14+G16),2)</f>
        <v/>
      </c>
      <c r="F84" s="161" t="n"/>
      <c r="G84" s="14" t="n">
        <v>1390.03</v>
      </c>
      <c r="H84" s="169" t="n"/>
      <c r="I84" s="161" t="n"/>
      <c r="J84" s="14">
        <f>ROUND(E84*(J14+J16),2)</f>
        <v/>
      </c>
      <c r="K84" s="39" t="n"/>
    </row>
    <row r="85" ht="14.25" customFormat="1" customHeight="1" s="117">
      <c r="A85" s="154" t="n"/>
      <c r="B85" s="154" t="n"/>
      <c r="C85" s="159" t="inlineStr">
        <is>
          <t>Сметная прибыль</t>
        </is>
      </c>
      <c r="D85" s="154" t="inlineStr">
        <is>
          <t>%</t>
        </is>
      </c>
      <c r="E85" s="38">
        <f>ROUND(G85/(G14+G16),2)</f>
        <v/>
      </c>
      <c r="F85" s="161" t="n"/>
      <c r="G85" s="14" t="n">
        <v>750.17</v>
      </c>
      <c r="H85" s="169" t="n"/>
      <c r="I85" s="161" t="n"/>
      <c r="J85" s="14">
        <f>ROUND(E85*(J14+J16),2)</f>
        <v/>
      </c>
      <c r="K85" s="39" t="n"/>
    </row>
    <row r="86" ht="14.25" customFormat="1" customHeight="1" s="117">
      <c r="A86" s="154" t="n"/>
      <c r="B86" s="154" t="n"/>
      <c r="C86" s="159" t="inlineStr">
        <is>
          <t>Итого СМР (с НР и СП)</t>
        </is>
      </c>
      <c r="D86" s="154" t="n"/>
      <c r="E86" s="160" t="n"/>
      <c r="F86" s="161" t="n"/>
      <c r="G86" s="14">
        <f>G14+G30+G82+G84+G85</f>
        <v/>
      </c>
      <c r="H86" s="169" t="n"/>
      <c r="I86" s="161" t="n"/>
      <c r="J86" s="14">
        <f>J14+J30+J82+J84+J85</f>
        <v/>
      </c>
      <c r="L86" s="40" t="n"/>
    </row>
    <row r="87" ht="14.25" customFormat="1" customHeight="1" s="117">
      <c r="A87" s="154" t="n"/>
      <c r="B87" s="154" t="n"/>
      <c r="C87" s="159" t="inlineStr">
        <is>
          <t>ВСЕГО СМР + ОБОРУДОВАНИЕ</t>
        </is>
      </c>
      <c r="D87" s="154" t="n"/>
      <c r="E87" s="160" t="n"/>
      <c r="F87" s="161" t="n"/>
      <c r="G87" s="14">
        <f>G86+G36</f>
        <v/>
      </c>
      <c r="H87" s="169" t="n"/>
      <c r="I87" s="161" t="n"/>
      <c r="J87" s="14">
        <f>J86+J36</f>
        <v/>
      </c>
      <c r="L87" s="39" t="n"/>
    </row>
    <row r="88" ht="14.25" customFormat="1" customHeight="1" s="117">
      <c r="A88" s="154" t="n"/>
      <c r="B88" s="154" t="n"/>
      <c r="C88" s="159" t="inlineStr">
        <is>
          <t>ИТОГО ПОКАЗАТЕЛЬ НА ЕД. ИЗМ.</t>
        </is>
      </c>
      <c r="D88" s="154" t="inlineStr">
        <is>
          <t>ед.</t>
        </is>
      </c>
      <c r="E88" s="41">
        <f>'Прил.1 Сравнит табл'!D15</f>
        <v/>
      </c>
      <c r="F88" s="161" t="n"/>
      <c r="G88" s="14">
        <f>G87/E88</f>
        <v/>
      </c>
      <c r="H88" s="169" t="n"/>
      <c r="I88" s="161" t="n"/>
      <c r="J88" s="14">
        <f>J87/E88</f>
        <v/>
      </c>
      <c r="L88" s="204" t="n"/>
    </row>
    <row r="90" ht="14.25" customFormat="1" customHeight="1" s="117">
      <c r="A90" s="118" t="n"/>
    </row>
    <row r="91" ht="14.25" customFormat="1" customHeight="1" s="117">
      <c r="A91" s="116" t="inlineStr">
        <is>
          <t>Составил ______________________   Е. М. Добровольская</t>
        </is>
      </c>
    </row>
    <row r="92" ht="14.25" customFormat="1" customHeight="1" s="117">
      <c r="A92" s="119" t="inlineStr">
        <is>
          <t xml:space="preserve">                         (подпись, инициалы, фамилия)</t>
        </is>
      </c>
    </row>
    <row r="93" ht="14.25" customFormat="1" customHeight="1" s="117">
      <c r="A93" s="116" t="n"/>
    </row>
    <row r="94" ht="14.25" customFormat="1" customHeight="1" s="117">
      <c r="A94" s="116" t="inlineStr">
        <is>
          <t>Проверил ______________________        А.В. Костянецкая</t>
        </is>
      </c>
    </row>
    <row r="95" ht="14.25" customFormat="1" customHeight="1" s="117">
      <c r="A95" s="11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38:J38"/>
    <mergeCell ref="C9:C10"/>
    <mergeCell ref="E9:E10"/>
    <mergeCell ref="A7:H7"/>
    <mergeCell ref="B9:B10"/>
    <mergeCell ref="D9:D10"/>
    <mergeCell ref="B18:H18"/>
    <mergeCell ref="B32:J32"/>
    <mergeCell ref="B39:H39"/>
    <mergeCell ref="D6:J6"/>
    <mergeCell ref="B12:H12"/>
    <mergeCell ref="F9:G9"/>
    <mergeCell ref="A4:H4"/>
    <mergeCell ref="B17:H17"/>
    <mergeCell ref="A9:A10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D19" sqref="D19"/>
    </sheetView>
  </sheetViews>
  <sheetFormatPr baseColWidth="8" defaultRowHeight="15"/>
  <cols>
    <col width="5.7109375" customWidth="1" style="123" min="1" max="1"/>
    <col width="14.85546875" customWidth="1" style="123" min="2" max="2"/>
    <col width="39.140625" customWidth="1" style="123" min="3" max="3"/>
    <col width="8.28515625" customWidth="1" style="123" min="4" max="4"/>
    <col width="13.5703125" customWidth="1" style="123" min="5" max="5"/>
    <col width="12.42578125" customWidth="1" style="123" min="6" max="6"/>
    <col width="14.140625" customWidth="1" style="123" min="7" max="7"/>
  </cols>
  <sheetData>
    <row r="1">
      <c r="A1" s="174" t="inlineStr">
        <is>
          <t>Приложение №6</t>
        </is>
      </c>
    </row>
    <row r="2">
      <c r="A2" s="174" t="n"/>
      <c r="B2" s="174" t="n"/>
      <c r="C2" s="174" t="n"/>
      <c r="D2" s="174" t="n"/>
      <c r="E2" s="174" t="n"/>
      <c r="F2" s="174" t="n"/>
      <c r="G2" s="174" t="n"/>
    </row>
    <row r="3">
      <c r="A3" s="174" t="n"/>
      <c r="B3" s="174" t="n"/>
      <c r="C3" s="174" t="n"/>
      <c r="D3" s="174" t="n"/>
      <c r="E3" s="174" t="n"/>
      <c r="F3" s="174" t="n"/>
      <c r="G3" s="174" t="n"/>
    </row>
    <row r="4">
      <c r="A4" s="174" t="n"/>
      <c r="B4" s="174" t="n"/>
      <c r="C4" s="174" t="n"/>
      <c r="D4" s="174" t="n"/>
      <c r="E4" s="174" t="n"/>
      <c r="F4" s="174" t="n"/>
      <c r="G4" s="174" t="n"/>
    </row>
    <row r="5">
      <c r="A5" s="151" t="inlineStr">
        <is>
          <t>Расчет стоимости оборудования</t>
        </is>
      </c>
    </row>
    <row r="6" ht="64.5" customHeight="1" s="123">
      <c r="A6" s="176">
        <f>'Прил.1 Сравнит табл'!B7</f>
        <v/>
      </c>
    </row>
    <row r="7">
      <c r="A7" s="116" t="n"/>
      <c r="B7" s="116" t="n"/>
      <c r="C7" s="116" t="n"/>
      <c r="D7" s="116" t="n"/>
      <c r="E7" s="116" t="n"/>
      <c r="F7" s="116" t="n"/>
      <c r="G7" s="116" t="n"/>
    </row>
    <row r="8" ht="30" customHeight="1" s="123">
      <c r="A8" s="175" t="inlineStr">
        <is>
          <t>№ пп.</t>
        </is>
      </c>
      <c r="B8" s="175" t="inlineStr">
        <is>
          <t>Код ресурса</t>
        </is>
      </c>
      <c r="C8" s="175" t="inlineStr">
        <is>
          <t>Наименование</t>
        </is>
      </c>
      <c r="D8" s="175" t="inlineStr">
        <is>
          <t>Ед. изм.</t>
        </is>
      </c>
      <c r="E8" s="154" t="inlineStr">
        <is>
          <t>Кол-во единиц по проектным данным</t>
        </is>
      </c>
      <c r="F8" s="175" t="inlineStr">
        <is>
          <t>Сметная стоимость в ценах на 01.01.2000 (руб.)</t>
        </is>
      </c>
      <c r="G8" s="189" t="n"/>
    </row>
    <row r="9">
      <c r="A9" s="191" t="n"/>
      <c r="B9" s="191" t="n"/>
      <c r="C9" s="191" t="n"/>
      <c r="D9" s="191" t="n"/>
      <c r="E9" s="191" t="n"/>
      <c r="F9" s="154" t="inlineStr">
        <is>
          <t>на ед. изм.</t>
        </is>
      </c>
      <c r="G9" s="154" t="inlineStr">
        <is>
          <t>общая</t>
        </is>
      </c>
    </row>
    <row r="10">
      <c r="A10" s="154" t="n">
        <v>1</v>
      </c>
      <c r="B10" s="154" t="n">
        <v>2</v>
      </c>
      <c r="C10" s="154" t="n">
        <v>3</v>
      </c>
      <c r="D10" s="154" t="n">
        <v>4</v>
      </c>
      <c r="E10" s="154" t="n">
        <v>5</v>
      </c>
      <c r="F10" s="154" t="n">
        <v>6</v>
      </c>
      <c r="G10" s="154" t="n">
        <v>7</v>
      </c>
    </row>
    <row r="11" ht="15" customHeight="1" s="123">
      <c r="A11" s="7" t="n"/>
      <c r="B11" s="159" t="inlineStr">
        <is>
          <t>ИНЖЕНЕРНОЕ ОБОРУДОВАНИЕ</t>
        </is>
      </c>
      <c r="C11" s="188" t="n"/>
      <c r="D11" s="188" t="n"/>
      <c r="E11" s="188" t="n"/>
      <c r="F11" s="188" t="n"/>
      <c r="G11" s="189" t="n"/>
    </row>
    <row r="12" ht="27" customHeight="1" s="123">
      <c r="A12" s="154" t="n"/>
      <c r="B12" s="168" t="n"/>
      <c r="C12" s="159" t="inlineStr">
        <is>
          <t>ИТОГО ИНЖЕНЕРНОЕ ОБОРУДОВАНИЕ</t>
        </is>
      </c>
      <c r="D12" s="168" t="n"/>
      <c r="E12" s="8" t="n"/>
      <c r="F12" s="161" t="n"/>
      <c r="G12" s="161" t="n">
        <v>0</v>
      </c>
    </row>
    <row r="13">
      <c r="A13" s="154" t="n"/>
      <c r="B13" s="159" t="inlineStr">
        <is>
          <t>ТЕХНОЛОГИЧЕСКОЕ ОБОРУДОВАНИЕ</t>
        </is>
      </c>
      <c r="C13" s="188" t="n"/>
      <c r="D13" s="188" t="n"/>
      <c r="E13" s="188" t="n"/>
      <c r="F13" s="188" t="n"/>
      <c r="G13" s="189" t="n"/>
    </row>
    <row r="14" ht="38.25" customHeight="1" s="123">
      <c r="A14" s="154" t="n">
        <v>1</v>
      </c>
      <c r="B14" s="41">
        <f>'Прил.5 Расчет СМР и ОБ'!B33</f>
        <v/>
      </c>
      <c r="C14" s="82">
        <f>'Прил.5 Расчет СМР и ОБ'!C33</f>
        <v/>
      </c>
      <c r="D14" s="41">
        <f>'Прил.5 Расчет СМР и ОБ'!D33</f>
        <v/>
      </c>
      <c r="E14" s="41">
        <f>'Прил.5 Расчет СМР и ОБ'!E33</f>
        <v/>
      </c>
      <c r="F14" s="41">
        <f>'Прил.5 Расчет СМР и ОБ'!F33</f>
        <v/>
      </c>
      <c r="G14" s="14">
        <f>'Прил.5 Расчет СМР и ОБ'!G33</f>
        <v/>
      </c>
    </row>
    <row r="15" ht="25.5" customHeight="1" s="123">
      <c r="A15" s="154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61" t="n"/>
      <c r="G15" s="14">
        <f>SUM(G14:G14)</f>
        <v/>
      </c>
    </row>
    <row r="16" ht="19.5" customHeight="1" s="123">
      <c r="A16" s="154" t="n"/>
      <c r="B16" s="159" t="n"/>
      <c r="C16" s="159" t="inlineStr">
        <is>
          <t>Всего по разделу «Оборудование»</t>
        </is>
      </c>
      <c r="D16" s="159" t="n"/>
      <c r="E16" s="173" t="n"/>
      <c r="F16" s="161" t="n"/>
      <c r="G16" s="14">
        <f>G12+G15</f>
        <v/>
      </c>
    </row>
    <row r="17">
      <c r="A17" s="118" t="n"/>
      <c r="B17" s="11" t="n"/>
      <c r="C17" s="118" t="n"/>
      <c r="D17" s="118" t="n"/>
      <c r="E17" s="118" t="n"/>
      <c r="F17" s="118" t="n"/>
      <c r="G17" s="118" t="n"/>
    </row>
    <row r="18">
      <c r="A18" s="116" t="inlineStr">
        <is>
          <t>Составил ______________________   Е. М. Добровольская</t>
        </is>
      </c>
      <c r="B18" s="117" t="n"/>
      <c r="C18" s="117" t="n"/>
      <c r="D18" s="118" t="n"/>
      <c r="E18" s="118" t="n"/>
      <c r="F18" s="118" t="n"/>
      <c r="G18" s="118" t="n"/>
    </row>
    <row r="19">
      <c r="A19" s="119" t="inlineStr">
        <is>
          <t xml:space="preserve">                         (подпись, инициалы, фамилия)</t>
        </is>
      </c>
      <c r="B19" s="117" t="n"/>
      <c r="C19" s="117" t="n"/>
      <c r="D19" s="118" t="n"/>
      <c r="E19" s="118" t="n"/>
      <c r="F19" s="118" t="n"/>
      <c r="G19" s="118" t="n"/>
    </row>
    <row r="20">
      <c r="A20" s="116" t="n"/>
      <c r="B20" s="117" t="n"/>
      <c r="C20" s="117" t="n"/>
      <c r="D20" s="118" t="n"/>
      <c r="E20" s="118" t="n"/>
      <c r="F20" s="118" t="n"/>
      <c r="G20" s="118" t="n"/>
    </row>
    <row r="21">
      <c r="A21" s="116" t="inlineStr">
        <is>
          <t>Проверил ______________________        А.В. Костянецкая</t>
        </is>
      </c>
      <c r="B21" s="117" t="n"/>
      <c r="C21" s="117" t="n"/>
      <c r="D21" s="118" t="n"/>
      <c r="E21" s="118" t="n"/>
      <c r="F21" s="118" t="n"/>
      <c r="G21" s="118" t="n"/>
    </row>
    <row r="22">
      <c r="A22" s="119" t="inlineStr">
        <is>
          <t xml:space="preserve">                        (подпись, инициалы, фамилия)</t>
        </is>
      </c>
      <c r="B22" s="117" t="n"/>
      <c r="C22" s="117" t="n"/>
      <c r="D22" s="118" t="n"/>
      <c r="E22" s="118" t="n"/>
      <c r="F22" s="118" t="n"/>
      <c r="G22" s="11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23" min="1" max="1"/>
    <col width="22.42578125" customWidth="1" style="123" min="2" max="2"/>
    <col width="37.140625" customWidth="1" style="123" min="3" max="3"/>
    <col width="49" customWidth="1" style="123" min="4" max="4"/>
    <col width="9.140625" customWidth="1" style="123" min="5" max="5"/>
  </cols>
  <sheetData>
    <row r="1" ht="15.75" customHeight="1" s="123">
      <c r="A1" s="125" t="n"/>
      <c r="B1" s="125" t="n"/>
      <c r="C1" s="125" t="n"/>
      <c r="D1" s="125" t="inlineStr">
        <is>
          <t>Приложение №7</t>
        </is>
      </c>
    </row>
    <row r="2" ht="15.75" customHeight="1" s="123">
      <c r="A2" s="125" t="n"/>
      <c r="B2" s="125" t="n"/>
      <c r="C2" s="125" t="n"/>
      <c r="D2" s="125" t="n"/>
    </row>
    <row r="3" ht="15.75" customHeight="1" s="123">
      <c r="A3" s="125" t="n"/>
      <c r="B3" s="111" t="inlineStr">
        <is>
          <t>Расчет показателя УНЦ</t>
        </is>
      </c>
      <c r="C3" s="125" t="n"/>
      <c r="D3" s="125" t="n"/>
    </row>
    <row r="4" ht="15.75" customHeight="1" s="123">
      <c r="A4" s="125" t="n"/>
      <c r="B4" s="125" t="n"/>
      <c r="C4" s="125" t="n"/>
      <c r="D4" s="125" t="n"/>
    </row>
    <row r="5" ht="47.25" customHeight="1" s="123">
      <c r="A5" s="177" t="inlineStr">
        <is>
          <t xml:space="preserve">Наименование разрабатываемого показателя УНЦ - </t>
        </is>
      </c>
      <c r="D5" s="177">
        <f>'Прил.5 Расчет СМР и ОБ'!D6:J6</f>
        <v/>
      </c>
    </row>
    <row r="6" ht="15.75" customHeight="1" s="123">
      <c r="A6" s="125" t="inlineStr">
        <is>
          <t>Единица измерения  — 1 ед</t>
        </is>
      </c>
      <c r="B6" s="125" t="n"/>
      <c r="C6" s="125" t="n"/>
      <c r="D6" s="125" t="n"/>
    </row>
    <row r="7" ht="15.75" customHeight="1" s="123">
      <c r="A7" s="125" t="n"/>
      <c r="B7" s="125" t="n"/>
      <c r="C7" s="125" t="n"/>
      <c r="D7" s="125" t="n"/>
    </row>
    <row r="8">
      <c r="A8" s="146" t="inlineStr">
        <is>
          <t>Код показателя</t>
        </is>
      </c>
      <c r="B8" s="146" t="inlineStr">
        <is>
          <t>Наименование показателя</t>
        </is>
      </c>
      <c r="C8" s="146" t="inlineStr">
        <is>
          <t>Наименование РМ, входящих в состав показателя</t>
        </is>
      </c>
      <c r="D8" s="146" t="inlineStr">
        <is>
          <t>Норматив цены на 01.01.2023, тыс.руб.</t>
        </is>
      </c>
    </row>
    <row r="9">
      <c r="A9" s="191" t="n"/>
      <c r="B9" s="191" t="n"/>
      <c r="C9" s="191" t="n"/>
      <c r="D9" s="191" t="n"/>
    </row>
    <row r="10" ht="15.75" customHeight="1" s="123">
      <c r="A10" s="146" t="n">
        <v>1</v>
      </c>
      <c r="B10" s="146" t="n">
        <v>2</v>
      </c>
      <c r="C10" s="146" t="n">
        <v>3</v>
      </c>
      <c r="D10" s="146" t="n">
        <v>4</v>
      </c>
    </row>
    <row r="11" ht="63" customHeight="1" s="123">
      <c r="A11" s="146" t="inlineStr">
        <is>
          <t>И7-02-2</t>
        </is>
      </c>
      <c r="B11" s="146" t="inlineStr">
        <is>
          <t>УНЦ выключателя 35 кВ без устройства фундаментов</t>
        </is>
      </c>
      <c r="C11" s="114">
        <f>D5</f>
        <v/>
      </c>
      <c r="D11" s="131">
        <f>'Прил.4 РМ'!C41/1000</f>
        <v/>
      </c>
    </row>
    <row r="13">
      <c r="A13" s="116" t="inlineStr">
        <is>
          <t>Составил ______________________   Е. М. Добровольская</t>
        </is>
      </c>
      <c r="B13" s="117" t="n"/>
      <c r="C13" s="117" t="n"/>
      <c r="D13" s="118" t="n"/>
    </row>
    <row r="14">
      <c r="A14" s="119" t="inlineStr">
        <is>
          <t xml:space="preserve">                         (подпись, инициалы, фамилия)</t>
        </is>
      </c>
      <c r="B14" s="117" t="n"/>
      <c r="C14" s="117" t="n"/>
      <c r="D14" s="118" t="n"/>
    </row>
    <row r="15">
      <c r="A15" s="116" t="n"/>
      <c r="B15" s="117" t="n"/>
      <c r="C15" s="117" t="n"/>
      <c r="D15" s="118" t="n"/>
    </row>
    <row r="16">
      <c r="A16" s="116" t="inlineStr">
        <is>
          <t>Проверил ______________________        А.В. Костянецкая</t>
        </is>
      </c>
      <c r="B16" s="117" t="n"/>
      <c r="C16" s="117" t="n"/>
      <c r="D16" s="118" t="n"/>
    </row>
    <row r="17" ht="20.25" customHeight="1" s="123">
      <c r="A17" s="119" t="inlineStr">
        <is>
          <t xml:space="preserve">                        (подпись, инициалы, фамилия)</t>
        </is>
      </c>
      <c r="B17" s="117" t="n"/>
      <c r="C17" s="117" t="n"/>
      <c r="D17" s="1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zoomScale="60" zoomScaleNormal="100" workbookViewId="0">
      <selection activeCell="D26" sqref="D26"/>
    </sheetView>
  </sheetViews>
  <sheetFormatPr baseColWidth="8" defaultRowHeight="15"/>
  <cols>
    <col width="40.7109375" customWidth="1" style="123" min="2" max="2"/>
    <col width="37" customWidth="1" style="123" min="3" max="3"/>
    <col width="32" customWidth="1" style="123" min="4" max="4"/>
  </cols>
  <sheetData>
    <row r="4" ht="15.75" customHeight="1" s="123">
      <c r="B4" s="142" t="inlineStr">
        <is>
          <t>Приложение № 10</t>
        </is>
      </c>
    </row>
    <row r="5" ht="18.75" customHeight="1" s="123">
      <c r="B5" s="20" t="n"/>
    </row>
    <row r="6" ht="15.75" customHeight="1" s="123">
      <c r="B6" s="143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23">
      <c r="B8" s="146" t="inlineStr">
        <is>
          <t>Наименование индекса / норм сопутствующих затрат</t>
        </is>
      </c>
      <c r="C8" s="146" t="inlineStr">
        <is>
          <t>Дата применения и обоснование индекса / норм сопутствующих затрат</t>
        </is>
      </c>
      <c r="D8" s="146" t="inlineStr">
        <is>
          <t>Размер индекса / норма сопутствующих затрат</t>
        </is>
      </c>
    </row>
    <row r="9" ht="15.75" customHeight="1" s="123">
      <c r="B9" s="146" t="n">
        <v>1</v>
      </c>
      <c r="C9" s="146" t="n">
        <v>2</v>
      </c>
      <c r="D9" s="146" t="n">
        <v>3</v>
      </c>
    </row>
    <row r="10" ht="31.5" customHeight="1" s="123">
      <c r="B10" s="146" t="inlineStr">
        <is>
          <t xml:space="preserve">Индекс изменения сметной стоимости на 1 квартал 2023 года. ОЗП </t>
        </is>
      </c>
      <c r="C10" s="146" t="inlineStr">
        <is>
          <t>Письмо Минстроя России от 30.03.2023г. №17106-ИФ/09  прил.1</t>
        </is>
      </c>
      <c r="D10" s="146" t="n">
        <v>44.29</v>
      </c>
    </row>
    <row r="11" ht="31.5" customHeight="1" s="123">
      <c r="B11" s="146" t="inlineStr">
        <is>
          <t>Индекс изменения сметной стоимости на 1 квартал 2023 года. ЭМ</t>
        </is>
      </c>
      <c r="C11" s="146" t="inlineStr">
        <is>
          <t>Письмо Минстроя России от 30.03.2023г. №17106-ИФ/09  прил.1</t>
        </is>
      </c>
      <c r="D11" s="146" t="n">
        <v>13.47</v>
      </c>
    </row>
    <row r="12" ht="31.5" customHeight="1" s="123">
      <c r="B12" s="146" t="inlineStr">
        <is>
          <t>Индекс изменения сметной стоимости на 1 квартал 2023 года. МАТ</t>
        </is>
      </c>
      <c r="C12" s="146" t="inlineStr">
        <is>
          <t>Письмо Минстроя России от 30.03.2023г. №17106-ИФ/09  прил.1</t>
        </is>
      </c>
      <c r="D12" s="146" t="n">
        <v>8.039999999999999</v>
      </c>
    </row>
    <row r="13" ht="31.5" customHeight="1" s="123">
      <c r="B13" s="146" t="inlineStr">
        <is>
          <t>Индекс изменения сметной стоимости на 1 квартал 2023 года. ОБ</t>
        </is>
      </c>
      <c r="C13" s="121" t="inlineStr">
        <is>
          <t>Письмо Минстроя России от 23.02.2023г. №9791-ИФ/09 прил.6</t>
        </is>
      </c>
      <c r="D13" s="146" t="n">
        <v>6.26</v>
      </c>
    </row>
    <row r="14" ht="78.75" customHeight="1" s="123">
      <c r="B14" s="146" t="inlineStr">
        <is>
          <t>Временные здания и сооружения</t>
        </is>
      </c>
      <c r="C14" s="146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22" t="n">
        <v>0.039</v>
      </c>
    </row>
    <row r="15" ht="78.75" customHeight="1" s="123">
      <c r="B15" s="146" t="inlineStr">
        <is>
          <t>Дополнительные затраты при производстве строительно-монтажных работ в зимнее время</t>
        </is>
      </c>
      <c r="C15" s="14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22" t="n">
        <v>0.021</v>
      </c>
    </row>
    <row r="16" ht="31.5" customHeight="1" s="123">
      <c r="B16" s="146" t="inlineStr">
        <is>
          <t>Пусконаладочные работы</t>
        </is>
      </c>
      <c r="C16" s="146" t="n"/>
      <c r="D16" s="146" t="inlineStr">
        <is>
          <t>расчет</t>
        </is>
      </c>
    </row>
    <row r="17" ht="31.5" customHeight="1" s="123">
      <c r="B17" s="146" t="inlineStr">
        <is>
          <t>Строительный контроль</t>
        </is>
      </c>
      <c r="C17" s="146" t="inlineStr">
        <is>
          <t>Постановление Правительства РФ от 21.06.10 г. № 468</t>
        </is>
      </c>
      <c r="D17" s="122" t="n">
        <v>0.0214</v>
      </c>
    </row>
    <row r="18" ht="24" customHeight="1" s="123">
      <c r="B18" s="146" t="inlineStr">
        <is>
          <t>Авторский надзор</t>
        </is>
      </c>
      <c r="C18" s="146" t="inlineStr">
        <is>
          <t>Приказ от 4.08.2020 № 421/пр п.173</t>
        </is>
      </c>
      <c r="D18" s="122" t="n">
        <v>0.002</v>
      </c>
    </row>
    <row r="19" ht="18.75" customHeight="1" s="123">
      <c r="B19" s="146" t="inlineStr">
        <is>
          <t>Непредвиденные расходы</t>
        </is>
      </c>
      <c r="C19" s="146" t="inlineStr">
        <is>
          <t>Приказ от 4.08.2020 № 421/пр п.179</t>
        </is>
      </c>
      <c r="D19" s="122" t="n">
        <v>0.03</v>
      </c>
    </row>
    <row r="20" ht="18.75" customHeight="1" s="123">
      <c r="B20" s="21" t="n"/>
    </row>
    <row r="21" ht="18.75" customHeight="1" s="123">
      <c r="B21" s="21" t="n"/>
    </row>
    <row r="22" ht="18.75" customHeight="1" s="123">
      <c r="B22" s="21" t="n"/>
    </row>
    <row r="25">
      <c r="B25" s="116" t="inlineStr">
        <is>
          <t>Составил ______________________        Е. М. Добровольская</t>
        </is>
      </c>
      <c r="C25" s="117" t="n"/>
    </row>
    <row r="26">
      <c r="B26" s="119" t="inlineStr">
        <is>
          <t xml:space="preserve">                         (подпись, инициалы, фамилия)</t>
        </is>
      </c>
      <c r="C26" s="117" t="n"/>
    </row>
    <row r="27">
      <c r="B27" s="116" t="n"/>
      <c r="C27" s="117" t="n"/>
    </row>
    <row r="28">
      <c r="B28" s="116" t="inlineStr">
        <is>
          <t>Проверил ______________________        А.В. Костянецкая</t>
        </is>
      </c>
      <c r="C28" s="117" t="n"/>
    </row>
    <row r="29">
      <c r="B29" s="119" t="inlineStr">
        <is>
          <t xml:space="preserve">                        (подпись, инициалы, фамилия)</t>
        </is>
      </c>
      <c r="C29" s="1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0" zoomScale="60" zoomScaleNormal="100" workbookViewId="0">
      <selection activeCell="F26" sqref="F26"/>
    </sheetView>
  </sheetViews>
  <sheetFormatPr baseColWidth="8" defaultColWidth="9.140625" defaultRowHeight="15"/>
  <cols>
    <col width="44.85546875" customWidth="1" style="123" min="2" max="2"/>
    <col width="13" customWidth="1" style="123" min="3" max="3"/>
    <col width="22.85546875" customWidth="1" style="123" min="4" max="4"/>
    <col width="21.5703125" customWidth="1" style="123" min="5" max="5"/>
    <col width="53.7109375" bestFit="1" customWidth="1" style="123" min="6" max="6"/>
  </cols>
  <sheetData>
    <row r="1" s="123"/>
    <row r="2" ht="17.25" customHeight="1" s="123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3" s="123"/>
    <row r="4" ht="18" customHeight="1" s="123">
      <c r="A4" s="124" t="inlineStr">
        <is>
          <t>Составлен в уровне цен на 01.01.2023 г.</t>
        </is>
      </c>
      <c r="B4" s="125" t="n"/>
      <c r="C4" s="125" t="n"/>
      <c r="D4" s="125" t="n"/>
      <c r="E4" s="125" t="n"/>
      <c r="F4" s="125" t="n"/>
      <c r="G4" s="125" t="n"/>
    </row>
    <row r="5" ht="15.75" customHeight="1" s="123">
      <c r="A5" s="126" t="inlineStr">
        <is>
          <t>№ пп.</t>
        </is>
      </c>
      <c r="B5" s="126" t="inlineStr">
        <is>
          <t>Наименование элемента</t>
        </is>
      </c>
      <c r="C5" s="126" t="inlineStr">
        <is>
          <t>Обозначение</t>
        </is>
      </c>
      <c r="D5" s="126" t="inlineStr">
        <is>
          <t>Формула</t>
        </is>
      </c>
      <c r="E5" s="126" t="inlineStr">
        <is>
          <t>Величина элемента</t>
        </is>
      </c>
      <c r="F5" s="126" t="inlineStr">
        <is>
          <t>Наименования обосновывающих документов</t>
        </is>
      </c>
      <c r="G5" s="125" t="n"/>
    </row>
    <row r="6" ht="15.75" customHeight="1" s="123">
      <c r="A6" s="126" t="n">
        <v>1</v>
      </c>
      <c r="B6" s="126" t="n">
        <v>2</v>
      </c>
      <c r="C6" s="126" t="n">
        <v>3</v>
      </c>
      <c r="D6" s="126" t="n">
        <v>4</v>
      </c>
      <c r="E6" s="126" t="n">
        <v>5</v>
      </c>
      <c r="F6" s="126" t="n">
        <v>6</v>
      </c>
      <c r="G6" s="125" t="n"/>
    </row>
    <row r="7" ht="110.25" customHeight="1" s="123">
      <c r="A7" s="127" t="inlineStr">
        <is>
          <t>1.1</t>
        </is>
      </c>
      <c r="B7" s="1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6" t="inlineStr">
        <is>
          <t>С1ср</t>
        </is>
      </c>
      <c r="D7" s="146" t="inlineStr">
        <is>
          <t>-</t>
        </is>
      </c>
      <c r="E7" s="130" t="n">
        <v>47872.94</v>
      </c>
      <c r="F7" s="1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5" t="n"/>
    </row>
    <row r="8" ht="31.5" customHeight="1" s="123">
      <c r="A8" s="127" t="inlineStr">
        <is>
          <t>1.2</t>
        </is>
      </c>
      <c r="B8" s="132" t="inlineStr">
        <is>
          <t>Среднегодовое нормативное число часов работы одного рабочего в месяц, часы (ч.)</t>
        </is>
      </c>
      <c r="C8" s="146" t="inlineStr">
        <is>
          <t>tср</t>
        </is>
      </c>
      <c r="D8" s="146" t="inlineStr">
        <is>
          <t>1973ч/12мес.</t>
        </is>
      </c>
      <c r="E8" s="131">
        <f>1973/12</f>
        <v/>
      </c>
      <c r="F8" s="132" t="inlineStr">
        <is>
          <t>Производственный календарь 2023 год
(40-часов.неделя)</t>
        </is>
      </c>
      <c r="G8" s="134" t="n"/>
    </row>
    <row r="9" ht="15.75" customHeight="1" s="123">
      <c r="A9" s="127" t="inlineStr">
        <is>
          <t>1.3</t>
        </is>
      </c>
      <c r="B9" s="132" t="inlineStr">
        <is>
          <t>Коэффициент увеличения</t>
        </is>
      </c>
      <c r="C9" s="146" t="inlineStr">
        <is>
          <t>Кув</t>
        </is>
      </c>
      <c r="D9" s="146" t="inlineStr">
        <is>
          <t>-</t>
        </is>
      </c>
      <c r="E9" s="131" t="n">
        <v>1</v>
      </c>
      <c r="F9" s="132" t="n"/>
      <c r="G9" s="134" t="n"/>
    </row>
    <row r="10" ht="15.75" customHeight="1" s="123">
      <c r="A10" s="127" t="inlineStr">
        <is>
          <t>1.4</t>
        </is>
      </c>
      <c r="B10" s="132" t="inlineStr">
        <is>
          <t>Средний разряд работ</t>
        </is>
      </c>
      <c r="C10" s="146" t="n"/>
      <c r="D10" s="146" t="n"/>
      <c r="E10" s="212" t="n">
        <v>4</v>
      </c>
      <c r="F10" s="132" t="inlineStr">
        <is>
          <t>РТМ</t>
        </is>
      </c>
      <c r="G10" s="134" t="n"/>
    </row>
    <row r="11" ht="78.75" customHeight="1" s="123">
      <c r="A11" s="127" t="inlineStr">
        <is>
          <t>1.5</t>
        </is>
      </c>
      <c r="B11" s="132" t="inlineStr">
        <is>
          <t>Тарифный коэффициент среднего разряда работ</t>
        </is>
      </c>
      <c r="C11" s="146" t="inlineStr">
        <is>
          <t>КТ</t>
        </is>
      </c>
      <c r="D11" s="146" t="inlineStr">
        <is>
          <t>-</t>
        </is>
      </c>
      <c r="E11" s="213" t="n">
        <v>1.34</v>
      </c>
      <c r="F11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5" t="n"/>
    </row>
    <row r="12" ht="78.75" customHeight="1" s="123">
      <c r="A12" s="137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38" t="inlineStr">
        <is>
          <t>Кинф</t>
        </is>
      </c>
      <c r="D12" s="138" t="inlineStr">
        <is>
          <t>-</t>
        </is>
      </c>
      <c r="E12" s="214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23">
      <c r="A13" s="182" t="inlineStr">
        <is>
          <t>1.7</t>
        </is>
      </c>
      <c r="B13" s="183" t="inlineStr">
        <is>
          <t>Размер средств на оплату труда рабочих-строителей в текущем уровне цен (ФОТр.тек.), руб/чел.-ч</t>
        </is>
      </c>
      <c r="C13" s="184" t="inlineStr">
        <is>
          <t>ФОТр.тек.</t>
        </is>
      </c>
      <c r="D13" s="184" t="inlineStr">
        <is>
          <t>(С1ср/tср*КТ*Т*Кув)*Кинф</t>
        </is>
      </c>
      <c r="E13" s="185">
        <f>((E7*E9/E8)*E11)*E12</f>
        <v/>
      </c>
      <c r="F13" s="18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2025-01-24T12:02:37Z</dcterms:modified>
  <cp:lastModifiedBy>Николай Трофименко</cp:lastModifiedBy>
  <cp:lastPrinted>2023-11-29T14:44:06Z</cp:lastPrinted>
</cp:coreProperties>
</file>