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23" fillId="0" borderId="0" applyAlignment="1" pivotButton="0" quotePrefix="0" xfId="0">
      <alignment horizontal="right" vertical="center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3" fillId="0" borderId="0" pivotButton="0" quotePrefix="0" xfId="0"/>
    <xf numFmtId="10" fontId="23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16" fillId="0" borderId="0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60" zoomScaleNormal="70" workbookViewId="0">
      <selection activeCell="D31" sqref="D31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84" customHeight="1" s="218">
      <c r="B5" s="2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56" t="n"/>
      <c r="C6" s="156" t="n"/>
      <c r="D6" s="156" t="n"/>
    </row>
    <row r="7" ht="64.5" customHeight="1" s="218">
      <c r="B7" s="252" t="inlineStr">
        <is>
          <t xml:space="preserve">Наименование разрабатываемого показателя УНЦ — Баковый выключатель 110 кВ без устройства фундамента, номинальный ток 3150 А, номинальный ток отключения 50 кА </t>
        </is>
      </c>
    </row>
    <row r="8" ht="31.5" customHeight="1" s="218">
      <c r="B8" s="252" t="inlineStr">
        <is>
          <t>Сопоставимый уровень цен: 2 квартал 2015 г</t>
        </is>
      </c>
    </row>
    <row r="9" ht="15.75" customHeight="1" s="218">
      <c r="B9" s="252" t="inlineStr">
        <is>
          <t>Единица измерения  — 1 ед.</t>
        </is>
      </c>
    </row>
    <row r="10">
      <c r="B10" s="252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39" t="n"/>
    </row>
    <row r="12" ht="96.75" customHeight="1" s="218">
      <c r="B12" s="256" t="n">
        <v>1</v>
      </c>
      <c r="C12" s="232" t="inlineStr">
        <is>
          <t>Наименование объекта-представителя</t>
        </is>
      </c>
      <c r="D12" s="199" t="inlineStr">
        <is>
          <t>ПС Орская</t>
        </is>
      </c>
    </row>
    <row r="13">
      <c r="B13" s="256" t="n">
        <v>2</v>
      </c>
      <c r="C13" s="232" t="inlineStr">
        <is>
          <t>Наименование субъекта Российской Федерации</t>
        </is>
      </c>
      <c r="D13" s="199" t="inlineStr">
        <is>
          <t>Оренбурская область</t>
        </is>
      </c>
    </row>
    <row r="14">
      <c r="B14" s="256" t="n">
        <v>3</v>
      </c>
      <c r="C14" s="232" t="inlineStr">
        <is>
          <t>Климатический район и подрайон</t>
        </is>
      </c>
      <c r="D14" s="199" t="inlineStr">
        <is>
          <t>IIIА</t>
        </is>
      </c>
    </row>
    <row r="15">
      <c r="B15" s="256" t="n">
        <v>4</v>
      </c>
      <c r="C15" s="232" t="inlineStr">
        <is>
          <t>Мощность объекта</t>
        </is>
      </c>
      <c r="D15" s="199" t="n">
        <v>17</v>
      </c>
    </row>
    <row r="16" ht="116.25" customHeight="1" s="218">
      <c r="B16" s="256" t="n">
        <v>5</v>
      </c>
      <c r="C16" s="2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Выключатель баковый 110 кВ</t>
        </is>
      </c>
    </row>
    <row r="17" ht="79.5" customHeight="1" s="218">
      <c r="B17" s="256" t="n">
        <v>6</v>
      </c>
      <c r="C17" s="2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D18+D19</f>
        <v/>
      </c>
      <c r="E17" s="155" t="n"/>
    </row>
    <row r="18">
      <c r="B18" s="138" t="inlineStr">
        <is>
          <t>6.1</t>
        </is>
      </c>
      <c r="C18" s="232" t="inlineStr">
        <is>
          <t>строительно-монтажные работы</t>
        </is>
      </c>
      <c r="D18" s="146">
        <f>'Прил.2 Расч стоим'!F12</f>
        <v/>
      </c>
    </row>
    <row r="19" ht="15.75" customHeight="1" s="218">
      <c r="B19" s="138" t="inlineStr">
        <is>
          <t>6.2</t>
        </is>
      </c>
      <c r="C19" s="232" t="inlineStr">
        <is>
          <t>оборудование и инвентарь</t>
        </is>
      </c>
      <c r="D19" s="146">
        <f>'Прил.2 Расч стоим'!H12</f>
        <v/>
      </c>
    </row>
    <row r="20" ht="16.5" customHeight="1" s="218">
      <c r="B20" s="138" t="inlineStr">
        <is>
          <t>6.3</t>
        </is>
      </c>
      <c r="C20" s="232" t="inlineStr">
        <is>
          <t>пусконаладочные работы</t>
        </is>
      </c>
      <c r="D20" s="146" t="n"/>
    </row>
    <row r="21" ht="35.25" customHeight="1" s="218">
      <c r="B21" s="138" t="inlineStr">
        <is>
          <t>6.4</t>
        </is>
      </c>
      <c r="C21" s="137" t="inlineStr">
        <is>
          <t>прочие и лимитированные затраты</t>
        </is>
      </c>
      <c r="D21" s="146" t="n"/>
    </row>
    <row r="22">
      <c r="B22" s="256" t="n">
        <v>7</v>
      </c>
      <c r="C22" s="137" t="inlineStr">
        <is>
          <t>Сопоставимый уровень цен</t>
        </is>
      </c>
      <c r="D22" s="160" t="inlineStr">
        <is>
          <t>2 квартал 2015 г</t>
        </is>
      </c>
      <c r="E22" s="135" t="n"/>
    </row>
    <row r="23" ht="123" customHeight="1" s="218">
      <c r="B23" s="256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55" t="n"/>
    </row>
    <row r="24" ht="60.75" customHeight="1" s="218">
      <c r="B24" s="256" t="n">
        <v>9</v>
      </c>
      <c r="C24" s="215" t="inlineStr">
        <is>
          <t>Приведенная сметная стоимость на единицу мощности, тыс. руб. (строка 8/строку 4)</t>
        </is>
      </c>
      <c r="D24" s="146">
        <f>D17/D15</f>
        <v/>
      </c>
      <c r="E24" s="135" t="n"/>
    </row>
    <row r="25" ht="48" customHeight="1" s="218">
      <c r="B25" s="256" t="n">
        <v>10</v>
      </c>
      <c r="C25" s="232" t="inlineStr">
        <is>
          <t>Примечание</t>
        </is>
      </c>
      <c r="D25" s="256" t="n"/>
    </row>
    <row r="26">
      <c r="B26" s="133" t="n"/>
      <c r="C26" s="132" t="n"/>
      <c r="D26" s="132" t="n"/>
    </row>
    <row r="27" ht="37.5" customHeight="1" s="218">
      <c r="B27" s="131" t="n"/>
    </row>
    <row r="28">
      <c r="B28" s="220" t="inlineStr">
        <is>
          <t xml:space="preserve">Составил ______________________    Р.Р. Шагеева 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D31" sqref="D31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50" t="inlineStr">
        <is>
          <t>Приложение № 2</t>
        </is>
      </c>
      <c r="K3" s="131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18">
      <c r="B6" s="258">
        <f>'Прил.1 Сравнит табл'!B7:D7</f>
        <v/>
      </c>
      <c r="K6" s="131" t="n"/>
    </row>
    <row r="7">
      <c r="B7" s="252">
        <f>'Прил.1 Сравнит табл'!B9:D9</f>
        <v/>
      </c>
    </row>
    <row r="8" ht="18.75" customHeight="1" s="218">
      <c r="B8" s="111" t="n"/>
    </row>
    <row r="9" ht="15.75" customHeight="1" s="218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49" t="n"/>
      <c r="F9" s="349" t="n"/>
      <c r="G9" s="349" t="n"/>
      <c r="H9" s="349" t="n"/>
      <c r="I9" s="349" t="n"/>
      <c r="J9" s="350" t="n"/>
    </row>
    <row r="10" ht="15.75" customHeight="1" s="218">
      <c r="B10" s="351" t="n"/>
      <c r="C10" s="351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2 кв. 2015г., тыс. руб.</t>
        </is>
      </c>
      <c r="G10" s="349" t="n"/>
      <c r="H10" s="349" t="n"/>
      <c r="I10" s="349" t="n"/>
      <c r="J10" s="350" t="n"/>
    </row>
    <row r="11" ht="31.5" customHeight="1" s="218">
      <c r="B11" s="352" t="n"/>
      <c r="C11" s="352" t="n"/>
      <c r="D11" s="352" t="n"/>
      <c r="E11" s="352" t="n"/>
      <c r="F11" s="257" t="inlineStr">
        <is>
          <t>Строительные работы</t>
        </is>
      </c>
      <c r="G11" s="257" t="inlineStr">
        <is>
          <t>Монтажные работы</t>
        </is>
      </c>
      <c r="H11" s="257" t="inlineStr">
        <is>
          <t>Оборудование</t>
        </is>
      </c>
      <c r="I11" s="257" t="inlineStr">
        <is>
          <t>Прочее</t>
        </is>
      </c>
      <c r="J11" s="257" t="inlineStr">
        <is>
          <t>Всего</t>
        </is>
      </c>
    </row>
    <row r="12" ht="78.75" customHeight="1" s="218">
      <c r="B12" s="241" t="n"/>
      <c r="C12" s="241" t="inlineStr">
        <is>
          <t xml:space="preserve">Баковый выключатель 110 кВ без устройства фундамента, номинальный ток 3150 А, номинальный ток отключения 50 кА </t>
        </is>
      </c>
      <c r="D12" s="241" t="n"/>
      <c r="E12" s="241" t="n"/>
      <c r="F12" s="353" t="n">
        <v>1985.992969</v>
      </c>
      <c r="G12" s="350" t="n"/>
      <c r="H12" s="241" t="n">
        <v>50590.742238</v>
      </c>
      <c r="I12" s="241" t="n"/>
      <c r="J12" s="241" t="n"/>
    </row>
    <row r="13" ht="15.75" customHeight="1" s="218">
      <c r="B13" s="254" t="inlineStr">
        <is>
          <t>Всего по объекту:</t>
        </is>
      </c>
      <c r="C13" s="354" t="n"/>
      <c r="D13" s="354" t="n"/>
      <c r="E13" s="355" t="n"/>
      <c r="F13" s="356">
        <f>F12</f>
        <v/>
      </c>
      <c r="G13" s="350" t="n"/>
      <c r="H13" s="240">
        <f>H12</f>
        <v/>
      </c>
      <c r="I13" s="240" t="n"/>
      <c r="J13" s="240" t="n"/>
    </row>
    <row r="14">
      <c r="B14" s="255" t="inlineStr">
        <is>
          <t>Всего по объекту в сопоставимом уровне цен 2 кв. 2015г:</t>
        </is>
      </c>
      <c r="C14" s="349" t="n"/>
      <c r="D14" s="349" t="n"/>
      <c r="E14" s="350" t="n"/>
      <c r="F14" s="356">
        <f>F13</f>
        <v/>
      </c>
      <c r="G14" s="350" t="n"/>
      <c r="H14" s="157">
        <f>H13</f>
        <v/>
      </c>
      <c r="I14" s="157" t="n"/>
      <c r="J14" s="157">
        <f>F12+H12</f>
        <v/>
      </c>
    </row>
    <row r="15" ht="15" customHeight="1" s="218"/>
    <row r="16" ht="15" customHeight="1" s="218"/>
    <row r="17" ht="15" customHeight="1" s="218"/>
    <row r="18" ht="15" customHeight="1" s="218">
      <c r="C18" s="210" t="inlineStr">
        <is>
          <t xml:space="preserve">Составил ______________________     Р.Р. Шагеева </t>
        </is>
      </c>
      <c r="D18" s="211" t="n"/>
      <c r="E18" s="211" t="n"/>
    </row>
    <row r="19" ht="15" customHeight="1" s="218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8">
      <c r="C20" s="210" t="n"/>
      <c r="D20" s="211" t="n"/>
      <c r="E20" s="211" t="n"/>
    </row>
    <row r="21" ht="15" customHeight="1" s="218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18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8"/>
    <row r="24" ht="15" customHeight="1" s="218"/>
    <row r="25" ht="15" customHeight="1" s="218"/>
    <row r="26" ht="15" customHeight="1" s="218"/>
    <row r="27" ht="15" customHeight="1" s="218"/>
    <row r="28" ht="15" customHeight="1" s="2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1"/>
  <sheetViews>
    <sheetView view="pageBreakPreview" zoomScale="25" zoomScaleSheetLayoutView="25" workbookViewId="0">
      <selection activeCell="D31" sqref="D31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6.7109375" customWidth="1" style="220" min="8" max="8"/>
    <col width="9.140625" customWidth="1" style="220" min="9" max="9"/>
    <col width="11.28515625" customWidth="1" style="220" min="10" max="10"/>
    <col width="15" customWidth="1" style="220" min="11" max="11"/>
    <col width="9.140625" customWidth="1" style="220" min="12" max="12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8">
      <c r="A4" s="159" t="n"/>
      <c r="B4" s="159" t="n"/>
      <c r="C4" s="2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 ht="30.75" customHeight="1" s="218">
      <c r="A6" s="258" t="inlineStr">
        <is>
          <t xml:space="preserve">Наименование разрабатываемого показателя УНЦ -  Баковый выключатель 110 кВ без устройства фундамента, номинальный ток 3150 А, номинальный ток отключения 50 кА </t>
        </is>
      </c>
    </row>
    <row r="7" ht="30.75" customHeight="1" s="218">
      <c r="A7" s="258" t="n"/>
      <c r="B7" s="258" t="n"/>
      <c r="C7" s="258" t="n"/>
      <c r="D7" s="258" t="n"/>
      <c r="E7" s="258" t="n"/>
      <c r="F7" s="258" t="n"/>
      <c r="G7" s="258" t="n"/>
      <c r="H7" s="258" t="n"/>
      <c r="I7" s="220" t="n"/>
      <c r="J7" s="220" t="n"/>
      <c r="K7" s="220" t="n"/>
      <c r="L7" s="220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18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50" t="n"/>
    </row>
    <row r="10" ht="40.5" customHeight="1" s="218">
      <c r="A10" s="352" t="n"/>
      <c r="B10" s="352" t="n"/>
      <c r="C10" s="352" t="n"/>
      <c r="D10" s="352" t="n"/>
      <c r="E10" s="352" t="n"/>
      <c r="F10" s="352" t="n"/>
      <c r="G10" s="256" t="inlineStr">
        <is>
          <t>на ед.изм.</t>
        </is>
      </c>
      <c r="H10" s="256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  <c r="J11" s="210" t="n"/>
      <c r="K11" s="194" t="n"/>
    </row>
    <row r="12" customFormat="1" s="205">
      <c r="A12" s="266" t="inlineStr">
        <is>
          <t>Затраты труда рабочих</t>
        </is>
      </c>
      <c r="B12" s="349" t="n"/>
      <c r="C12" s="349" t="n"/>
      <c r="D12" s="349" t="n"/>
      <c r="E12" s="350" t="n"/>
      <c r="F12" s="357" t="inlineStr">
        <is>
          <t>10305,74</t>
        </is>
      </c>
      <c r="G12" s="10" t="n"/>
      <c r="H12" s="358">
        <f>SUM(H13:H13)</f>
        <v/>
      </c>
      <c r="J12" s="195" t="n"/>
      <c r="K12" s="210" t="n"/>
    </row>
    <row r="13" customFormat="1" s="205">
      <c r="A13" s="7" t="n">
        <v>1</v>
      </c>
      <c r="B13" s="161" t="n"/>
      <c r="C13" s="168" t="inlineStr">
        <is>
          <t>1-4-0</t>
        </is>
      </c>
      <c r="D13" s="282" t="inlineStr">
        <is>
          <t>Затраты труда рабочих (средний разряд работы 4,0)</t>
        </is>
      </c>
      <c r="E13" s="279" t="inlineStr">
        <is>
          <t>чел.-ч</t>
        </is>
      </c>
      <c r="F13" s="168" t="inlineStr">
        <is>
          <t>10305,74</t>
        </is>
      </c>
      <c r="G13" s="301" t="n">
        <v>9.619999999999999</v>
      </c>
      <c r="H13" s="26">
        <f>ROUND(F13*G13,2)</f>
        <v/>
      </c>
      <c r="J13" s="210" t="n"/>
      <c r="K13" s="194" t="n"/>
    </row>
    <row r="14" ht="15.75" customHeight="1" s="218">
      <c r="A14" s="286" t="inlineStr">
        <is>
          <t>Затраты труда машинистов</t>
        </is>
      </c>
      <c r="B14" s="349" t="n"/>
      <c r="C14" s="349" t="n"/>
      <c r="D14" s="349" t="n"/>
      <c r="E14" s="350" t="n"/>
      <c r="F14" s="266" t="n"/>
      <c r="G14" s="143" t="n"/>
      <c r="H14" s="358">
        <f>H15</f>
        <v/>
      </c>
    </row>
    <row r="15">
      <c r="A15" s="279" t="n">
        <v>2</v>
      </c>
      <c r="B15" s="161" t="n"/>
      <c r="C15" s="168" t="n">
        <v>2</v>
      </c>
      <c r="D15" s="282" t="inlineStr">
        <is>
          <t>Затраты труда машинистов</t>
        </is>
      </c>
      <c r="E15" s="279" t="inlineStr">
        <is>
          <t>чел.-ч</t>
        </is>
      </c>
      <c r="F15" s="279" t="n">
        <v>2230.502</v>
      </c>
      <c r="G15" s="26" t="n"/>
      <c r="H15" s="26" t="n">
        <v>26366.62</v>
      </c>
    </row>
    <row r="16" customFormat="1" s="205">
      <c r="A16" s="266" t="inlineStr">
        <is>
          <t>Машины и механизмы</t>
        </is>
      </c>
      <c r="B16" s="349" t="n"/>
      <c r="C16" s="349" t="n"/>
      <c r="D16" s="349" t="n"/>
      <c r="E16" s="350" t="n"/>
      <c r="F16" s="266" t="n"/>
      <c r="G16" s="143" t="n"/>
      <c r="H16" s="358">
        <f>SUM(H17:H21)</f>
        <v/>
      </c>
    </row>
    <row r="17" ht="25.5" customFormat="1" customHeight="1" s="205">
      <c r="A17" s="172">
        <f>A15+1</f>
        <v/>
      </c>
      <c r="B17" s="171" t="n"/>
      <c r="C17" s="168" t="inlineStr">
        <is>
          <t>91.05.05-015</t>
        </is>
      </c>
      <c r="D17" s="282" t="inlineStr">
        <is>
          <t>Краны на автомобильном ходу, грузоподъемность 16 т</t>
        </is>
      </c>
      <c r="E17" s="279" t="inlineStr">
        <is>
          <t>маш.час</t>
        </is>
      </c>
      <c r="F17" s="279" t="n">
        <v>824.228</v>
      </c>
      <c r="G17" s="301" t="n">
        <v>115.4</v>
      </c>
      <c r="H17" s="284">
        <f>ROUND(F17*G17,2)</f>
        <v/>
      </c>
      <c r="J17" s="190" t="n"/>
      <c r="K17" s="196" t="n"/>
    </row>
    <row r="18" ht="25.5" customFormat="1" customHeight="1" s="205">
      <c r="A18" s="172">
        <f>A17+1</f>
        <v/>
      </c>
      <c r="B18" s="171" t="n"/>
      <c r="C18" s="168" t="inlineStr">
        <is>
          <t>91.06.03-058</t>
        </is>
      </c>
      <c r="D18" s="282" t="inlineStr">
        <is>
          <t>Лебедки электрические тяговым усилием 156,96 кН (16 т)</t>
        </is>
      </c>
      <c r="E18" s="279" t="inlineStr">
        <is>
          <t>маш.час</t>
        </is>
      </c>
      <c r="F18" s="279" t="n">
        <v>566.4400000000001</v>
      </c>
      <c r="G18" s="301" t="n">
        <v>131.44</v>
      </c>
      <c r="H18" s="284">
        <f>ROUND(F18*G18,2)</f>
        <v/>
      </c>
      <c r="J18" s="190" t="n"/>
      <c r="K18" s="210" t="n"/>
    </row>
    <row r="19" customFormat="1" s="205">
      <c r="A19" s="172">
        <f>A18+1</f>
        <v/>
      </c>
      <c r="B19" s="171" t="n"/>
      <c r="C19" s="168" t="inlineStr">
        <is>
          <t>91.06.06-042</t>
        </is>
      </c>
      <c r="D19" s="282" t="inlineStr">
        <is>
          <t>Подъемники гидравлические, высота подъема 10 м</t>
        </is>
      </c>
      <c r="E19" s="279" t="inlineStr">
        <is>
          <t>маш.час</t>
        </is>
      </c>
      <c r="F19" s="168" t="inlineStr">
        <is>
          <t>697,07</t>
        </is>
      </c>
      <c r="G19" s="301" t="n">
        <v>29.6</v>
      </c>
      <c r="H19" s="284">
        <f>ROUND(F19*G19,2)</f>
        <v/>
      </c>
      <c r="J19" s="190" t="n"/>
      <c r="K19" s="210" t="n"/>
    </row>
    <row r="20" customFormat="1" s="205">
      <c r="A20" s="172">
        <f>A19+1</f>
        <v/>
      </c>
      <c r="B20" s="171" t="n"/>
      <c r="C20" s="168" t="inlineStr">
        <is>
          <t>91.14.02-001</t>
        </is>
      </c>
      <c r="D20" s="282" t="inlineStr">
        <is>
          <t>Автомобили бортовые, грузоподъемность до 5 т</t>
        </is>
      </c>
      <c r="E20" s="279" t="inlineStr">
        <is>
          <t>маш.час</t>
        </is>
      </c>
      <c r="F20" s="279" t="n">
        <v>142.766</v>
      </c>
      <c r="G20" s="301" t="n">
        <v>65.70999999999999</v>
      </c>
      <c r="H20" s="284">
        <f>ROUND(F20*G20,2)</f>
        <v/>
      </c>
      <c r="J20" s="190" t="n"/>
      <c r="K20" s="210" t="n"/>
    </row>
    <row r="21" ht="25.5" customFormat="1" customHeight="1" s="205">
      <c r="A21" s="172">
        <f>A20+1</f>
        <v/>
      </c>
      <c r="B21" s="171" t="n"/>
      <c r="C21" s="168" t="inlineStr">
        <is>
          <t>91.17.04-233</t>
        </is>
      </c>
      <c r="D21" s="282" t="inlineStr">
        <is>
          <t>Установки для сварки ручной дуговой (постоянного тока)</t>
        </is>
      </c>
      <c r="E21" s="279" t="inlineStr">
        <is>
          <t>маш.час</t>
        </is>
      </c>
      <c r="F21" s="279" t="n">
        <v>200.566</v>
      </c>
      <c r="G21" s="301" t="n">
        <v>8.1</v>
      </c>
      <c r="H21" s="284">
        <f>ROUND(F21*G21,2)</f>
        <v/>
      </c>
      <c r="J21" s="190" t="n"/>
      <c r="K21" s="210" t="n"/>
    </row>
    <row r="22" ht="15" customHeight="1" s="218">
      <c r="A22" s="272" t="inlineStr">
        <is>
          <t>Оборудование</t>
        </is>
      </c>
      <c r="B22" s="349" t="n"/>
      <c r="C22" s="349" t="n"/>
      <c r="D22" s="349" t="n"/>
      <c r="E22" s="350" t="n"/>
      <c r="F22" s="10" t="n"/>
      <c r="G22" s="10" t="n"/>
      <c r="H22" s="358">
        <f>SUM(H23:H23)</f>
        <v/>
      </c>
      <c r="J22" s="210" t="n"/>
      <c r="K22" s="210" t="n"/>
    </row>
    <row r="23" ht="25.5" customHeight="1" s="218">
      <c r="A23" s="279" t="n">
        <v>8</v>
      </c>
      <c r="B23" s="286" t="n"/>
      <c r="C23" s="168" t="inlineStr">
        <is>
          <t>Прайс из СД ОП</t>
        </is>
      </c>
      <c r="D23" s="282" t="inlineStr">
        <is>
          <t>Выключатель баковый 110 кВ 3150/50 кА</t>
        </is>
      </c>
      <c r="E23" s="279" t="inlineStr">
        <is>
          <t>компл. (3 фазы)</t>
        </is>
      </c>
      <c r="F23" s="7" t="n">
        <v>17</v>
      </c>
      <c r="G23" s="170" t="n">
        <v>736615.35</v>
      </c>
      <c r="H23" s="359">
        <f>ROUND(F23*G23,2)</f>
        <v/>
      </c>
      <c r="J23" s="190" t="n"/>
      <c r="K23" s="189" t="n"/>
    </row>
    <row r="24">
      <c r="A24" s="266" t="inlineStr">
        <is>
          <t>Материалы</t>
        </is>
      </c>
      <c r="B24" s="349" t="n"/>
      <c r="C24" s="349" t="n"/>
      <c r="D24" s="349" t="n"/>
      <c r="E24" s="350" t="n"/>
      <c r="F24" s="266" t="n"/>
      <c r="G24" s="143" t="n"/>
      <c r="H24" s="358">
        <f>SUM(H25:H44)</f>
        <v/>
      </c>
      <c r="J24" s="197" t="n"/>
      <c r="K24" s="210" t="n"/>
    </row>
    <row r="25">
      <c r="A25" s="7" t="n">
        <v>9</v>
      </c>
      <c r="B25" s="161" t="n"/>
      <c r="C25" s="279" t="inlineStr">
        <is>
          <t>01.7.19.04-0003</t>
        </is>
      </c>
      <c r="D25" s="282" t="inlineStr">
        <is>
          <t>Пластины технические без тканевых прокладок</t>
        </is>
      </c>
      <c r="E25" s="7" t="inlineStr">
        <is>
          <t>т</t>
        </is>
      </c>
      <c r="F25" s="7" t="n">
        <v>0.153</v>
      </c>
      <c r="G25" s="26" t="n">
        <v>53400</v>
      </c>
      <c r="H25" s="284">
        <f>ROUND(F25*G25,2)</f>
        <v/>
      </c>
      <c r="J25" s="190" t="n"/>
      <c r="K25" s="189" t="n"/>
    </row>
    <row r="26">
      <c r="A26" s="7" t="n">
        <v>10</v>
      </c>
      <c r="B26" s="161" t="n"/>
      <c r="C26" s="279" t="inlineStr">
        <is>
          <t>01.7.17.11-0001</t>
        </is>
      </c>
      <c r="D26" s="282" t="inlineStr">
        <is>
          <t>Бумага шлифовальная</t>
        </is>
      </c>
      <c r="E26" s="279" t="inlineStr">
        <is>
          <t>кг</t>
        </is>
      </c>
      <c r="F26" s="7" t="n">
        <v>102</v>
      </c>
      <c r="G26" s="26" t="n">
        <v>50</v>
      </c>
      <c r="H26" s="284">
        <f>ROUND(F26*G26,2)</f>
        <v/>
      </c>
      <c r="J26" s="190" t="n"/>
      <c r="K26" s="210" t="n"/>
    </row>
    <row r="27">
      <c r="A27" s="7" t="n">
        <v>11</v>
      </c>
      <c r="B27" s="161" t="n"/>
      <c r="C27" s="279" t="inlineStr">
        <is>
          <t>01.3.01.07-0009</t>
        </is>
      </c>
      <c r="D27" s="282" t="inlineStr">
        <is>
          <t>Спирт этиловый ректификованный технический, сорт I</t>
        </is>
      </c>
      <c r="E27" s="279" t="inlineStr">
        <is>
          <t>кг</t>
        </is>
      </c>
      <c r="F27" s="7" t="n">
        <v>81.59999999999999</v>
      </c>
      <c r="G27" s="26" t="n">
        <v>38.89</v>
      </c>
      <c r="H27" s="284">
        <f>ROUND(F27*G27,2)</f>
        <v/>
      </c>
      <c r="J27" s="190" t="n"/>
      <c r="K27" s="210" t="n"/>
    </row>
    <row r="28">
      <c r="A28" s="7" t="n">
        <v>12</v>
      </c>
      <c r="B28" s="161" t="n"/>
      <c r="C28" s="279" t="inlineStr">
        <is>
          <t>14.4.02.09-0001</t>
        </is>
      </c>
      <c r="D28" s="282" t="inlineStr">
        <is>
          <t>Краска</t>
        </is>
      </c>
      <c r="E28" s="279" t="inlineStr">
        <is>
          <t>кг</t>
        </is>
      </c>
      <c r="F28" s="7" t="n">
        <v>99.28</v>
      </c>
      <c r="G28" s="26" t="n">
        <v>28.6</v>
      </c>
      <c r="H28" s="284">
        <f>ROUND(F28*G28,2)</f>
        <v/>
      </c>
      <c r="J28" s="190" t="n"/>
      <c r="K28" s="210" t="n"/>
    </row>
    <row r="29">
      <c r="A29" s="7" t="n">
        <v>13</v>
      </c>
      <c r="B29" s="161" t="n"/>
      <c r="C29" s="279" t="inlineStr">
        <is>
          <t>01.7.15.03-0042</t>
        </is>
      </c>
      <c r="D29" s="282" t="inlineStr">
        <is>
          <t>Болты с гайками и шайбами строительные</t>
        </is>
      </c>
      <c r="E29" s="7" t="inlineStr">
        <is>
          <t>кг</t>
        </is>
      </c>
      <c r="F29" s="7" t="n">
        <v>251.6</v>
      </c>
      <c r="G29" s="301" t="n">
        <v>9.039999999999999</v>
      </c>
      <c r="H29" s="284">
        <f>ROUND(F29*G29,2)</f>
        <v/>
      </c>
      <c r="J29" s="190" t="n"/>
      <c r="K29" s="210" t="n"/>
    </row>
    <row r="30">
      <c r="A30" s="7" t="n">
        <v>14</v>
      </c>
      <c r="B30" s="161" t="n"/>
      <c r="C30" s="279" t="inlineStr">
        <is>
          <t>01.7.20.08-0102</t>
        </is>
      </c>
      <c r="D30" s="282" t="inlineStr">
        <is>
          <t>Миткаль суровый</t>
        </is>
      </c>
      <c r="E30" s="7" t="inlineStr">
        <is>
          <t>10 м</t>
        </is>
      </c>
      <c r="F30" s="7" t="n">
        <v>27.2</v>
      </c>
      <c r="G30" s="26" t="n">
        <v>73.65000000000001</v>
      </c>
      <c r="H30" s="284">
        <f>ROUND(F30*G30,2)</f>
        <v/>
      </c>
      <c r="J30" s="190" t="n"/>
      <c r="K30" s="210" t="n"/>
      <c r="M30" s="220" t="n"/>
    </row>
    <row r="31" ht="25.5" customHeight="1" s="218">
      <c r="A31" s="7" t="n">
        <v>15</v>
      </c>
      <c r="B31" s="191" t="n"/>
      <c r="C31" s="279" t="inlineStr">
        <is>
          <t>08.3.07.01-0076</t>
        </is>
      </c>
      <c r="D31" s="282" t="inlineStr">
        <is>
          <t>Прокат полосовой, горячекатаный, марка стали Ст3сп, ширина 50-200 мм, толщина 4-5 мм</t>
        </is>
      </c>
      <c r="E31" s="7" t="inlineStr">
        <is>
          <t>т</t>
        </is>
      </c>
      <c r="F31" s="7" t="n">
        <v>0.34</v>
      </c>
      <c r="G31" s="26" t="n">
        <v>5000</v>
      </c>
      <c r="H31" s="284">
        <f>ROUND(F31*G31,2)</f>
        <v/>
      </c>
      <c r="J31" s="190" t="n"/>
      <c r="K31" s="189" t="n"/>
      <c r="M31" s="220" t="n"/>
    </row>
    <row r="32">
      <c r="A32" s="7" t="n">
        <v>16</v>
      </c>
      <c r="B32" s="161" t="n"/>
      <c r="C32" s="279" t="inlineStr">
        <is>
          <t>01.7.11.07-0034</t>
        </is>
      </c>
      <c r="D32" s="282" t="inlineStr">
        <is>
          <t>Электроды сварочные Э42А, диаметр 4 мм</t>
        </is>
      </c>
      <c r="E32" s="7" t="inlineStr">
        <is>
          <t>кг</t>
        </is>
      </c>
      <c r="F32" s="7" t="n">
        <v>141.44</v>
      </c>
      <c r="G32" s="26" t="n">
        <v>10.57</v>
      </c>
      <c r="H32" s="284">
        <f>ROUND(F32*G32,2)</f>
        <v/>
      </c>
      <c r="J32" s="190" t="n"/>
      <c r="K32" s="210" t="n"/>
      <c r="M32" s="220" t="n"/>
    </row>
    <row r="33" ht="25.5" customHeight="1" s="218">
      <c r="A33" s="7" t="n">
        <v>17</v>
      </c>
      <c r="B33" s="161" t="n"/>
      <c r="C33" s="279" t="inlineStr">
        <is>
          <t>999-9950</t>
        </is>
      </c>
      <c r="D33" s="282" t="inlineStr">
        <is>
          <t>Вспомогательные ненормируемые ресурсы (2% от Оплаты труда рабочих)</t>
        </is>
      </c>
      <c r="E33" s="279" t="inlineStr">
        <is>
          <t>руб</t>
        </is>
      </c>
      <c r="F33" s="7" t="n">
        <v>1166.54</v>
      </c>
      <c r="G33" s="26" t="n">
        <v>1</v>
      </c>
      <c r="H33" s="284">
        <f>ROUND(F33*G33,2)</f>
        <v/>
      </c>
      <c r="J33" s="190" t="n"/>
      <c r="K33" s="210" t="n"/>
    </row>
    <row r="34">
      <c r="A34" s="7" t="n">
        <v>18</v>
      </c>
      <c r="B34" s="161" t="n"/>
      <c r="C34" s="279" t="inlineStr">
        <is>
          <t>01.7.20.08-0031</t>
        </is>
      </c>
      <c r="D34" s="282" t="inlineStr">
        <is>
          <t>Бязь суровая</t>
        </is>
      </c>
      <c r="E34" s="279" t="inlineStr">
        <is>
          <t>10 м2</t>
        </is>
      </c>
      <c r="F34" s="7" t="n">
        <v>8.5</v>
      </c>
      <c r="G34" s="301" t="n">
        <v>79.09999999999999</v>
      </c>
      <c r="H34" s="284">
        <f>ROUND(F34*G34,2)</f>
        <v/>
      </c>
      <c r="J34" s="190" t="n"/>
      <c r="K34" s="210" t="n"/>
    </row>
    <row r="35" ht="25.5" customHeight="1" s="218">
      <c r="A35" s="7" t="n">
        <v>19</v>
      </c>
      <c r="B35" s="161" t="n"/>
      <c r="C35" s="279" t="inlineStr">
        <is>
          <t>10.2.02.07-0109</t>
        </is>
      </c>
      <c r="D35" s="282" t="inlineStr">
        <is>
          <t>Проволока латунная, круглая, твердая, нормальной точности, марка Л68, диаметр 0,50 мм</t>
        </is>
      </c>
      <c r="E35" s="7" t="inlineStr">
        <is>
          <t>т</t>
        </is>
      </c>
      <c r="F35" s="7" t="n">
        <v>0.0051</v>
      </c>
      <c r="G35" s="26" t="n">
        <v>62000</v>
      </c>
      <c r="H35" s="284">
        <f>ROUND(F35*G35,2)</f>
        <v/>
      </c>
      <c r="J35" s="190" t="n"/>
      <c r="K35" s="210" t="n"/>
    </row>
    <row r="36" ht="25.5" customHeight="1" s="218">
      <c r="A36" s="7" t="n">
        <v>20</v>
      </c>
      <c r="B36" s="161" t="n"/>
      <c r="C36" s="279" t="inlineStr">
        <is>
          <t>11.1.03.06-0021</t>
        </is>
      </c>
      <c r="D36" s="282" t="inlineStr">
        <is>
          <t>Доска обрезная, лиственных пород (береза, липа), длина 4-6,5 м, все ширины, толщина 19-22 мм, сорт II</t>
        </is>
      </c>
      <c r="E36" s="279" t="inlineStr">
        <is>
          <t>м3</t>
        </is>
      </c>
      <c r="F36" s="7" t="n">
        <v>0.136</v>
      </c>
      <c r="G36" s="26" t="n">
        <v>1784</v>
      </c>
      <c r="H36" s="284">
        <f>ROUND(F36*G36,2)</f>
        <v/>
      </c>
      <c r="J36" s="190" t="n"/>
      <c r="K36" s="210" t="n"/>
    </row>
    <row r="37" ht="25.5" customHeight="1" s="218">
      <c r="A37" s="7" t="n">
        <v>21</v>
      </c>
      <c r="B37" s="161" t="n"/>
      <c r="C37" s="279" t="inlineStr">
        <is>
          <t>10.3.02.03-0011</t>
        </is>
      </c>
      <c r="D37" s="282" t="inlineStr">
        <is>
          <t>Припои оловянно-свинцовые бессурьмянистые, марка ПОС30</t>
        </is>
      </c>
      <c r="E37" s="279" t="inlineStr">
        <is>
          <t>т</t>
        </is>
      </c>
      <c r="F37" s="7" t="n">
        <v>0.0034</v>
      </c>
      <c r="G37" s="26" t="n">
        <v>68050</v>
      </c>
      <c r="H37" s="284">
        <f>ROUND(F37*G37,2)</f>
        <v/>
      </c>
      <c r="J37" s="190" t="n"/>
      <c r="K37" s="210" t="n"/>
    </row>
    <row r="38" ht="25.5" customHeight="1" s="218">
      <c r="A38" s="7" t="n">
        <v>22</v>
      </c>
      <c r="B38" s="161" t="n"/>
      <c r="C38" s="279" t="inlineStr">
        <is>
          <t>01.3.01.06-0050</t>
        </is>
      </c>
      <c r="D38" s="282" t="inlineStr">
        <is>
          <t>Смазка универсальная тугоплавкая УТ (консталин жировой)</t>
        </is>
      </c>
      <c r="E38" s="279" t="inlineStr">
        <is>
          <t>т</t>
        </is>
      </c>
      <c r="F38" s="7" t="n">
        <v>0.008500000000000001</v>
      </c>
      <c r="G38" s="26" t="n">
        <v>17500</v>
      </c>
      <c r="H38" s="284">
        <f>ROUND(F38*G38,2)</f>
        <v/>
      </c>
      <c r="J38" s="190" t="n"/>
      <c r="K38" s="210" t="n"/>
    </row>
    <row r="39">
      <c r="A39" s="7" t="n">
        <v>23</v>
      </c>
      <c r="B39" s="161" t="n"/>
      <c r="C39" s="279" t="inlineStr">
        <is>
          <t>01.3.02.09-0022</t>
        </is>
      </c>
      <c r="D39" s="282" t="inlineStr">
        <is>
          <t>Пропан-бутан смесь техническая</t>
        </is>
      </c>
      <c r="E39" s="279" t="inlineStr">
        <is>
          <t>кг</t>
        </is>
      </c>
      <c r="F39" s="7" t="n">
        <v>17</v>
      </c>
      <c r="G39" s="301" t="n">
        <v>6.09</v>
      </c>
      <c r="H39" s="284">
        <f>ROUND(F39*G39,2)</f>
        <v/>
      </c>
      <c r="J39" s="190" t="n"/>
      <c r="K39" s="210" t="n"/>
    </row>
    <row r="40" ht="25.5" customHeight="1" s="218">
      <c r="A40" s="7" t="n">
        <v>24</v>
      </c>
      <c r="B40" s="161" t="n"/>
      <c r="C40" s="279" t="inlineStr">
        <is>
          <t>01.7.06.05-0041</t>
        </is>
      </c>
      <c r="D40" s="282" t="inlineStr">
        <is>
          <t>Лента изоляционная прорезиненная односторонняя, ширина 20 мм, толщина 0,25-0,35 мм</t>
        </is>
      </c>
      <c r="E40" s="7" t="inlineStr">
        <is>
          <t>кг</t>
        </is>
      </c>
      <c r="F40" s="7" t="n">
        <v>3.4</v>
      </c>
      <c r="G40" s="301" t="n">
        <v>30.4</v>
      </c>
      <c r="H40" s="284">
        <f>ROUND(F40*G40,2)</f>
        <v/>
      </c>
      <c r="J40" s="190" t="n"/>
      <c r="K40" s="210" t="n"/>
    </row>
    <row r="41" ht="25.5" customHeight="1" s="218">
      <c r="A41" s="7" t="n">
        <v>25</v>
      </c>
      <c r="B41" s="161" t="n"/>
      <c r="C41" s="279" t="inlineStr">
        <is>
          <t>01.7.15.06-0121</t>
        </is>
      </c>
      <c r="D41" s="282" t="inlineStr">
        <is>
          <t>Гвозди строительные с плоской головкой, размер 1,6х50 мм</t>
        </is>
      </c>
      <c r="E41" s="7" t="inlineStr">
        <is>
          <t>т</t>
        </is>
      </c>
      <c r="F41" s="7" t="n">
        <v>0.0068</v>
      </c>
      <c r="G41" s="26" t="n">
        <v>8475</v>
      </c>
      <c r="H41" s="284">
        <f>ROUND(F41*G41,2)</f>
        <v/>
      </c>
      <c r="J41" s="190" t="n"/>
      <c r="K41" s="210" t="n"/>
    </row>
    <row r="42">
      <c r="A42" s="7" t="n">
        <v>26</v>
      </c>
      <c r="B42" s="161" t="n"/>
      <c r="C42" s="279" t="inlineStr">
        <is>
          <t>01.7.07.12-0022</t>
        </is>
      </c>
      <c r="D42" s="282" t="inlineStr">
        <is>
          <t>Пленка полиэтиленовая, толщина 0,2-0,5 мм</t>
        </is>
      </c>
      <c r="E42" s="7" t="inlineStr">
        <is>
          <t>м2</t>
        </is>
      </c>
      <c r="F42" s="7" t="n">
        <v>1.7374</v>
      </c>
      <c r="G42" s="301" t="n">
        <v>12.19</v>
      </c>
      <c r="H42" s="284">
        <f>ROUND(F42*G42,2)</f>
        <v/>
      </c>
      <c r="J42" s="190" t="n"/>
      <c r="K42" s="210" t="n"/>
    </row>
    <row r="43">
      <c r="A43" s="7" t="n">
        <v>27</v>
      </c>
      <c r="B43" s="161" t="n"/>
      <c r="C43" s="168" t="inlineStr">
        <is>
          <t>01.3.02.08-0001</t>
        </is>
      </c>
      <c r="D43" s="282" t="inlineStr">
        <is>
          <t>Кислород газообразный технический</t>
        </is>
      </c>
      <c r="E43" s="7" t="inlineStr">
        <is>
          <t>м3</t>
        </is>
      </c>
      <c r="F43" s="7" t="n">
        <v>2.38</v>
      </c>
      <c r="G43" s="170" t="n">
        <v>6.22</v>
      </c>
      <c r="H43" s="284">
        <f>ROUND(F43*G43,2)</f>
        <v/>
      </c>
      <c r="J43" s="190" t="n"/>
      <c r="K43" s="210" t="n"/>
    </row>
    <row r="44">
      <c r="A44" s="7" t="n">
        <v>28</v>
      </c>
      <c r="B44" s="161" t="n"/>
      <c r="C44" s="168" t="inlineStr">
        <is>
          <t>01.7.02.09-0002</t>
        </is>
      </c>
      <c r="D44" s="282" t="inlineStr">
        <is>
          <t>Шпагат бумажный</t>
        </is>
      </c>
      <c r="E44" s="7" t="inlineStr">
        <is>
          <t>кг</t>
        </is>
      </c>
      <c r="F44" s="7" t="n">
        <v>0.17</v>
      </c>
      <c r="G44" s="170" t="n">
        <v>11.5</v>
      </c>
      <c r="H44" s="284">
        <f>ROUND(F44*G44,2)</f>
        <v/>
      </c>
      <c r="J44" s="190" t="n"/>
      <c r="K44" s="210" t="n"/>
    </row>
    <row r="45">
      <c r="J45" s="198" t="n"/>
    </row>
    <row r="47">
      <c r="B47" s="220" t="inlineStr">
        <is>
          <t xml:space="preserve">Составил ______________________    Р.Р. Шагеева </t>
        </is>
      </c>
    </row>
    <row r="48">
      <c r="B48" s="131" t="inlineStr">
        <is>
          <t xml:space="preserve">                         (подпись, инициалы, фамилия)</t>
        </is>
      </c>
    </row>
    <row r="50">
      <c r="B50" s="220" t="inlineStr">
        <is>
          <t>Проверил ______________________        А.В. Костянецкая</t>
        </is>
      </c>
    </row>
    <row r="51">
      <c r="B5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2:H2"/>
    <mergeCell ref="C4:H4"/>
    <mergeCell ref="A14:E1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31" sqref="D31"/>
    </sheetView>
  </sheetViews>
  <sheetFormatPr baseColWidth="8" defaultRowHeight="15"/>
  <cols>
    <col width="4.140625" customWidth="1" style="218" min="1" max="1"/>
    <col width="36.28515625" customWidth="1" style="218" min="2" max="2"/>
    <col width="18.85546875" customWidth="1" style="218" min="3" max="3"/>
    <col width="18.28515625" customWidth="1" style="218" min="4" max="4"/>
    <col width="18.85546875" customWidth="1" style="218" min="5" max="5"/>
    <col width="9.140625" customWidth="1" style="218" min="6" max="6"/>
    <col width="13.42578125" customWidth="1" style="218" min="7" max="7"/>
    <col width="9.140625" customWidth="1" style="218" min="8" max="11"/>
    <col width="13.5703125" customWidth="1" style="218" min="12" max="12"/>
    <col width="9.140625" customWidth="1" style="218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97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43" t="inlineStr">
        <is>
          <t>Ресурсная модель</t>
        </is>
      </c>
    </row>
    <row r="6">
      <c r="B6" s="154" t="n"/>
      <c r="C6" s="210" t="n"/>
      <c r="D6" s="210" t="n"/>
      <c r="E6" s="210" t="n"/>
    </row>
    <row r="7" ht="25.5" customHeight="1" s="218">
      <c r="B7" s="274" t="inlineStr">
        <is>
          <t xml:space="preserve">Наименование разрабатываемого показателя УНЦ — Баковый выключатель 110 кВ без устройства фундамента, номинальный ток 3150 А, номинальный ток отключения 50 кА </t>
        </is>
      </c>
    </row>
    <row r="8">
      <c r="B8" s="275" t="inlineStr">
        <is>
          <t>Единица измерения  — 1 ед.</t>
        </is>
      </c>
    </row>
    <row r="9">
      <c r="B9" s="154" t="n"/>
      <c r="C9" s="210" t="n"/>
      <c r="D9" s="210" t="n"/>
      <c r="E9" s="210" t="n"/>
    </row>
    <row r="10" ht="51" customHeight="1" s="218">
      <c r="B10" s="279" t="inlineStr">
        <is>
          <t>Наименование</t>
        </is>
      </c>
      <c r="C10" s="279" t="inlineStr">
        <is>
          <t>Сметная стоимость в ценах на 01.01.2023
 (руб.)</t>
        </is>
      </c>
      <c r="D10" s="279" t="inlineStr">
        <is>
          <t>Удельный вес, 
(в СМР)</t>
        </is>
      </c>
      <c r="E10" s="279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98" t="inlineStr">
        <is>
          <t>Эксплуатация машин основных</t>
        </is>
      </c>
      <c r="C12" s="148">
        <f>'Прил.5 Расчет СМР и ОБ'!J22</f>
        <v/>
      </c>
      <c r="D12" s="149">
        <f>C12/$C$24</f>
        <v/>
      </c>
      <c r="E12" s="149">
        <f>C12/$C$40</f>
        <v/>
      </c>
    </row>
    <row r="13">
      <c r="B13" s="98" t="inlineStr">
        <is>
          <t>Эксплуатация машин прочих</t>
        </is>
      </c>
      <c r="C13" s="148">
        <f>'Прил.5 Расчет СМР и ОБ'!J25</f>
        <v/>
      </c>
      <c r="D13" s="149">
        <f>C13/$C$24</f>
        <v/>
      </c>
      <c r="E13" s="149">
        <f>C13/$C$40</f>
        <v/>
      </c>
    </row>
    <row r="14">
      <c r="B14" s="98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8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98" t="inlineStr">
        <is>
          <t>Материалы основные</t>
        </is>
      </c>
      <c r="C16" s="148">
        <f>'Прил.5 Расчет СМР и ОБ'!J44</f>
        <v/>
      </c>
      <c r="D16" s="149">
        <f>C16/$C$24</f>
        <v/>
      </c>
      <c r="E16" s="149">
        <f>C16/$C$40</f>
        <v/>
      </c>
    </row>
    <row r="17">
      <c r="B17" s="98" t="inlineStr">
        <is>
          <t>Материалы прочие</t>
        </is>
      </c>
      <c r="C17" s="148">
        <f>'Прил.5 Расчет СМР и ОБ'!J57</f>
        <v/>
      </c>
      <c r="D17" s="149">
        <f>C17/$C$24</f>
        <v/>
      </c>
      <c r="E17" s="149">
        <f>C17/$C$40</f>
        <v/>
      </c>
      <c r="G17" s="360" t="n"/>
    </row>
    <row r="18">
      <c r="B18" s="98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8" t="inlineStr">
        <is>
          <t>ИТОГО</t>
        </is>
      </c>
      <c r="C19" s="148">
        <f>C18+C14+C11</f>
        <v/>
      </c>
      <c r="D19" s="149" t="n"/>
      <c r="E19" s="98" t="n"/>
    </row>
    <row r="20">
      <c r="B20" s="98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8" t="inlineStr">
        <is>
          <t>Сметная прибыль, %</t>
        </is>
      </c>
      <c r="C21" s="152">
        <f>'Прил.5 Расчет СМР и ОБ'!D61</f>
        <v/>
      </c>
      <c r="D21" s="149" t="n"/>
      <c r="E21" s="98" t="n"/>
    </row>
    <row r="22">
      <c r="B22" s="98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8" t="inlineStr">
        <is>
          <t>Накладные расходы, %</t>
        </is>
      </c>
      <c r="C23" s="152">
        <f>'Прил.5 Расчет СМР и ОБ'!D60</f>
        <v/>
      </c>
      <c r="D23" s="149" t="n"/>
      <c r="E23" s="98" t="n"/>
    </row>
    <row r="24">
      <c r="B24" s="98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18">
      <c r="B25" s="98" t="inlineStr">
        <is>
          <t>ВСЕГО стоимость оборудования, в том числе</t>
        </is>
      </c>
      <c r="C25" s="148">
        <f>'Прил.5 Расчет СМР и ОБ'!J32</f>
        <v/>
      </c>
      <c r="D25" s="149" t="n"/>
      <c r="E25" s="149">
        <f>C25/$C$40</f>
        <v/>
      </c>
    </row>
    <row r="26" ht="25.5" customHeight="1" s="218">
      <c r="B26" s="98" t="inlineStr">
        <is>
          <t>стоимость оборудования технологического</t>
        </is>
      </c>
      <c r="C26" s="148">
        <f>'Прил.5 Расчет СМР и ОБ'!J33</f>
        <v/>
      </c>
      <c r="D26" s="149" t="n"/>
      <c r="E26" s="149">
        <f>C26/$C$40</f>
        <v/>
      </c>
    </row>
    <row r="27">
      <c r="B27" s="98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18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218">
      <c r="B29" s="98" t="inlineStr">
        <is>
          <t>Временные здания и сооружения - 3,9%</t>
        </is>
      </c>
      <c r="C29" s="151">
        <f>ROUND(C24*3.9%,2)</f>
        <v/>
      </c>
      <c r="D29" s="98" t="n"/>
      <c r="E29" s="149">
        <f>C29/$C$40</f>
        <v/>
      </c>
    </row>
    <row r="30" ht="38.25" customHeight="1" s="218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51">
        <f>ROUND((C24+C29)*2.1%,2)</f>
        <v/>
      </c>
      <c r="D30" s="98" t="n"/>
      <c r="E30" s="149">
        <f>C30/$C$40</f>
        <v/>
      </c>
    </row>
    <row r="31">
      <c r="B31" s="98" t="inlineStr">
        <is>
          <t>Пусконаладочные работы</t>
        </is>
      </c>
      <c r="C31" s="151" t="n">
        <v>2788631.89</v>
      </c>
      <c r="D31" s="98" t="n"/>
      <c r="E31" s="149">
        <f>C31/$C$40</f>
        <v/>
      </c>
    </row>
    <row r="32" ht="25.5" customHeight="1" s="218">
      <c r="B32" s="98" t="inlineStr">
        <is>
          <t>Затраты по перевозке работников к месту работы и обратно</t>
        </is>
      </c>
      <c r="C32" s="151" t="n">
        <v>0</v>
      </c>
      <c r="D32" s="98" t="n"/>
      <c r="E32" s="149">
        <f>C32/$C$40</f>
        <v/>
      </c>
    </row>
    <row r="33" ht="25.5" customHeight="1" s="218">
      <c r="B33" s="98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98" t="n"/>
      <c r="E33" s="149">
        <f>C33/$C$40</f>
        <v/>
      </c>
    </row>
    <row r="34" ht="51" customHeight="1" s="218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98" t="n"/>
      <c r="E34" s="149">
        <f>C34/$C$40</f>
        <v/>
      </c>
    </row>
    <row r="35" ht="76.5" customHeight="1" s="218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98" t="n"/>
      <c r="E35" s="149">
        <f>C35/$C$40</f>
        <v/>
      </c>
    </row>
    <row r="36" ht="25.5" customHeight="1" s="218">
      <c r="B36" s="9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98" t="n"/>
      <c r="E36" s="149">
        <f>C36/$C$40</f>
        <v/>
      </c>
      <c r="L36" s="150" t="n"/>
    </row>
    <row r="37">
      <c r="B37" s="98" t="inlineStr">
        <is>
          <t>Авторский надзор - 0,2%</t>
        </is>
      </c>
      <c r="C37" s="151">
        <f>ROUND((C27+C32+C33+C34+C35+C29+C31+C30)*0.2%,2)</f>
        <v/>
      </c>
      <c r="D37" s="98" t="n"/>
      <c r="E37" s="149">
        <f>C37/$C$40</f>
        <v/>
      </c>
      <c r="L37" s="150" t="n"/>
    </row>
    <row r="38" ht="38.25" customHeight="1" s="218">
      <c r="B38" s="9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8" t="n"/>
      <c r="E38" s="149">
        <f>C38/$C$40</f>
        <v/>
      </c>
    </row>
    <row r="39" ht="13.5" customHeight="1" s="218">
      <c r="B39" s="98" t="inlineStr">
        <is>
          <t>Непредвиденные расходы</t>
        </is>
      </c>
      <c r="C39" s="148">
        <f>ROUND(C38*3%,2)</f>
        <v/>
      </c>
      <c r="D39" s="98" t="n"/>
      <c r="E39" s="149">
        <f>C39/$C$38</f>
        <v/>
      </c>
    </row>
    <row r="40">
      <c r="B40" s="98" t="inlineStr">
        <is>
          <t>ВСЕГО:</t>
        </is>
      </c>
      <c r="C40" s="148">
        <f>C39+C38</f>
        <v/>
      </c>
      <c r="D40" s="98" t="n"/>
      <c r="E40" s="149">
        <f>C40/$C$40</f>
        <v/>
      </c>
    </row>
    <row r="41">
      <c r="B41" s="98" t="inlineStr">
        <is>
          <t>ИТОГО ПОКАЗАТЕЛЬ НА ЕД. ИЗМ.</t>
        </is>
      </c>
      <c r="C41" s="148">
        <f>C40/'Прил.5 Расчет СМР и ОБ'!E64</f>
        <v/>
      </c>
      <c r="D41" s="98" t="n"/>
      <c r="E41" s="98" t="n"/>
    </row>
    <row r="42">
      <c r="B42" s="147" t="n"/>
      <c r="C42" s="210" t="n"/>
      <c r="D42" s="210" t="n"/>
      <c r="E42" s="210" t="n"/>
    </row>
    <row r="43">
      <c r="B43" s="147" t="inlineStr">
        <is>
          <t xml:space="preserve">Составил ____________________________  Р.Р. Шагеева 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75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zoomScale="55" zoomScaleSheetLayoutView="55" workbookViewId="0">
      <selection activeCell="C190" sqref="C190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18">
      <c r="H2" s="276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43" t="inlineStr">
        <is>
          <t>Расчет стоимости СМР и оборудования</t>
        </is>
      </c>
    </row>
    <row r="5" ht="12.75" customFormat="1" customHeight="1" s="210">
      <c r="A5" s="243" t="n"/>
      <c r="B5" s="243" t="n"/>
      <c r="C5" s="305" t="n"/>
      <c r="D5" s="243" t="n"/>
      <c r="E5" s="243" t="n"/>
      <c r="F5" s="243" t="n"/>
      <c r="G5" s="243" t="n"/>
      <c r="H5" s="243" t="n"/>
      <c r="I5" s="243" t="n"/>
      <c r="J5" s="243" t="n"/>
    </row>
    <row r="6" ht="21.75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46" t="inlineStr">
        <is>
          <t xml:space="preserve">Баковый выключатель 110 кВ без устройства фундамента, номинальный ток 3150 А, номинальный ток отключения 50 кА </t>
        </is>
      </c>
    </row>
    <row r="7" ht="12.75" customFormat="1" customHeight="1" s="210">
      <c r="A7" s="246" t="inlineStr">
        <is>
          <t>Единица измерения  — 1 ед.</t>
        </is>
      </c>
      <c r="I7" s="274" t="n"/>
      <c r="J7" s="274" t="n"/>
    </row>
    <row r="8" ht="13.5" customFormat="1" customHeight="1" s="210">
      <c r="A8" s="246" t="n"/>
    </row>
    <row r="9" ht="27" customHeight="1" s="218">
      <c r="A9" s="279" t="inlineStr">
        <is>
          <t>№ пп.</t>
        </is>
      </c>
      <c r="B9" s="279" t="inlineStr">
        <is>
          <t>Код ресурса</t>
        </is>
      </c>
      <c r="C9" s="279" t="inlineStr">
        <is>
          <t>Наименование</t>
        </is>
      </c>
      <c r="D9" s="279" t="inlineStr">
        <is>
          <t>Ед. изм.</t>
        </is>
      </c>
      <c r="E9" s="279" t="inlineStr">
        <is>
          <t>Кол-во единиц по проектным данным</t>
        </is>
      </c>
      <c r="F9" s="279" t="inlineStr">
        <is>
          <t>Сметная стоимость в ценах на 01.01.2000 (руб.)</t>
        </is>
      </c>
      <c r="G9" s="350" t="n"/>
      <c r="H9" s="279" t="inlineStr">
        <is>
          <t>Удельный вес, %</t>
        </is>
      </c>
      <c r="I9" s="279" t="inlineStr">
        <is>
          <t>Сметная стоимость в ценах на 01.01.2023 (руб.)</t>
        </is>
      </c>
      <c r="J9" s="350" t="n"/>
      <c r="M9" s="211" t="n"/>
      <c r="N9" s="211" t="n"/>
    </row>
    <row r="10" ht="28.5" customHeight="1" s="218">
      <c r="A10" s="352" t="n"/>
      <c r="B10" s="352" t="n"/>
      <c r="C10" s="352" t="n"/>
      <c r="D10" s="352" t="n"/>
      <c r="E10" s="352" t="n"/>
      <c r="F10" s="279" t="inlineStr">
        <is>
          <t>на ед. изм.</t>
        </is>
      </c>
      <c r="G10" s="279" t="inlineStr">
        <is>
          <t>общая</t>
        </is>
      </c>
      <c r="H10" s="352" t="n"/>
      <c r="I10" s="279" t="inlineStr">
        <is>
          <t>на ед. изм.</t>
        </is>
      </c>
      <c r="J10" s="279" t="inlineStr">
        <is>
          <t>общая</t>
        </is>
      </c>
      <c r="M10" s="211" t="n"/>
      <c r="N10" s="211" t="n"/>
    </row>
    <row r="11">
      <c r="A11" s="279" t="n">
        <v>1</v>
      </c>
      <c r="B11" s="279" t="n">
        <v>2</v>
      </c>
      <c r="C11" s="279" t="n">
        <v>3</v>
      </c>
      <c r="D11" s="279" t="n">
        <v>4</v>
      </c>
      <c r="E11" s="279" t="n">
        <v>5</v>
      </c>
      <c r="F11" s="279" t="n">
        <v>6</v>
      </c>
      <c r="G11" s="279" t="n">
        <v>7</v>
      </c>
      <c r="H11" s="279" t="n">
        <v>8</v>
      </c>
      <c r="I11" s="280" t="n">
        <v>9</v>
      </c>
      <c r="J11" s="280" t="n">
        <v>10</v>
      </c>
      <c r="M11" s="211" t="n"/>
      <c r="N11" s="211" t="n"/>
    </row>
    <row r="12">
      <c r="A12" s="279" t="n"/>
      <c r="B12" s="286" t="inlineStr">
        <is>
          <t>Затраты труда рабочих-строителей</t>
        </is>
      </c>
      <c r="C12" s="349" t="n"/>
      <c r="D12" s="349" t="n"/>
      <c r="E12" s="349" t="n"/>
      <c r="F12" s="349" t="n"/>
      <c r="G12" s="349" t="n"/>
      <c r="H12" s="350" t="n"/>
      <c r="I12" s="118" t="n"/>
      <c r="J12" s="118" t="n"/>
    </row>
    <row r="13" ht="25.5" customHeight="1" s="218">
      <c r="A13" s="279" t="n">
        <v>1</v>
      </c>
      <c r="B13" s="168" t="inlineStr">
        <is>
          <t>1-4-0</t>
        </is>
      </c>
      <c r="C13" s="282" t="inlineStr">
        <is>
          <t>Затраты труда рабочих (средний разряд работы 4,0)</t>
        </is>
      </c>
      <c r="D13" s="279" t="inlineStr">
        <is>
          <t>чел.-ч.</t>
        </is>
      </c>
      <c r="E13" s="361">
        <f>G13/F13</f>
        <v/>
      </c>
      <c r="F13" s="301" t="n">
        <v>9.619999999999999</v>
      </c>
      <c r="G13" s="26" t="n">
        <v>99141.21000000001</v>
      </c>
      <c r="H13" s="28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79" t="n"/>
      <c r="B14" s="279" t="n"/>
      <c r="C14" s="286" t="inlineStr">
        <is>
          <t>Итого по разделу "Затраты труда рабочих-строителей"</t>
        </is>
      </c>
      <c r="D14" s="279" t="inlineStr">
        <is>
          <t>чел.-ч.</t>
        </is>
      </c>
      <c r="E14" s="362">
        <f>SUM(E13:E13)</f>
        <v/>
      </c>
      <c r="F14" s="26" t="n"/>
      <c r="G14" s="26">
        <f>SUM(G13:G13)</f>
        <v/>
      </c>
      <c r="H14" s="287">
        <f>H13</f>
        <v/>
      </c>
      <c r="I14" s="188" t="n"/>
      <c r="J14" s="26">
        <f>SUM(J13:J13)</f>
        <v/>
      </c>
    </row>
    <row r="15" ht="14.25" customFormat="1" customHeight="1" s="211">
      <c r="A15" s="279" t="n"/>
      <c r="B15" s="282" t="inlineStr">
        <is>
          <t>Затраты труда машинистов</t>
        </is>
      </c>
      <c r="C15" s="349" t="n"/>
      <c r="D15" s="349" t="n"/>
      <c r="E15" s="349" t="n"/>
      <c r="F15" s="349" t="n"/>
      <c r="G15" s="349" t="n"/>
      <c r="H15" s="350" t="n"/>
      <c r="I15" s="118" t="n"/>
      <c r="J15" s="118" t="n"/>
    </row>
    <row r="16" ht="14.25" customFormat="1" customHeight="1" s="211">
      <c r="A16" s="279" t="n">
        <v>2</v>
      </c>
      <c r="B16" s="279" t="n">
        <v>2</v>
      </c>
      <c r="C16" s="282" t="inlineStr">
        <is>
          <t>Затраты труда машинистов</t>
        </is>
      </c>
      <c r="D16" s="279" t="inlineStr">
        <is>
          <t>чел.-ч.</t>
        </is>
      </c>
      <c r="E16" s="279" t="n">
        <v>2230.502</v>
      </c>
      <c r="F16" s="26">
        <f>G16/E16</f>
        <v/>
      </c>
      <c r="G16" s="26" t="n">
        <v>26366.62</v>
      </c>
      <c r="H16" s="287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1">
      <c r="A17" s="279" t="n"/>
      <c r="B17" s="286" t="inlineStr">
        <is>
          <t>Машины и механизмы</t>
        </is>
      </c>
      <c r="C17" s="349" t="n"/>
      <c r="D17" s="349" t="n"/>
      <c r="E17" s="349" t="n"/>
      <c r="F17" s="349" t="n"/>
      <c r="G17" s="349" t="n"/>
      <c r="H17" s="350" t="n"/>
      <c r="I17" s="118" t="n"/>
      <c r="J17" s="118" t="n"/>
    </row>
    <row r="18" ht="14.25" customFormat="1" customHeight="1" s="211">
      <c r="A18" s="280" t="n"/>
      <c r="B18" s="288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4" t="n"/>
      <c r="J18" s="174" t="n"/>
    </row>
    <row r="19" ht="25.5" customFormat="1" customHeight="1" s="211">
      <c r="A19" s="279" t="n">
        <v>3</v>
      </c>
      <c r="B19" s="168" t="inlineStr">
        <is>
          <t>91.05.05-015</t>
        </is>
      </c>
      <c r="C19" s="282" t="inlineStr">
        <is>
          <t>Краны на автомобильном ходу, грузоподъемность 16 т</t>
        </is>
      </c>
      <c r="D19" s="279" t="inlineStr">
        <is>
          <t>маш.час</t>
        </is>
      </c>
      <c r="E19" s="365" t="n">
        <v>824.228</v>
      </c>
      <c r="F19" s="301" t="n">
        <v>115.4</v>
      </c>
      <c r="G19" s="26">
        <f>ROUND(E19*F19,2)</f>
        <v/>
      </c>
      <c r="H19" s="285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11">
      <c r="A20" s="279" t="n">
        <v>4</v>
      </c>
      <c r="B20" s="168" t="inlineStr">
        <is>
          <t>91.06.03-058</t>
        </is>
      </c>
      <c r="C20" s="282" t="inlineStr">
        <is>
          <t>Лебедки электрические тяговым усилием 156,96 кН (16 т)</t>
        </is>
      </c>
      <c r="D20" s="279" t="inlineStr">
        <is>
          <t>маш.час</t>
        </is>
      </c>
      <c r="E20" s="365" t="n">
        <v>566.4400000000001</v>
      </c>
      <c r="F20" s="301" t="n">
        <v>131.44</v>
      </c>
      <c r="G20" s="26">
        <f>ROUND(E20*F20,2)</f>
        <v/>
      </c>
      <c r="H20" s="175">
        <f>G20/$G$26</f>
        <v/>
      </c>
      <c r="I20" s="128">
        <f>ROUND(F20*Прил.10!$D$12,2)</f>
        <v/>
      </c>
      <c r="J20" s="128">
        <f>ROUND(I20*E20,2)</f>
        <v/>
      </c>
    </row>
    <row r="21" ht="25.5" customFormat="1" customHeight="1" s="211">
      <c r="A21" s="279" t="n">
        <v>5</v>
      </c>
      <c r="B21" s="168" t="inlineStr">
        <is>
          <t>91.06.06-042</t>
        </is>
      </c>
      <c r="C21" s="282" t="inlineStr">
        <is>
          <t>Подъемники гидравлические, высота подъема 10 м</t>
        </is>
      </c>
      <c r="D21" s="279" t="inlineStr">
        <is>
          <t>маш.час</t>
        </is>
      </c>
      <c r="E21" s="365" t="n">
        <v>697.068</v>
      </c>
      <c r="F21" s="301" t="n">
        <v>29.6</v>
      </c>
      <c r="G21" s="26">
        <f>ROUND(E21*F21,2)</f>
        <v/>
      </c>
      <c r="H21" s="175">
        <f>G21/$G$26</f>
        <v/>
      </c>
      <c r="I21" s="128">
        <f>ROUND(F21*Прил.10!$D$12,2)</f>
        <v/>
      </c>
      <c r="J21" s="128">
        <f>ROUND(I21*E21,2)</f>
        <v/>
      </c>
    </row>
    <row r="22" ht="14.25" customFormat="1" customHeight="1" s="211">
      <c r="A22" s="280" t="n"/>
      <c r="B22" s="185" t="n"/>
      <c r="C22" s="288" t="inlineStr">
        <is>
          <t>Итого основные машины и механизмы</t>
        </is>
      </c>
      <c r="D22" s="280" t="n"/>
      <c r="E22" s="366" t="n"/>
      <c r="F22" s="301" t="n"/>
      <c r="G22" s="26">
        <f>SUM(G19:G21)</f>
        <v/>
      </c>
      <c r="H22" s="285">
        <f>G22/G26</f>
        <v/>
      </c>
      <c r="I22" s="26" t="n"/>
      <c r="J22" s="26">
        <f>SUM(J19:J21)</f>
        <v/>
      </c>
    </row>
    <row r="23" hidden="1" outlineLevel="1" ht="25.5" customFormat="1" customHeight="1" s="211">
      <c r="A23" s="279" t="n">
        <v>6</v>
      </c>
      <c r="B23" s="168" t="inlineStr">
        <is>
          <t>91.14.02-001</t>
        </is>
      </c>
      <c r="C23" s="282" t="inlineStr">
        <is>
          <t>Автомобили бортовые, грузоподъемность до 5 т</t>
        </is>
      </c>
      <c r="D23" s="279" t="inlineStr">
        <is>
          <t>маш.час</t>
        </is>
      </c>
      <c r="E23" s="279" t="n">
        <v>142.766</v>
      </c>
      <c r="F23" s="301" t="n">
        <v>65.70999999999999</v>
      </c>
      <c r="G23" s="26">
        <f>ROUND(E23*F23,2)</f>
        <v/>
      </c>
      <c r="H23" s="285">
        <f>G23/$G$26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11">
      <c r="A24" s="279" t="n">
        <v>7</v>
      </c>
      <c r="B24" s="168" t="inlineStr">
        <is>
          <t>91.17.04-233</t>
        </is>
      </c>
      <c r="C24" s="282" t="inlineStr">
        <is>
          <t>Установки для сварки ручной дуговой (постоянного тока)</t>
        </is>
      </c>
      <c r="D24" s="279" t="inlineStr">
        <is>
          <t>маш.час</t>
        </is>
      </c>
      <c r="E24" s="279" t="n">
        <v>200.566</v>
      </c>
      <c r="F24" s="301" t="n">
        <v>8.1</v>
      </c>
      <c r="G24" s="26">
        <f>ROUND(E24*F24,2)</f>
        <v/>
      </c>
      <c r="H24" s="285">
        <f>G24/$G$26</f>
        <v/>
      </c>
      <c r="I24" s="26">
        <f>ROUND(F24*Прил.10!$D$12,2)</f>
        <v/>
      </c>
      <c r="J24" s="26">
        <f>ROUND(I24*E24,2)</f>
        <v/>
      </c>
    </row>
    <row r="25" collapsed="1" ht="14.25" customFormat="1" customHeight="1" s="211">
      <c r="A25" s="279" t="n"/>
      <c r="B25" s="279" t="n"/>
      <c r="C25" s="282" t="inlineStr">
        <is>
          <t>Итого прочие машины и механизмы</t>
        </is>
      </c>
      <c r="D25" s="279" t="n"/>
      <c r="E25" s="283" t="n"/>
      <c r="F25" s="26" t="n"/>
      <c r="G25" s="120">
        <f>SUM(G23:G24)</f>
        <v/>
      </c>
      <c r="H25" s="285">
        <f>G25/G26</f>
        <v/>
      </c>
      <c r="I25" s="26" t="n"/>
      <c r="J25" s="120">
        <f>SUM(J23:J24)</f>
        <v/>
      </c>
    </row>
    <row r="26" ht="25.5" customFormat="1" customHeight="1" s="211">
      <c r="A26" s="279" t="n"/>
      <c r="B26" s="279" t="n"/>
      <c r="C26" s="286" t="inlineStr">
        <is>
          <t>Итого по разделу «Машины и механизмы»</t>
        </is>
      </c>
      <c r="D26" s="279" t="n"/>
      <c r="E26" s="283" t="n"/>
      <c r="F26" s="26" t="n"/>
      <c r="G26" s="26">
        <f>G25+G22</f>
        <v/>
      </c>
      <c r="H26" s="122" t="n">
        <v>1</v>
      </c>
      <c r="I26" s="123" t="n"/>
      <c r="J26" s="26">
        <f>J25+J22</f>
        <v/>
      </c>
    </row>
    <row r="27" ht="14.25" customFormat="1" customHeight="1" s="211">
      <c r="A27" s="279" t="n"/>
      <c r="B27" s="286" t="inlineStr">
        <is>
          <t>Оборудование</t>
        </is>
      </c>
      <c r="C27" s="349" t="n"/>
      <c r="D27" s="349" t="n"/>
      <c r="E27" s="349" t="n"/>
      <c r="F27" s="349" t="n"/>
      <c r="G27" s="349" t="n"/>
      <c r="H27" s="350" t="n"/>
      <c r="I27" s="118" t="n"/>
      <c r="J27" s="118" t="n"/>
    </row>
    <row r="28">
      <c r="A28" s="280" t="n"/>
      <c r="B28" s="288" t="inlineStr">
        <is>
          <t>Основное оборудование</t>
        </is>
      </c>
      <c r="C28" s="363" t="n"/>
      <c r="D28" s="363" t="n"/>
      <c r="E28" s="363" t="n"/>
      <c r="F28" s="363" t="n"/>
      <c r="G28" s="363" t="n"/>
      <c r="H28" s="364" t="n"/>
      <c r="I28" s="174" t="n"/>
      <c r="J28" s="174" t="n"/>
    </row>
    <row r="29">
      <c r="A29" s="279" t="n">
        <v>8</v>
      </c>
      <c r="B29" s="168" t="inlineStr">
        <is>
          <t>БЦ.2.21</t>
        </is>
      </c>
      <c r="C29" s="282" t="inlineStr">
        <is>
          <t>Выключатель баковый 110 кВ 3150/50 кА</t>
        </is>
      </c>
      <c r="D29" s="279" t="inlineStr">
        <is>
          <t>компл</t>
        </is>
      </c>
      <c r="E29" s="365" t="n">
        <v>17</v>
      </c>
      <c r="F29" s="367">
        <f>ROUND(I29/Прил.10!$D$14,2)</f>
        <v/>
      </c>
      <c r="G29" s="26">
        <f>ROUND(E29*F29,2)</f>
        <v/>
      </c>
      <c r="H29" s="285">
        <f>G29/$G$32</f>
        <v/>
      </c>
      <c r="I29" s="26" t="n">
        <v>18396226.42</v>
      </c>
      <c r="J29" s="26">
        <f>ROUND(I29*E29,2)</f>
        <v/>
      </c>
    </row>
    <row r="30">
      <c r="A30" s="281" t="n"/>
      <c r="B30" s="281" t="n"/>
      <c r="C30" s="177" t="inlineStr">
        <is>
          <t>Итого основное оборудование</t>
        </is>
      </c>
      <c r="D30" s="281" t="n"/>
      <c r="E30" s="368" t="n"/>
      <c r="F30" s="201" t="n"/>
      <c r="G30" s="128">
        <f>SUM(G29:G29)</f>
        <v/>
      </c>
      <c r="H30" s="285">
        <f>G30/$G$32</f>
        <v/>
      </c>
      <c r="I30" s="128" t="n"/>
      <c r="J30" s="26">
        <f>SUM(J29:J29)</f>
        <v/>
      </c>
    </row>
    <row r="31">
      <c r="A31" s="178" t="n"/>
      <c r="B31" s="281" t="n"/>
      <c r="C31" s="177" t="inlineStr">
        <is>
          <t>Итого прочее оборудование</t>
        </is>
      </c>
      <c r="D31" s="281" t="n"/>
      <c r="E31" s="369" t="n"/>
      <c r="F31" s="370" t="n"/>
      <c r="G31" s="128" t="n">
        <v>0</v>
      </c>
      <c r="H31" s="175">
        <f>G31/$G$32</f>
        <v/>
      </c>
      <c r="I31" s="179" t="n"/>
      <c r="J31" s="180" t="n">
        <v>0</v>
      </c>
    </row>
    <row r="32">
      <c r="A32" s="280" t="n"/>
      <c r="B32" s="280" t="n"/>
      <c r="C32" s="162" t="inlineStr">
        <is>
          <t>Итого по разделу «Оборудование»</t>
        </is>
      </c>
      <c r="D32" s="280" t="n"/>
      <c r="E32" s="289" t="n"/>
      <c r="F32" s="290" t="n"/>
      <c r="G32" s="165">
        <f>G30+G31</f>
        <v/>
      </c>
      <c r="H32" s="285">
        <f>G32/$G$32</f>
        <v/>
      </c>
      <c r="I32" s="166" t="n"/>
      <c r="J32" s="165">
        <f>J30+J31</f>
        <v/>
      </c>
    </row>
    <row r="33" ht="25.5" customHeight="1" s="218">
      <c r="A33" s="279" t="n"/>
      <c r="B33" s="279" t="n"/>
      <c r="C33" s="282" t="inlineStr">
        <is>
          <t>в том числе технологическое оборудование</t>
        </is>
      </c>
      <c r="D33" s="279" t="n"/>
      <c r="E33" s="365" t="n"/>
      <c r="F33" s="284" t="n"/>
      <c r="G33" s="26">
        <f>'Прил.6 Расчет ОБ'!G13</f>
        <v/>
      </c>
      <c r="H33" s="285" t="n"/>
      <c r="I33" s="26" t="n"/>
      <c r="J33" s="26">
        <f>J32</f>
        <v/>
      </c>
    </row>
    <row r="34" ht="14.25" customFormat="1" customHeight="1" s="211">
      <c r="A34" s="279" t="n"/>
      <c r="B34" s="286" t="inlineStr">
        <is>
          <t>Материалы</t>
        </is>
      </c>
      <c r="C34" s="349" t="n"/>
      <c r="D34" s="349" t="n"/>
      <c r="E34" s="349" t="n"/>
      <c r="F34" s="349" t="n"/>
      <c r="G34" s="349" t="n"/>
      <c r="H34" s="350" t="n"/>
      <c r="I34" s="118" t="n"/>
      <c r="J34" s="118" t="n"/>
    </row>
    <row r="35" ht="14.25" customFormat="1" customHeight="1" s="211">
      <c r="A35" s="279" t="n"/>
      <c r="B35" s="282" t="inlineStr">
        <is>
          <t>Основные материалы</t>
        </is>
      </c>
      <c r="C35" s="349" t="n"/>
      <c r="D35" s="349" t="n"/>
      <c r="E35" s="349" t="n"/>
      <c r="F35" s="349" t="n"/>
      <c r="G35" s="349" t="n"/>
      <c r="H35" s="350" t="n"/>
      <c r="I35" s="118" t="n"/>
      <c r="J35" s="118" t="n"/>
    </row>
    <row r="36" ht="25.5" customFormat="1" customHeight="1" s="211">
      <c r="A36" s="279" t="n">
        <v>9</v>
      </c>
      <c r="B36" s="279" t="inlineStr">
        <is>
          <t>01.7.19.04-0003</t>
        </is>
      </c>
      <c r="C36" s="282" t="inlineStr">
        <is>
          <t>Пластины технические без тканевых прокладок</t>
        </is>
      </c>
      <c r="D36" s="7" t="inlineStr">
        <is>
          <t>т</t>
        </is>
      </c>
      <c r="E36" s="7" t="n">
        <v>0.153</v>
      </c>
      <c r="F36" s="301" t="n">
        <v>53400</v>
      </c>
      <c r="G36" s="128">
        <f>ROUND(E36*F36,2)</f>
        <v/>
      </c>
      <c r="H36" s="285">
        <f>G36/$G$58</f>
        <v/>
      </c>
      <c r="I36" s="170">
        <f>ROUND(F36*Прил.10!$D$13,2)</f>
        <v/>
      </c>
      <c r="J36" s="170">
        <f>ROUND(I36*E36,2)</f>
        <v/>
      </c>
    </row>
    <row r="37" ht="14.25" customFormat="1" customHeight="1" s="211">
      <c r="A37" s="279" t="n">
        <v>10</v>
      </c>
      <c r="B37" s="279" t="inlineStr">
        <is>
          <t>01.7.17.11-0001</t>
        </is>
      </c>
      <c r="C37" s="282" t="inlineStr">
        <is>
          <t>Бумага шлифовальная</t>
        </is>
      </c>
      <c r="D37" s="279" t="inlineStr">
        <is>
          <t>кг</t>
        </is>
      </c>
      <c r="E37" s="7" t="n">
        <v>102</v>
      </c>
      <c r="F37" s="26" t="n">
        <v>50</v>
      </c>
      <c r="G37" s="128">
        <f>ROUND(E37*F37,2)</f>
        <v/>
      </c>
      <c r="H37" s="285">
        <f>G37/$G$58</f>
        <v/>
      </c>
      <c r="I37" s="170">
        <f>ROUND(F37*Прил.10!$D$13,2)</f>
        <v/>
      </c>
      <c r="J37" s="170">
        <f>ROUND(I37*E37,2)</f>
        <v/>
      </c>
    </row>
    <row r="38" ht="25.5" customFormat="1" customHeight="1" s="211">
      <c r="A38" s="279" t="n">
        <v>11</v>
      </c>
      <c r="B38" s="279" t="inlineStr">
        <is>
          <t>01.3.01.07-0009</t>
        </is>
      </c>
      <c r="C38" s="282" t="inlineStr">
        <is>
          <t>Спирт этиловый ректификованный технический, сорт I</t>
        </is>
      </c>
      <c r="D38" s="279" t="inlineStr">
        <is>
          <t>кг</t>
        </is>
      </c>
      <c r="E38" s="7" t="n">
        <v>81.59999999999999</v>
      </c>
      <c r="F38" s="26" t="n">
        <v>38.89</v>
      </c>
      <c r="G38" s="128">
        <f>ROUND(E38*F38,2)</f>
        <v/>
      </c>
      <c r="H38" s="285">
        <f>G38/$G$58</f>
        <v/>
      </c>
      <c r="I38" s="170">
        <f>ROUND(F38*Прил.10!$D$13,2)</f>
        <v/>
      </c>
      <c r="J38" s="170">
        <f>ROUND(I38*E38,2)</f>
        <v/>
      </c>
    </row>
    <row r="39" ht="14.25" customFormat="1" customHeight="1" s="211">
      <c r="A39" s="279" t="n">
        <v>12</v>
      </c>
      <c r="B39" s="279" t="inlineStr">
        <is>
          <t>14.4.02.09-0001</t>
        </is>
      </c>
      <c r="C39" s="282" t="inlineStr">
        <is>
          <t>Краска</t>
        </is>
      </c>
      <c r="D39" s="279" t="inlineStr">
        <is>
          <t>кг</t>
        </is>
      </c>
      <c r="E39" s="7" t="n">
        <v>99.28</v>
      </c>
      <c r="F39" s="26" t="n">
        <v>28.6</v>
      </c>
      <c r="G39" s="128">
        <f>ROUND(E39*F39,2)</f>
        <v/>
      </c>
      <c r="H39" s="285">
        <f>G39/$G$58</f>
        <v/>
      </c>
      <c r="I39" s="170">
        <f>ROUND(F39*Прил.10!$D$13,2)</f>
        <v/>
      </c>
      <c r="J39" s="170">
        <f>ROUND(I39*E39,2)</f>
        <v/>
      </c>
    </row>
    <row r="40" ht="14.25" customFormat="1" customHeight="1" s="211">
      <c r="A40" s="279" t="n">
        <v>13</v>
      </c>
      <c r="B40" s="279" t="inlineStr">
        <is>
          <t>01.7.15.03-0042</t>
        </is>
      </c>
      <c r="C40" s="282" t="inlineStr">
        <is>
          <t>Болты с гайками и шайбами строительные</t>
        </is>
      </c>
      <c r="D40" s="279" t="inlineStr">
        <is>
          <t>кг</t>
        </is>
      </c>
      <c r="E40" s="7" t="n">
        <v>251.6</v>
      </c>
      <c r="F40" s="26" t="n">
        <v>9.039999999999999</v>
      </c>
      <c r="G40" s="128">
        <f>ROUND(E40*F40,2)</f>
        <v/>
      </c>
      <c r="H40" s="285">
        <f>G40/$G$58</f>
        <v/>
      </c>
      <c r="I40" s="170">
        <f>ROUND(F40*Прил.10!$D$13,2)</f>
        <v/>
      </c>
      <c r="J40" s="170">
        <f>ROUND(I40*E40,2)</f>
        <v/>
      </c>
    </row>
    <row r="41" ht="14.25" customFormat="1" customHeight="1" s="211">
      <c r="A41" s="279" t="n">
        <v>14</v>
      </c>
      <c r="B41" s="279" t="inlineStr">
        <is>
          <t>01.7.20.08-0102</t>
        </is>
      </c>
      <c r="C41" s="282" t="inlineStr">
        <is>
          <t>Миткаль суровый</t>
        </is>
      </c>
      <c r="D41" s="279" t="inlineStr">
        <is>
          <t>10 м</t>
        </is>
      </c>
      <c r="E41" s="7" t="n">
        <v>27.2</v>
      </c>
      <c r="F41" s="26" t="n">
        <v>73.65000000000001</v>
      </c>
      <c r="G41" s="128">
        <f>ROUND(E41*F41,2)</f>
        <v/>
      </c>
      <c r="H41" s="285">
        <f>G41/$G$58</f>
        <v/>
      </c>
      <c r="I41" s="170">
        <f>ROUND(F41*Прил.10!$D$13,2)</f>
        <v/>
      </c>
      <c r="J41" s="170">
        <f>ROUND(I41*E41,2)</f>
        <v/>
      </c>
    </row>
    <row r="42" ht="38.25" customFormat="1" customHeight="1" s="211">
      <c r="A42" s="279" t="n">
        <v>15</v>
      </c>
      <c r="B42" s="279" t="inlineStr">
        <is>
          <t>08.3.07.01-0076</t>
        </is>
      </c>
      <c r="C42" s="282" t="inlineStr">
        <is>
          <t>Прокат полосовой, горячекатаный, марка стали Ст3сп, ширина 50-200 мм, толщина 4-5 мм</t>
        </is>
      </c>
      <c r="D42" s="279" t="inlineStr">
        <is>
          <t>т</t>
        </is>
      </c>
      <c r="E42" s="7" t="n">
        <v>0.34</v>
      </c>
      <c r="F42" s="26" t="n">
        <v>5000</v>
      </c>
      <c r="G42" s="128">
        <f>ROUND(E42*F42,2)</f>
        <v/>
      </c>
      <c r="H42" s="285">
        <f>G42/$G$58</f>
        <v/>
      </c>
      <c r="I42" s="170">
        <f>ROUND(F42*Прил.10!$D$13,2)</f>
        <v/>
      </c>
      <c r="J42" s="170">
        <f>ROUND(I42*E42,2)</f>
        <v/>
      </c>
    </row>
    <row r="43" ht="25.5" customFormat="1" customHeight="1" s="211">
      <c r="A43" s="279" t="n">
        <v>16</v>
      </c>
      <c r="B43" s="279" t="inlineStr">
        <is>
          <t>01.7.11.07-0034</t>
        </is>
      </c>
      <c r="C43" s="282" t="inlineStr">
        <is>
          <t>Электроды сварочные Э42А, диаметр 4 мм</t>
        </is>
      </c>
      <c r="D43" s="7" t="inlineStr">
        <is>
          <t>кг</t>
        </is>
      </c>
      <c r="E43" s="7" t="n">
        <v>141.44</v>
      </c>
      <c r="F43" s="301" t="n">
        <v>10.57</v>
      </c>
      <c r="G43" s="128">
        <f>ROUND(E43*F43,2)</f>
        <v/>
      </c>
      <c r="H43" s="285">
        <f>G43/$G$58</f>
        <v/>
      </c>
      <c r="I43" s="170">
        <f>ROUND(F43*Прил.10!$D$13,2)</f>
        <v/>
      </c>
      <c r="J43" s="170">
        <f>ROUND(I43*E43,2)</f>
        <v/>
      </c>
    </row>
    <row r="44" ht="14.25" customFormat="1" customHeight="1" s="211">
      <c r="A44" s="281" t="n"/>
      <c r="B44" s="182" t="n"/>
      <c r="C44" s="177" t="inlineStr">
        <is>
          <t>Итого основные материалы</t>
        </is>
      </c>
      <c r="D44" s="281" t="n"/>
      <c r="E44" s="369" t="n"/>
      <c r="F44" s="183" t="n"/>
      <c r="G44" s="128">
        <f>SUM(G36:G43)</f>
        <v/>
      </c>
      <c r="H44" s="175">
        <f>G44/$G$58</f>
        <v/>
      </c>
      <c r="I44" s="184" t="n"/>
      <c r="J44" s="128">
        <f>SUM(J36:J43)</f>
        <v/>
      </c>
    </row>
    <row r="45" hidden="1" outlineLevel="1" ht="25.5" customFormat="1" customHeight="1" s="211">
      <c r="A45" s="281" t="n">
        <v>17</v>
      </c>
      <c r="B45" s="279" t="inlineStr">
        <is>
          <t>999-9950</t>
        </is>
      </c>
      <c r="C45" s="282" t="inlineStr">
        <is>
          <t>Вспомогательные ненормируемые ресурсы (2% от Оплаты труда рабочих)</t>
        </is>
      </c>
      <c r="D45" s="279" t="inlineStr">
        <is>
          <t>руб</t>
        </is>
      </c>
      <c r="E45" s="7" t="n">
        <v>1166.54</v>
      </c>
      <c r="F45" s="26" t="n">
        <v>1</v>
      </c>
      <c r="G45" s="128">
        <f>ROUND(E45*F45,2)</f>
        <v/>
      </c>
      <c r="H45" s="285">
        <f>G45/$G$58</f>
        <v/>
      </c>
      <c r="I45" s="170">
        <f>ROUND(F45*Прил.10!$D$13,2)</f>
        <v/>
      </c>
      <c r="J45" s="170">
        <f>ROUND(I45*E45,2)</f>
        <v/>
      </c>
    </row>
    <row r="46" hidden="1" outlineLevel="1" ht="14.25" customFormat="1" customHeight="1" s="211">
      <c r="A46" s="281" t="n">
        <v>18</v>
      </c>
      <c r="B46" s="279" t="inlineStr">
        <is>
          <t>01.7.20.08-0031</t>
        </is>
      </c>
      <c r="C46" s="282" t="inlineStr">
        <is>
          <t>Бязь суровая</t>
        </is>
      </c>
      <c r="D46" s="279" t="inlineStr">
        <is>
          <t>10 м2</t>
        </is>
      </c>
      <c r="E46" s="7" t="n">
        <v>8.5</v>
      </c>
      <c r="F46" s="301" t="n">
        <v>79.09999999999999</v>
      </c>
      <c r="G46" s="128">
        <f>ROUND(E46*F46,2)</f>
        <v/>
      </c>
      <c r="H46" s="285">
        <f>G46/$G$58</f>
        <v/>
      </c>
      <c r="I46" s="170">
        <f>ROUND(F46*Прил.10!$D$13,2)</f>
        <v/>
      </c>
      <c r="J46" s="170">
        <f>ROUND(I46*E46,2)</f>
        <v/>
      </c>
    </row>
    <row r="47" hidden="1" outlineLevel="1" ht="38.25" customFormat="1" customHeight="1" s="211">
      <c r="A47" s="281" t="n">
        <v>19</v>
      </c>
      <c r="B47" s="279" t="inlineStr">
        <is>
          <t>10.2.02.07-0109</t>
        </is>
      </c>
      <c r="C47" s="282" t="inlineStr">
        <is>
          <t>Проволока латунная, круглая, твердая, нормальной точности, марка Л68, диаметр 0,50 мм</t>
        </is>
      </c>
      <c r="D47" s="7" t="inlineStr">
        <is>
          <t>т</t>
        </is>
      </c>
      <c r="E47" s="7" t="n">
        <v>0.0051</v>
      </c>
      <c r="F47" s="26" t="n">
        <v>62000</v>
      </c>
      <c r="G47" s="128">
        <f>ROUND(E47*F47,2)</f>
        <v/>
      </c>
      <c r="H47" s="285">
        <f>G47/$G$58</f>
        <v/>
      </c>
      <c r="I47" s="170">
        <f>ROUND(F47*Прил.10!$D$13,2)</f>
        <v/>
      </c>
      <c r="J47" s="170">
        <f>ROUND(I47*E47,2)</f>
        <v/>
      </c>
    </row>
    <row r="48" hidden="1" outlineLevel="1" ht="38.25" customFormat="1" customHeight="1" s="211">
      <c r="A48" s="281" t="n">
        <v>20</v>
      </c>
      <c r="B48" s="279" t="inlineStr">
        <is>
          <t>11.1.03.06-0021</t>
        </is>
      </c>
      <c r="C48" s="282" t="inlineStr">
        <is>
          <t>Доска обрезная, лиственных пород (береза, липа), длина 4-6,5 м, все ширины, толщина 19-22 мм, сорт II</t>
        </is>
      </c>
      <c r="D48" s="279" t="inlineStr">
        <is>
          <t>м3</t>
        </is>
      </c>
      <c r="E48" s="7" t="n">
        <v>0.136</v>
      </c>
      <c r="F48" s="26" t="n">
        <v>1784</v>
      </c>
      <c r="G48" s="128">
        <f>ROUND(E48*F48,2)</f>
        <v/>
      </c>
      <c r="H48" s="285">
        <f>G48/$G$58</f>
        <v/>
      </c>
      <c r="I48" s="170">
        <f>ROUND(F48*Прил.10!$D$13,2)</f>
        <v/>
      </c>
      <c r="J48" s="170">
        <f>ROUND(I48*E48,2)</f>
        <v/>
      </c>
    </row>
    <row r="49" hidden="1" outlineLevel="1" ht="25.5" customFormat="1" customHeight="1" s="211">
      <c r="A49" s="281" t="n">
        <v>21</v>
      </c>
      <c r="B49" s="279" t="inlineStr">
        <is>
          <t>10.3.02.03-0011</t>
        </is>
      </c>
      <c r="C49" s="282" t="inlineStr">
        <is>
          <t>Припои оловянно-свинцовые бессурьмянистые, марка ПОС30</t>
        </is>
      </c>
      <c r="D49" s="279" t="inlineStr">
        <is>
          <t>т</t>
        </is>
      </c>
      <c r="E49" s="7" t="n">
        <v>0.0034</v>
      </c>
      <c r="F49" s="26" t="n">
        <v>68050</v>
      </c>
      <c r="G49" s="128">
        <f>ROUND(E49*F49,2)</f>
        <v/>
      </c>
      <c r="H49" s="285">
        <f>G49/$G$58</f>
        <v/>
      </c>
      <c r="I49" s="170">
        <f>ROUND(F49*Прил.10!$D$13,2)</f>
        <v/>
      </c>
      <c r="J49" s="170">
        <f>ROUND(I49*E49,2)</f>
        <v/>
      </c>
    </row>
    <row r="50" hidden="1" outlineLevel="1" ht="25.5" customFormat="1" customHeight="1" s="211">
      <c r="A50" s="281" t="n">
        <v>22</v>
      </c>
      <c r="B50" s="279" t="inlineStr">
        <is>
          <t>01.3.01.06-0050</t>
        </is>
      </c>
      <c r="C50" s="282" t="inlineStr">
        <is>
          <t>Смазка универсальная тугоплавкая УТ (консталин жировой)</t>
        </is>
      </c>
      <c r="D50" s="279" t="inlineStr">
        <is>
          <t>т</t>
        </is>
      </c>
      <c r="E50" s="7" t="n">
        <v>0.008500000000000001</v>
      </c>
      <c r="F50" s="26" t="n">
        <v>17500</v>
      </c>
      <c r="G50" s="128">
        <f>ROUND(E50*F50,2)</f>
        <v/>
      </c>
      <c r="H50" s="285">
        <f>G50/$G$58</f>
        <v/>
      </c>
      <c r="I50" s="170">
        <f>ROUND(F50*Прил.10!$D$13,2)</f>
        <v/>
      </c>
      <c r="J50" s="170">
        <f>ROUND(I50*E50,2)</f>
        <v/>
      </c>
    </row>
    <row r="51" hidden="1" outlineLevel="1" ht="14.25" customFormat="1" customHeight="1" s="211">
      <c r="A51" s="281" t="n">
        <v>23</v>
      </c>
      <c r="B51" s="279" t="inlineStr">
        <is>
          <t>01.3.02.09-0022</t>
        </is>
      </c>
      <c r="C51" s="282" t="inlineStr">
        <is>
          <t>Пропан-бутан смесь техническая</t>
        </is>
      </c>
      <c r="D51" s="279" t="inlineStr">
        <is>
          <t>кг</t>
        </is>
      </c>
      <c r="E51" s="7" t="n">
        <v>17</v>
      </c>
      <c r="F51" s="301" t="n">
        <v>6.09</v>
      </c>
      <c r="G51" s="128">
        <f>ROUND(E51*F51,2)</f>
        <v/>
      </c>
      <c r="H51" s="285">
        <f>G51/$G$58</f>
        <v/>
      </c>
      <c r="I51" s="170">
        <f>ROUND(F51*Прил.10!$D$13,2)</f>
        <v/>
      </c>
      <c r="J51" s="170">
        <f>ROUND(I51*E51,2)</f>
        <v/>
      </c>
    </row>
    <row r="52" hidden="1" outlineLevel="1" ht="38.25" customFormat="1" customHeight="1" s="211">
      <c r="A52" s="281" t="n">
        <v>24</v>
      </c>
      <c r="B52" s="279" t="inlineStr">
        <is>
          <t>01.7.06.05-0041</t>
        </is>
      </c>
      <c r="C52" s="282" t="inlineStr">
        <is>
          <t>Лента изоляционная прорезиненная односторонняя, ширина 20 мм, толщина 0,25-0,35 мм</t>
        </is>
      </c>
      <c r="D52" s="7" t="inlineStr">
        <is>
          <t>кг</t>
        </is>
      </c>
      <c r="E52" s="7" t="n">
        <v>3.4</v>
      </c>
      <c r="F52" s="301" t="n">
        <v>30.4</v>
      </c>
      <c r="G52" s="128">
        <f>ROUND(E52*F52,2)</f>
        <v/>
      </c>
      <c r="H52" s="285">
        <f>G52/$G$58</f>
        <v/>
      </c>
      <c r="I52" s="170">
        <f>ROUND(F52*Прил.10!$D$13,2)</f>
        <v/>
      </c>
      <c r="J52" s="170">
        <f>ROUND(I52*E52,2)</f>
        <v/>
      </c>
    </row>
    <row r="53" hidden="1" outlineLevel="1" ht="25.5" customFormat="1" customHeight="1" s="211">
      <c r="A53" s="281" t="n">
        <v>25</v>
      </c>
      <c r="B53" s="279" t="inlineStr">
        <is>
          <t>01.7.15.06-0121</t>
        </is>
      </c>
      <c r="C53" s="282" t="inlineStr">
        <is>
          <t>Гвозди строительные с плоской головкой, размер 1,6х50 мм</t>
        </is>
      </c>
      <c r="D53" s="7" t="inlineStr">
        <is>
          <t>т</t>
        </is>
      </c>
      <c r="E53" s="7" t="n">
        <v>0.0068</v>
      </c>
      <c r="F53" s="26" t="n">
        <v>8475</v>
      </c>
      <c r="G53" s="128">
        <f>ROUND(E53*F53,2)</f>
        <v/>
      </c>
      <c r="H53" s="285">
        <f>G53/$G$58</f>
        <v/>
      </c>
      <c r="I53" s="170">
        <f>ROUND(F53*Прил.10!$D$13,2)</f>
        <v/>
      </c>
      <c r="J53" s="170">
        <f>ROUND(I53*E53,2)</f>
        <v/>
      </c>
    </row>
    <row r="54" hidden="1" outlineLevel="1" ht="25.5" customFormat="1" customHeight="1" s="211">
      <c r="A54" s="281" t="n">
        <v>26</v>
      </c>
      <c r="B54" s="279" t="inlineStr">
        <is>
          <t>01.7.07.12-0022</t>
        </is>
      </c>
      <c r="C54" s="282" t="inlineStr">
        <is>
          <t>Пленка полиэтиленовая, толщина 0,2-0,5 мм</t>
        </is>
      </c>
      <c r="D54" s="7" t="inlineStr">
        <is>
          <t>м2</t>
        </is>
      </c>
      <c r="E54" s="7" t="n">
        <v>1.7374</v>
      </c>
      <c r="F54" s="301" t="n">
        <v>12.19</v>
      </c>
      <c r="G54" s="128">
        <f>ROUND(E54*F54,2)</f>
        <v/>
      </c>
      <c r="H54" s="285">
        <f>G54/$G$58</f>
        <v/>
      </c>
      <c r="I54" s="170">
        <f>ROUND(F54*Прил.10!$D$13,2)</f>
        <v/>
      </c>
      <c r="J54" s="170">
        <f>ROUND(I54*E54,2)</f>
        <v/>
      </c>
    </row>
    <row r="55" hidden="1" outlineLevel="1" ht="14.25" customFormat="1" customHeight="1" s="211">
      <c r="A55" s="281" t="n">
        <v>27</v>
      </c>
      <c r="B55" s="168" t="inlineStr">
        <is>
          <t>01.3.02.08-0001</t>
        </is>
      </c>
      <c r="C55" s="282" t="inlineStr">
        <is>
          <t>Кислород газообразный технический</t>
        </is>
      </c>
      <c r="D55" s="7" t="inlineStr">
        <is>
          <t>м3</t>
        </is>
      </c>
      <c r="E55" s="7" t="n">
        <v>2.38</v>
      </c>
      <c r="F55" s="170" t="n">
        <v>6.22</v>
      </c>
      <c r="G55" s="128">
        <f>ROUND(E55*F55,2)</f>
        <v/>
      </c>
      <c r="H55" s="285">
        <f>G55/$G$58</f>
        <v/>
      </c>
      <c r="I55" s="170">
        <f>ROUND(F55*Прил.10!$D$13,2)</f>
        <v/>
      </c>
      <c r="J55" s="170">
        <f>ROUND(I55*E55,2)</f>
        <v/>
      </c>
    </row>
    <row r="56" hidden="1" outlineLevel="1" ht="14.25" customFormat="1" customHeight="1" s="211">
      <c r="A56" s="281" t="n">
        <v>28</v>
      </c>
      <c r="B56" s="168" t="inlineStr">
        <is>
          <t>01.7.02.09-0002</t>
        </is>
      </c>
      <c r="C56" s="282" t="inlineStr">
        <is>
          <t>Шпагат бумажный</t>
        </is>
      </c>
      <c r="D56" s="7" t="inlineStr">
        <is>
          <t>кг</t>
        </is>
      </c>
      <c r="E56" s="7" t="n">
        <v>0.17</v>
      </c>
      <c r="F56" s="170" t="n">
        <v>11.5</v>
      </c>
      <c r="G56" s="128">
        <f>ROUND(E56*F56,2)</f>
        <v/>
      </c>
      <c r="H56" s="285">
        <f>G56/$G$58</f>
        <v/>
      </c>
      <c r="I56" s="170">
        <f>ROUND(F56*Прил.10!$D$13,2)</f>
        <v/>
      </c>
      <c r="J56" s="170">
        <f>ROUND(I56*E56,2)</f>
        <v/>
      </c>
    </row>
    <row r="57" collapsed="1" ht="14.25" customFormat="1" customHeight="1" s="211">
      <c r="A57" s="279" t="n"/>
      <c r="B57" s="279" t="n"/>
      <c r="C57" s="282" t="inlineStr">
        <is>
          <t>Итого прочие материалы</t>
        </is>
      </c>
      <c r="D57" s="279" t="n"/>
      <c r="E57" s="283" t="n"/>
      <c r="F57" s="284" t="n"/>
      <c r="G57" s="128">
        <f>SUM(G45:G56)</f>
        <v/>
      </c>
      <c r="H57" s="285">
        <f>G57/$G$58</f>
        <v/>
      </c>
      <c r="I57" s="26" t="n"/>
      <c r="J57" s="128">
        <f>SUM(J45:J56)</f>
        <v/>
      </c>
    </row>
    <row r="58" ht="14.25" customFormat="1" customHeight="1" s="211">
      <c r="A58" s="279" t="n"/>
      <c r="B58" s="279" t="n"/>
      <c r="C58" s="286" t="inlineStr">
        <is>
          <t>Итого по разделу «Материалы»</t>
        </is>
      </c>
      <c r="D58" s="279" t="n"/>
      <c r="E58" s="283" t="n"/>
      <c r="F58" s="284" t="n"/>
      <c r="G58" s="26">
        <f>G44+G57</f>
        <v/>
      </c>
      <c r="H58" s="285">
        <f>G58/$G$58</f>
        <v/>
      </c>
      <c r="I58" s="26" t="n"/>
      <c r="J58" s="26">
        <f>J44+J57</f>
        <v/>
      </c>
    </row>
    <row r="59" ht="14.25" customFormat="1" customHeight="1" s="211">
      <c r="A59" s="279" t="n"/>
      <c r="B59" s="279" t="n"/>
      <c r="C59" s="282" t="inlineStr">
        <is>
          <t>ИТОГО ПО РМ</t>
        </is>
      </c>
      <c r="D59" s="279" t="n"/>
      <c r="E59" s="283" t="n"/>
      <c r="F59" s="284" t="n"/>
      <c r="G59" s="26">
        <f>G14+G26+G58</f>
        <v/>
      </c>
      <c r="H59" s="287" t="n"/>
      <c r="I59" s="26" t="n"/>
      <c r="J59" s="26">
        <f>J14+J26+J58</f>
        <v/>
      </c>
    </row>
    <row r="60" ht="14.25" customFormat="1" customHeight="1" s="211">
      <c r="A60" s="279" t="n"/>
      <c r="B60" s="279" t="n"/>
      <c r="C60" s="282" t="inlineStr">
        <is>
          <t>Накладные расходы</t>
        </is>
      </c>
      <c r="D60" s="124">
        <f>ROUND(G60/(G$16+$G$14),2)</f>
        <v/>
      </c>
      <c r="E60" s="283" t="n"/>
      <c r="F60" s="284" t="n"/>
      <c r="G60" s="26" t="n">
        <v>121742.83</v>
      </c>
      <c r="H60" s="287" t="n"/>
      <c r="I60" s="26" t="n"/>
      <c r="J60" s="26">
        <f>ROUND(D60*(J14+J16),2)</f>
        <v/>
      </c>
    </row>
    <row r="61" ht="14.25" customFormat="1" customHeight="1" s="211">
      <c r="A61" s="279" t="n"/>
      <c r="B61" s="279" t="n"/>
      <c r="C61" s="282" t="inlineStr">
        <is>
          <t>Сметная прибыль</t>
        </is>
      </c>
      <c r="D61" s="124">
        <f>ROUND(G61/(G$14+G$16),2)</f>
        <v/>
      </c>
      <c r="E61" s="283" t="n"/>
      <c r="F61" s="284" t="n"/>
      <c r="G61" s="26" t="n">
        <v>64009.12</v>
      </c>
      <c r="H61" s="287" t="n"/>
      <c r="I61" s="26" t="n"/>
      <c r="J61" s="26">
        <f>ROUND(D61*(J14+J16),2)</f>
        <v/>
      </c>
    </row>
    <row r="62" ht="14.25" customFormat="1" customHeight="1" s="211">
      <c r="A62" s="279" t="n"/>
      <c r="B62" s="279" t="n"/>
      <c r="C62" s="282" t="inlineStr">
        <is>
          <t>Итого СМР (с НР и СП)</t>
        </is>
      </c>
      <c r="D62" s="279" t="n"/>
      <c r="E62" s="283" t="n"/>
      <c r="F62" s="284" t="n"/>
      <c r="G62" s="26">
        <f>ROUND((G14+G26+G58+G60+G61),2)</f>
        <v/>
      </c>
      <c r="H62" s="287" t="n"/>
      <c r="I62" s="26" t="n"/>
      <c r="J62" s="26">
        <f>ROUND((J14+J26+J58+J60+J61),2)</f>
        <v/>
      </c>
    </row>
    <row r="63" ht="14.25" customFormat="1" customHeight="1" s="211">
      <c r="A63" s="279" t="n"/>
      <c r="B63" s="279" t="n"/>
      <c r="C63" s="282" t="inlineStr">
        <is>
          <t>ВСЕГО СМР + ОБОРУДОВАНИЕ</t>
        </is>
      </c>
      <c r="D63" s="279" t="n"/>
      <c r="E63" s="283" t="n"/>
      <c r="F63" s="284" t="n"/>
      <c r="G63" s="26">
        <f>G62+G32</f>
        <v/>
      </c>
      <c r="H63" s="287" t="n"/>
      <c r="I63" s="26" t="n"/>
      <c r="J63" s="26">
        <f>J62+J32</f>
        <v/>
      </c>
    </row>
    <row r="64" ht="34.5" customFormat="1" customHeight="1" s="211">
      <c r="A64" s="279" t="n"/>
      <c r="B64" s="279" t="n"/>
      <c r="C64" s="282" t="inlineStr">
        <is>
          <t>ИТОГО ПОКАЗАТЕЛЬ НА ЕД. ИЗМ.</t>
        </is>
      </c>
      <c r="D64" s="279" t="inlineStr">
        <is>
          <t>ед.</t>
        </is>
      </c>
      <c r="E64" s="283" t="n">
        <v>17</v>
      </c>
      <c r="F64" s="284" t="n"/>
      <c r="G64" s="26">
        <f>G63/E64</f>
        <v/>
      </c>
      <c r="H64" s="287" t="n"/>
      <c r="I64" s="26" t="n"/>
      <c r="J64" s="26">
        <f>J63/E64</f>
        <v/>
      </c>
    </row>
    <row r="66" ht="14.25" customFormat="1" customHeight="1" s="211">
      <c r="A66" s="210" t="inlineStr">
        <is>
          <t xml:space="preserve">Составил ______________________     Р.Р. Шагеева </t>
        </is>
      </c>
    </row>
    <row r="67" ht="14.25" customFormat="1" customHeight="1" s="211">
      <c r="A67" s="213" t="inlineStr">
        <is>
          <t xml:space="preserve">                         (подпись, инициалы, фамилия)</t>
        </is>
      </c>
    </row>
    <row r="68" ht="14.25" customFormat="1" customHeight="1" s="211">
      <c r="A68" s="210" t="n"/>
    </row>
    <row r="69" ht="14.25" customFormat="1" customHeight="1" s="211">
      <c r="A69" s="210" t="inlineStr">
        <is>
          <t>Проверил ______________________        А.В. Костянецкая</t>
        </is>
      </c>
    </row>
    <row r="70" ht="14.25" customFormat="1" customHeight="1" s="211">
      <c r="A70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F27" sqref="F27"/>
    </sheetView>
  </sheetViews>
  <sheetFormatPr baseColWidth="8" defaultRowHeight="15"/>
  <cols>
    <col width="5.7109375" customWidth="1" style="218" min="1" max="1"/>
    <col width="17.5703125" customWidth="1" style="218" min="2" max="2"/>
    <col width="39.140625" customWidth="1" style="218" min="3" max="3"/>
    <col width="10.7109375" customWidth="1" style="218" min="4" max="4"/>
    <col width="13.85546875" customWidth="1" style="218" min="5" max="5"/>
    <col width="13.28515625" customWidth="1" style="218" min="6" max="6"/>
    <col width="14.140625" customWidth="1" style="218" min="7" max="7"/>
  </cols>
  <sheetData>
    <row r="1">
      <c r="A1" s="297" t="inlineStr">
        <is>
          <t>Приложение №6</t>
        </is>
      </c>
    </row>
    <row r="2" ht="21.75" customHeight="1" s="218">
      <c r="A2" s="297" t="n"/>
      <c r="B2" s="297" t="n"/>
      <c r="C2" s="297" t="n"/>
      <c r="D2" s="297" t="n"/>
      <c r="E2" s="297" t="n"/>
      <c r="F2" s="297" t="n"/>
      <c r="G2" s="297" t="n"/>
    </row>
    <row r="3">
      <c r="A3" s="243" t="inlineStr">
        <is>
          <t>Расчет стоимости оборудования</t>
        </is>
      </c>
    </row>
    <row r="4" ht="25.5" customHeight="1" s="218">
      <c r="A4" s="246" t="inlineStr">
        <is>
          <t xml:space="preserve">Наименование разрабатываемого показателя УНЦ — Баковый выключатель 110 кВ без устройства фундамента, номинальный ток 3150 А, номинальный ток отключения 50 кА 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" customHeight="1" s="218">
      <c r="A6" s="302" t="inlineStr">
        <is>
          <t>№ пп.</t>
        </is>
      </c>
      <c r="B6" s="302" t="inlineStr">
        <is>
          <t>Код ресурса</t>
        </is>
      </c>
      <c r="C6" s="302" t="inlineStr">
        <is>
          <t>Наименование</t>
        </is>
      </c>
      <c r="D6" s="302" t="inlineStr">
        <is>
          <t>Ед. изм.</t>
        </is>
      </c>
      <c r="E6" s="279" t="inlineStr">
        <is>
          <t>Кол-во единиц по проектным данным</t>
        </is>
      </c>
      <c r="F6" s="302" t="inlineStr">
        <is>
          <t>Сметная стоимость в ценах на 01.01.2000 (руб.)</t>
        </is>
      </c>
      <c r="G6" s="350" t="n"/>
    </row>
    <row r="7">
      <c r="A7" s="352" t="n"/>
      <c r="B7" s="352" t="n"/>
      <c r="C7" s="352" t="n"/>
      <c r="D7" s="352" t="n"/>
      <c r="E7" s="352" t="n"/>
      <c r="F7" s="279" t="inlineStr">
        <is>
          <t>на ед. изм.</t>
        </is>
      </c>
      <c r="G7" s="279" t="inlineStr">
        <is>
          <t>общая</t>
        </is>
      </c>
    </row>
    <row r="8">
      <c r="A8" s="279" t="n">
        <v>1</v>
      </c>
      <c r="B8" s="279" t="n">
        <v>2</v>
      </c>
      <c r="C8" s="279" t="n">
        <v>3</v>
      </c>
      <c r="D8" s="279" t="n">
        <v>4</v>
      </c>
      <c r="E8" s="279" t="n">
        <v>5</v>
      </c>
      <c r="F8" s="279" t="n">
        <v>6</v>
      </c>
      <c r="G8" s="279" t="n">
        <v>7</v>
      </c>
    </row>
    <row r="9" ht="15" customHeight="1" s="218">
      <c r="A9" s="98" t="n"/>
      <c r="B9" s="282" t="inlineStr">
        <is>
          <t>ИНЖЕНЕРНОЕ ОБОРУДОВАНИЕ</t>
        </is>
      </c>
      <c r="C9" s="349" t="n"/>
      <c r="D9" s="349" t="n"/>
      <c r="E9" s="349" t="n"/>
      <c r="F9" s="349" t="n"/>
      <c r="G9" s="350" t="n"/>
    </row>
    <row r="10" ht="27" customHeight="1" s="218">
      <c r="A10" s="281" t="n"/>
      <c r="B10" s="186" t="n"/>
      <c r="C10" s="177" t="inlineStr">
        <is>
          <t>ИТОГО ИНЖЕНЕРНОЕ ОБОРУДОВАНИЕ</t>
        </is>
      </c>
      <c r="D10" s="186" t="n"/>
      <c r="E10" s="187" t="n"/>
      <c r="F10" s="183" t="n"/>
      <c r="G10" s="128" t="n"/>
    </row>
    <row r="11">
      <c r="A11" s="279" t="n"/>
      <c r="B11" s="282" t="inlineStr">
        <is>
          <t>ТЕХНОЛОГИЧЕСКОЕ ОБОРУДОВАНИЕ</t>
        </is>
      </c>
      <c r="C11" s="349" t="n"/>
      <c r="D11" s="349" t="n"/>
      <c r="E11" s="349" t="n"/>
      <c r="F11" s="349" t="n"/>
      <c r="G11" s="350" t="n"/>
    </row>
    <row r="12">
      <c r="A12" s="279" t="n"/>
      <c r="B12" s="168">
        <f>'Прил.5 Расчет СМР и ОБ'!B29</f>
        <v/>
      </c>
      <c r="C12" s="282">
        <f>'Прил.5 Расчет СМР и ОБ'!C29</f>
        <v/>
      </c>
      <c r="D12" s="279">
        <f>'Прил.5 Расчет СМР и ОБ'!D29</f>
        <v/>
      </c>
      <c r="E12" s="279">
        <f>'Прил.5 Расчет СМР и ОБ'!E29</f>
        <v/>
      </c>
      <c r="F12" s="370">
        <f>'Прил.5 Расчет СМР и ОБ'!F29</f>
        <v/>
      </c>
      <c r="G12" s="370">
        <f>'Прил.5 Расчет СМР и ОБ'!G29</f>
        <v/>
      </c>
    </row>
    <row r="13" ht="25.5" customHeight="1" s="218">
      <c r="A13" s="279" t="n"/>
      <c r="B13" s="282" t="n"/>
      <c r="C13" s="282" t="inlineStr">
        <is>
          <t>ИТОГО ТЕХНОЛОГИЧЕСКОЕ ОБОРУДОВАНИЕ</t>
        </is>
      </c>
      <c r="D13" s="282" t="n"/>
      <c r="E13" s="301" t="n"/>
      <c r="F13" s="284" t="n"/>
      <c r="G13" s="26">
        <f>SUM(G12:G12)</f>
        <v/>
      </c>
    </row>
    <row r="14" ht="19.5" customHeight="1" s="218">
      <c r="A14" s="279" t="n"/>
      <c r="B14" s="282" t="n"/>
      <c r="C14" s="282" t="inlineStr">
        <is>
          <t>Всего по разделу «Оборудование»</t>
        </is>
      </c>
      <c r="D14" s="282" t="n"/>
      <c r="E14" s="301" t="n"/>
      <c r="F14" s="284" t="n"/>
      <c r="G14" s="26">
        <f>G10+G13</f>
        <v/>
      </c>
    </row>
    <row r="15">
      <c r="A15" s="212" t="n"/>
      <c r="B15" s="99" t="n"/>
      <c r="C15" s="212" t="n"/>
      <c r="D15" s="212" t="n"/>
      <c r="E15" s="212" t="n"/>
      <c r="F15" s="212" t="n"/>
      <c r="G15" s="212" t="n"/>
    </row>
    <row r="16">
      <c r="A16" s="210" t="inlineStr">
        <is>
          <t xml:space="preserve">Составил ______________________    Р.Р. Шагеева </t>
        </is>
      </c>
      <c r="B16" s="211" t="n"/>
      <c r="C16" s="211" t="n"/>
      <c r="D16" s="212" t="n"/>
      <c r="E16" s="212" t="n"/>
      <c r="F16" s="212" t="n"/>
      <c r="G16" s="212" t="n"/>
    </row>
    <row r="17">
      <c r="A17" s="213" t="inlineStr">
        <is>
          <t xml:space="preserve">                         (подпись, инициалы, фамилия)</t>
        </is>
      </c>
      <c r="B17" s="211" t="n"/>
      <c r="C17" s="211" t="n"/>
      <c r="D17" s="212" t="n"/>
      <c r="E17" s="212" t="n"/>
      <c r="F17" s="212" t="n"/>
      <c r="G17" s="212" t="n"/>
    </row>
    <row r="18">
      <c r="A18" s="210" t="n"/>
      <c r="B18" s="211" t="n"/>
      <c r="C18" s="211" t="n"/>
      <c r="D18" s="212" t="n"/>
      <c r="E18" s="212" t="n"/>
      <c r="F18" s="212" t="n"/>
      <c r="G18" s="212" t="n"/>
    </row>
    <row r="19">
      <c r="A19" s="210" t="inlineStr">
        <is>
          <t>Проверил ______________________        А.В. Костянецкая</t>
        </is>
      </c>
      <c r="B19" s="211" t="n"/>
      <c r="C19" s="211" t="n"/>
      <c r="D19" s="212" t="n"/>
      <c r="E19" s="212" t="n"/>
      <c r="F19" s="212" t="n"/>
      <c r="G19" s="212" t="n"/>
    </row>
    <row r="20">
      <c r="A20" s="213" t="inlineStr">
        <is>
          <t xml:space="preserve">                        (подпись, инициалы, фамилия)</t>
        </is>
      </c>
      <c r="B20" s="211" t="n"/>
      <c r="C20" s="211" t="n"/>
      <c r="D20" s="212" t="n"/>
      <c r="E20" s="212" t="n"/>
      <c r="F20" s="212" t="n"/>
      <c r="G20" s="2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style="218" min="1" max="1"/>
    <col width="22.42578125" customWidth="1" style="218" min="2" max="2"/>
    <col width="37.140625" customWidth="1" style="218" min="3" max="3"/>
    <col width="49" customWidth="1" style="218" min="4" max="4"/>
    <col width="9.140625" customWidth="1" style="218" min="5" max="5"/>
  </cols>
  <sheetData>
    <row r="1" ht="15.75" customHeight="1" s="218">
      <c r="A1" s="220" t="n"/>
      <c r="B1" s="220" t="n"/>
      <c r="C1" s="220" t="n"/>
      <c r="D1" s="220" t="inlineStr">
        <is>
          <t>Приложение №7</t>
        </is>
      </c>
    </row>
    <row r="2" ht="15.75" customHeight="1" s="218">
      <c r="A2" s="220" t="n"/>
      <c r="B2" s="220" t="n"/>
      <c r="C2" s="220" t="n"/>
      <c r="D2" s="220" t="n"/>
    </row>
    <row r="3" ht="15.75" customHeight="1" s="218">
      <c r="A3" s="220" t="n"/>
      <c r="B3" s="205" t="inlineStr">
        <is>
          <t>Расчет показателя УНЦ</t>
        </is>
      </c>
      <c r="C3" s="220" t="n"/>
      <c r="D3" s="220" t="n"/>
    </row>
    <row r="4" ht="15.75" customHeight="1" s="218">
      <c r="A4" s="220" t="n"/>
      <c r="B4" s="220" t="n"/>
      <c r="C4" s="220" t="n"/>
      <c r="D4" s="220" t="n"/>
    </row>
    <row r="5" ht="47.25" customHeight="1" s="218">
      <c r="A5" s="303" t="inlineStr">
        <is>
          <t xml:space="preserve">Наименование разрабатываемого показателя УНЦ - </t>
        </is>
      </c>
      <c r="D5" s="303">
        <f>'Прил.5 Расчет СМР и ОБ'!D6:J6</f>
        <v/>
      </c>
    </row>
    <row r="6" ht="15.75" customHeight="1" s="218">
      <c r="A6" s="220" t="inlineStr">
        <is>
          <t>Единица измерения  — 1 ед</t>
        </is>
      </c>
      <c r="B6" s="220" t="n"/>
      <c r="C6" s="220" t="n"/>
      <c r="D6" s="220" t="n"/>
    </row>
    <row r="7" ht="15.75" customHeight="1" s="218">
      <c r="A7" s="220" t="n"/>
      <c r="B7" s="220" t="n"/>
      <c r="C7" s="220" t="n"/>
      <c r="D7" s="220" t="n"/>
    </row>
    <row r="8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>
      <c r="A9" s="352" t="n"/>
      <c r="B9" s="352" t="n"/>
      <c r="C9" s="352" t="n"/>
      <c r="D9" s="352" t="n"/>
    </row>
    <row r="10" ht="15.75" customHeight="1" s="218">
      <c r="A10" s="256" t="n">
        <v>1</v>
      </c>
      <c r="B10" s="256" t="n">
        <v>2</v>
      </c>
      <c r="C10" s="256" t="n">
        <v>3</v>
      </c>
      <c r="D10" s="256" t="n">
        <v>4</v>
      </c>
    </row>
    <row r="11" ht="78.75" customHeight="1" s="218">
      <c r="A11" s="256" t="inlineStr">
        <is>
          <t>И8-01-02</t>
        </is>
      </c>
      <c r="B11" s="256" t="inlineStr">
        <is>
          <t xml:space="preserve">УНЦ бакового выключателя 110 - 500 кВ без устройства фундаментов </t>
        </is>
      </c>
      <c r="C11" s="208">
        <f>D5</f>
        <v/>
      </c>
      <c r="D11" s="226">
        <f>'Прил.4 РМ'!C41/1000</f>
        <v/>
      </c>
    </row>
    <row r="13">
      <c r="A13" s="210" t="inlineStr">
        <is>
          <t xml:space="preserve">Составил ______________________     Р.Р. Шагеева 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 ht="20.25" customHeight="1" s="218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31" sqref="D31"/>
    </sheetView>
  </sheetViews>
  <sheetFormatPr baseColWidth="8" defaultRowHeight="15"/>
  <cols>
    <col width="9.140625" customWidth="1" style="218" min="1" max="1"/>
    <col width="40.7109375" customWidth="1" style="218" min="2" max="2"/>
    <col width="37" customWidth="1" style="218" min="3" max="3"/>
    <col width="32" customWidth="1" style="218" min="4" max="4"/>
    <col width="9.140625" customWidth="1" style="218" min="5" max="5"/>
  </cols>
  <sheetData>
    <row r="4" ht="15.75" customHeight="1" s="218">
      <c r="B4" s="250" t="inlineStr">
        <is>
          <t>Приложение № 10</t>
        </is>
      </c>
    </row>
    <row r="5" ht="18.75" customHeight="1" s="218">
      <c r="B5" s="110" t="n"/>
    </row>
    <row r="6" ht="15.75" customHeight="1" s="218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304" t="n"/>
    </row>
    <row r="8">
      <c r="B8" s="304" t="n"/>
      <c r="C8" s="304" t="n"/>
      <c r="D8" s="304" t="n"/>
      <c r="E8" s="304" t="n"/>
    </row>
    <row r="9" ht="47.25" customHeight="1" s="218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18">
      <c r="B10" s="256" t="n">
        <v>1</v>
      </c>
      <c r="C10" s="256" t="n">
        <v>2</v>
      </c>
      <c r="D10" s="256" t="n">
        <v>3</v>
      </c>
    </row>
    <row r="11" ht="47.25" customHeight="1" s="218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47.25" customHeight="1" s="218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47.25" customHeight="1" s="218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1.5" customHeight="1" s="218">
      <c r="B14" s="256" t="inlineStr">
        <is>
          <t>Индекс изменения сметной стоимости на 1 квартал 2023 года. ОБ</t>
        </is>
      </c>
      <c r="C14" s="215" t="inlineStr">
        <is>
          <t>Письмо Минстроя России от 23.02.2023г. №9791-ИФ/09 прил.6</t>
        </is>
      </c>
      <c r="D14" s="256" t="n">
        <v>6.26</v>
      </c>
    </row>
    <row r="15" ht="78.75" customHeight="1" s="218">
      <c r="B15" s="256" t="inlineStr">
        <is>
          <t>Временные здания и сооружения</t>
        </is>
      </c>
      <c r="C15" s="25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5" s="216" t="n">
        <v>0.039</v>
      </c>
    </row>
    <row r="16" ht="78.75" customHeight="1" s="218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16" t="n">
        <v>0.021</v>
      </c>
    </row>
    <row r="17" ht="15.75" customHeight="1" s="218">
      <c r="B17" s="256" t="inlineStr">
        <is>
          <t>Пусконаладочные работы</t>
        </is>
      </c>
      <c r="C17" s="256" t="n"/>
      <c r="D17" s="256" t="inlineStr">
        <is>
          <t>расчет</t>
        </is>
      </c>
    </row>
    <row r="18" ht="31.5" customHeight="1" s="218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216" t="n">
        <v>0.0214</v>
      </c>
    </row>
    <row r="19" ht="15.75" customHeight="1" s="218">
      <c r="B19" s="256" t="inlineStr">
        <is>
          <t>Авторский надзор</t>
        </is>
      </c>
      <c r="C19" s="256" t="inlineStr">
        <is>
          <t>Приказ от 4.08.2020 № 421/пр п.173</t>
        </is>
      </c>
      <c r="D19" s="216" t="n">
        <v>0.002</v>
      </c>
    </row>
    <row r="20" ht="15.75" customHeight="1" s="218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216" t="n">
        <v>0.03</v>
      </c>
    </row>
    <row r="21" ht="18.75" customHeight="1" s="218">
      <c r="B21" s="111" t="n"/>
    </row>
    <row r="22" ht="18.75" customHeight="1" s="218">
      <c r="B22" s="111" t="n"/>
    </row>
    <row r="23" ht="18.75" customHeight="1" s="218">
      <c r="B23" s="111" t="n"/>
    </row>
    <row r="26">
      <c r="B26" s="210" t="inlineStr">
        <is>
          <t xml:space="preserve">Составил ______________________        Р.Р. Шагеева 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31" sqref="D31"/>
    </sheetView>
  </sheetViews>
  <sheetFormatPr baseColWidth="8" defaultColWidth="9.140625" defaultRowHeight="15"/>
  <cols>
    <col width="44.85546875" customWidth="1" style="218" min="2" max="2"/>
    <col width="13" customWidth="1" style="218" min="3" max="3"/>
    <col width="22.85546875" customWidth="1" style="218" min="4" max="4"/>
    <col width="21.5703125" customWidth="1" style="218" min="5" max="5"/>
    <col width="43.85546875" customWidth="1" style="218" min="6" max="6"/>
  </cols>
  <sheetData>
    <row r="1" s="218"/>
    <row r="2" ht="17.25" customHeight="1" s="218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6" t="n"/>
      <c r="D10" s="256" t="n"/>
      <c r="E10" s="371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72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3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57" t="inlineStr">
        <is>
          <t>ФОТр.тек.</t>
        </is>
      </c>
      <c r="D13" s="25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2025-01-24T12:02:38Z</dcterms:modified>
  <cp:lastModifiedBy>Виктор Плотников</cp:lastModifiedBy>
  <cp:lastPrinted>2023-11-26T12:12:40Z</cp:lastPrinted>
</cp:coreProperties>
</file>