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left" vertical="center" wrapText="1"/>
    </xf>
    <xf numFmtId="1" fontId="1" fillId="0" borderId="9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C23" sqref="C23"/>
    </sheetView>
  </sheetViews>
  <sheetFormatPr baseColWidth="8" defaultColWidth="9.140625" defaultRowHeight="15.75"/>
  <cols>
    <col width="9.140625" customWidth="1" style="227" min="1" max="2"/>
    <col width="51.7109375" customWidth="1" style="227" min="3" max="3"/>
    <col width="47" customWidth="1" style="227" min="4" max="4"/>
    <col width="37.42578125" customWidth="1" style="227" min="5" max="5"/>
    <col width="9.140625" customWidth="1" style="227" min="6" max="6"/>
  </cols>
  <sheetData>
    <row r="3">
      <c r="B3" s="257" t="inlineStr">
        <is>
          <t>Приложение № 1</t>
        </is>
      </c>
    </row>
    <row r="4">
      <c r="B4" s="258" t="inlineStr">
        <is>
          <t>Сравнительная таблица отбора объекта-представителя</t>
        </is>
      </c>
    </row>
    <row r="5" ht="84" customHeight="1" s="225">
      <c r="B5" s="2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5">
      <c r="B6" s="156" t="n"/>
      <c r="C6" s="156" t="n"/>
      <c r="D6" s="156" t="n"/>
    </row>
    <row r="7" ht="64.5" customHeight="1" s="225">
      <c r="B7" s="261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8" ht="31.5" customHeight="1" s="225">
      <c r="B8" s="259" t="inlineStr">
        <is>
          <t>Сопоставимый уровень цен: 3 квартал 2015 г</t>
        </is>
      </c>
    </row>
    <row r="9" ht="15.75" customHeight="1" s="225">
      <c r="B9" s="259" t="inlineStr">
        <is>
          <t>Единица измерения  — 1 ед.</t>
        </is>
      </c>
    </row>
    <row r="10">
      <c r="B10" s="259" t="n"/>
    </row>
    <row r="11">
      <c r="B11" s="264" t="inlineStr">
        <is>
          <t>№ п/п</t>
        </is>
      </c>
      <c r="C11" s="264" t="inlineStr">
        <is>
          <t>Параметр</t>
        </is>
      </c>
      <c r="D11" s="264" t="inlineStr">
        <is>
          <t xml:space="preserve">Объект-представитель </t>
        </is>
      </c>
      <c r="E11" s="139" t="n"/>
    </row>
    <row r="12" ht="96.75" customHeight="1" s="225">
      <c r="B12" s="264" t="n">
        <v>1</v>
      </c>
      <c r="C12" s="239" t="inlineStr">
        <is>
          <t>Наименование объекта-представителя</t>
        </is>
      </c>
      <c r="D12" s="199" t="inlineStr">
        <is>
          <t>ПС Усть-Кут (МЭС Сибири)</t>
        </is>
      </c>
    </row>
    <row r="13">
      <c r="B13" s="264" t="n">
        <v>2</v>
      </c>
      <c r="C13" s="239" t="inlineStr">
        <is>
          <t>Наименование субъекта Российской Федерации</t>
        </is>
      </c>
      <c r="D13" s="199" t="inlineStr">
        <is>
          <t>Иркутская область</t>
        </is>
      </c>
    </row>
    <row r="14">
      <c r="B14" s="264" t="n">
        <v>3</v>
      </c>
      <c r="C14" s="239" t="inlineStr">
        <is>
          <t>Климатический район и подрайон</t>
        </is>
      </c>
      <c r="D14" s="199" t="inlineStr">
        <is>
          <t>IД</t>
        </is>
      </c>
    </row>
    <row r="15">
      <c r="B15" s="264" t="n">
        <v>4</v>
      </c>
      <c r="C15" s="239" t="inlineStr">
        <is>
          <t>Мощность объекта</t>
        </is>
      </c>
      <c r="D15" s="199" t="n">
        <v>18</v>
      </c>
    </row>
    <row r="16" ht="116.25" customHeight="1" s="225">
      <c r="B16" s="264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220 кВ</t>
        </is>
      </c>
    </row>
    <row r="17" ht="79.5" customHeight="1" s="225">
      <c r="B17" s="264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39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25">
      <c r="B19" s="138" t="inlineStr">
        <is>
          <t>6.2</t>
        </is>
      </c>
      <c r="C19" s="239" t="inlineStr">
        <is>
          <t>оборудование и инвентарь</t>
        </is>
      </c>
      <c r="D19" s="146">
        <f>'Прил.2 Расч стоим'!H12</f>
        <v/>
      </c>
    </row>
    <row r="20" ht="16.5" customHeight="1" s="225">
      <c r="B20" s="138" t="inlineStr">
        <is>
          <t>6.3</t>
        </is>
      </c>
      <c r="C20" s="239" t="inlineStr">
        <is>
          <t>пусконаладочные работы</t>
        </is>
      </c>
      <c r="D20" s="146" t="n"/>
    </row>
    <row r="21" ht="35.25" customHeight="1" s="225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64" t="n">
        <v>7</v>
      </c>
      <c r="C22" s="137" t="inlineStr">
        <is>
          <t>Сопоставимый уровень цен</t>
        </is>
      </c>
      <c r="D22" s="160" t="inlineStr">
        <is>
          <t>3 квартал 2015 г</t>
        </is>
      </c>
      <c r="E22" s="135" t="n"/>
    </row>
    <row r="23" ht="123" customHeight="1" s="225">
      <c r="B23" s="264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25">
      <c r="B24" s="264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25">
      <c r="B25" s="264" t="n">
        <v>10</v>
      </c>
      <c r="C25" s="239" t="inlineStr">
        <is>
          <t>Примечание</t>
        </is>
      </c>
      <c r="D25" s="264" t="n"/>
    </row>
    <row r="26">
      <c r="B26" s="133" t="n"/>
      <c r="C26" s="132" t="n"/>
      <c r="D26" s="132" t="n"/>
    </row>
    <row r="27" ht="37.5" customHeight="1" s="225">
      <c r="B27" s="131" t="n"/>
    </row>
    <row r="28">
      <c r="B28" s="227" t="inlineStr">
        <is>
          <t xml:space="preserve">Составил ______________________    Р.Р. Шагеева </t>
        </is>
      </c>
      <c r="C28" s="227" t="n"/>
    </row>
    <row r="29">
      <c r="B29" s="131" t="inlineStr">
        <is>
          <t xml:space="preserve">                         (подпись, инициалы, фамилия)</t>
        </is>
      </c>
    </row>
    <row r="31">
      <c r="B31" s="227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7" min="1" max="1"/>
    <col width="9.140625" customWidth="1" style="227" min="2" max="2"/>
    <col width="35.28515625" customWidth="1" style="227" min="3" max="3"/>
    <col width="13.85546875" customWidth="1" style="227" min="4" max="4"/>
    <col width="24.85546875" customWidth="1" style="227" min="5" max="5"/>
    <col width="15.5703125" customWidth="1" style="227" min="6" max="6"/>
    <col width="14.85546875" customWidth="1" style="227" min="7" max="7"/>
    <col width="16.7109375" customWidth="1" style="227" min="8" max="8"/>
    <col width="13" customWidth="1" style="227" min="9" max="10"/>
    <col width="18" customWidth="1" style="227" min="11" max="11"/>
    <col width="9.140625" customWidth="1" style="227" min="12" max="12"/>
  </cols>
  <sheetData>
    <row r="3">
      <c r="B3" s="257" t="inlineStr">
        <is>
          <t>Приложение № 2</t>
        </is>
      </c>
      <c r="K3" s="131" t="n"/>
    </row>
    <row r="4">
      <c r="B4" s="258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25">
      <c r="B6" s="261">
        <f>'Прил.1 Сравнит табл'!B7:D7</f>
        <v/>
      </c>
      <c r="K6" s="131" t="n"/>
    </row>
    <row r="7">
      <c r="B7" s="259">
        <f>'Прил.1 Сравнит табл'!B9:D9</f>
        <v/>
      </c>
    </row>
    <row r="8" ht="18.75" customHeight="1" s="225">
      <c r="B8" s="111" t="n"/>
    </row>
    <row r="9" ht="15.75" customHeight="1" s="225">
      <c r="B9" s="264" t="inlineStr">
        <is>
          <t>№ п/п</t>
        </is>
      </c>
      <c r="C9" s="2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4" t="inlineStr">
        <is>
          <t>Объект-представитель 1</t>
        </is>
      </c>
      <c r="E9" s="356" t="n"/>
      <c r="F9" s="356" t="n"/>
      <c r="G9" s="356" t="n"/>
      <c r="H9" s="356" t="n"/>
      <c r="I9" s="356" t="n"/>
      <c r="J9" s="357" t="n"/>
    </row>
    <row r="10" ht="15.75" customHeight="1" s="225">
      <c r="B10" s="358" t="n"/>
      <c r="C10" s="358" t="n"/>
      <c r="D10" s="264" t="inlineStr">
        <is>
          <t>Номер сметы</t>
        </is>
      </c>
      <c r="E10" s="264" t="inlineStr">
        <is>
          <t>Наименование сметы</t>
        </is>
      </c>
      <c r="F10" s="264" t="inlineStr">
        <is>
          <t>Сметная стоимость в уровне цен 3 кв. 2015г., тыс. руб.</t>
        </is>
      </c>
      <c r="G10" s="356" t="n"/>
      <c r="H10" s="356" t="n"/>
      <c r="I10" s="356" t="n"/>
      <c r="J10" s="357" t="n"/>
    </row>
    <row r="11" ht="31.5" customHeight="1" s="225">
      <c r="B11" s="359" t="n"/>
      <c r="C11" s="359" t="n"/>
      <c r="D11" s="359" t="n"/>
      <c r="E11" s="359" t="n"/>
      <c r="F11" s="265" t="inlineStr">
        <is>
          <t>Строительные работы</t>
        </is>
      </c>
      <c r="G11" s="265" t="inlineStr">
        <is>
          <t>Монтажные работы</t>
        </is>
      </c>
      <c r="H11" s="265" t="inlineStr">
        <is>
          <t>Оборудование</t>
        </is>
      </c>
      <c r="I11" s="265" t="inlineStr">
        <is>
          <t>Прочее</t>
        </is>
      </c>
      <c r="J11" s="265" t="inlineStr">
        <is>
          <t>Всего</t>
        </is>
      </c>
    </row>
    <row r="12" ht="78.75" customHeight="1" s="225">
      <c r="B12" s="248" t="n"/>
      <c r="C12" s="248" t="inlineStr">
        <is>
          <t xml:space="preserve">Баковый выключатель 220(150) кВ без устройства фундамента, номинальный ток вне зависимости, номинальный ток отключения 40 кА </t>
        </is>
      </c>
      <c r="D12" s="248" t="n"/>
      <c r="E12" s="248" t="n"/>
      <c r="F12" s="360" t="n">
        <v>2333.4444446</v>
      </c>
      <c r="G12" s="357" t="n"/>
      <c r="H12" s="248" t="n">
        <v>296887.9286016</v>
      </c>
      <c r="I12" s="248" t="n"/>
      <c r="J12" s="248" t="n"/>
    </row>
    <row r="13" ht="15.75" customHeight="1" s="225">
      <c r="B13" s="262" t="inlineStr">
        <is>
          <t>Всего по объекту:</t>
        </is>
      </c>
      <c r="C13" s="361" t="n"/>
      <c r="D13" s="361" t="n"/>
      <c r="E13" s="362" t="n"/>
      <c r="F13" s="363">
        <f>F12</f>
        <v/>
      </c>
      <c r="G13" s="357" t="n"/>
      <c r="H13" s="247">
        <f>H12</f>
        <v/>
      </c>
      <c r="I13" s="247" t="n"/>
      <c r="J13" s="247" t="n"/>
    </row>
    <row r="14">
      <c r="B14" s="263" t="inlineStr">
        <is>
          <t>Всего по объекту в сопоставимом уровне цен 3кв. 2015г:</t>
        </is>
      </c>
      <c r="C14" s="356" t="n"/>
      <c r="D14" s="356" t="n"/>
      <c r="E14" s="357" t="n"/>
      <c r="F14" s="363">
        <f>F12</f>
        <v/>
      </c>
      <c r="G14" s="357" t="n"/>
      <c r="H14" s="157">
        <f>H13</f>
        <v/>
      </c>
      <c r="I14" s="157" t="n"/>
      <c r="J14" s="157">
        <f>F12+H12</f>
        <v/>
      </c>
    </row>
    <row r="15" ht="15" customHeight="1" s="225"/>
    <row r="16" ht="15" customHeight="1" s="225">
      <c r="E16" s="253" t="n"/>
    </row>
    <row r="17" ht="15" customHeight="1" s="225"/>
    <row r="18" ht="15" customHeight="1" s="225">
      <c r="C18" s="218" t="inlineStr">
        <is>
          <t xml:space="preserve">Составил ______________________     Р.Р. Шагеева </t>
        </is>
      </c>
      <c r="D18" s="219" t="n"/>
      <c r="E18" s="219" t="n"/>
    </row>
    <row r="19" ht="15" customHeight="1" s="225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25">
      <c r="C20" s="218" t="n"/>
      <c r="D20" s="219" t="n"/>
      <c r="E20" s="219" t="n"/>
    </row>
    <row r="21" ht="15" customHeight="1" s="225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25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25"/>
    <row r="24" ht="15" customHeight="1" s="225"/>
    <row r="25" ht="15" customHeight="1" s="225"/>
    <row r="26" ht="15" customHeight="1" s="225"/>
    <row r="27" ht="15" customHeight="1" s="225"/>
    <row r="28" ht="15" customHeight="1" s="225"/>
  </sheetData>
  <mergeCells count="16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E16:K16"/>
    <mergeCell ref="F14:G14"/>
    <mergeCell ref="F13:G13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0" zoomScale="70" zoomScaleSheetLayoutView="70" workbookViewId="0">
      <selection activeCell="C41" sqref="C41"/>
    </sheetView>
  </sheetViews>
  <sheetFormatPr baseColWidth="8" defaultColWidth="9.140625" defaultRowHeight="15.75"/>
  <cols>
    <col width="9.140625" customWidth="1" style="227" min="1" max="1"/>
    <col width="12.5703125" customWidth="1" style="227" min="2" max="2"/>
    <col width="22.42578125" customWidth="1" style="227" min="3" max="3"/>
    <col width="49.7109375" customWidth="1" style="227" min="4" max="4"/>
    <col width="10.140625" customWidth="1" style="227" min="5" max="5"/>
    <col width="20.7109375" customWidth="1" style="227" min="6" max="6"/>
    <col width="20" customWidth="1" style="227" min="7" max="7"/>
    <col width="16.7109375" customWidth="1" style="227" min="8" max="8"/>
    <col width="9.140625" customWidth="1" style="227" min="9" max="9"/>
    <col width="11.28515625" customWidth="1" style="227" min="10" max="10"/>
    <col width="15" customWidth="1" style="227" min="11" max="11"/>
    <col width="9.140625" customWidth="1" style="227" min="12" max="12"/>
  </cols>
  <sheetData>
    <row r="2">
      <c r="A2" s="257" t="inlineStr">
        <is>
          <t xml:space="preserve">Приложение № 3 </t>
        </is>
      </c>
    </row>
    <row r="3">
      <c r="A3" s="258" t="inlineStr">
        <is>
          <t>Объектная ресурсная ведомость</t>
        </is>
      </c>
    </row>
    <row r="4" ht="18.75" customHeight="1" s="225">
      <c r="A4" s="159" t="n"/>
      <c r="B4" s="159" t="n"/>
      <c r="C4" s="28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9" t="n"/>
    </row>
    <row r="6" ht="30.75" customHeight="1" s="225">
      <c r="A6" s="261" t="inlineStr">
        <is>
          <t xml:space="preserve">Наименование разрабатываемого показателя УНЦ -  Баковый выключатель 220(150) кВ без устройства фундамента, номинальный ток вне зависимости, номинальный ток отключения 40 кА </t>
        </is>
      </c>
    </row>
    <row r="7" ht="30.75" customHeight="1" s="225">
      <c r="A7" s="261" t="n"/>
      <c r="B7" s="261" t="n"/>
      <c r="C7" s="261" t="n"/>
      <c r="D7" s="261" t="n"/>
      <c r="E7" s="261" t="n"/>
      <c r="F7" s="261" t="n"/>
      <c r="G7" s="261" t="n"/>
      <c r="H7" s="261" t="n"/>
      <c r="I7" s="227" t="n"/>
      <c r="J7" s="227" t="n"/>
      <c r="K7" s="227" t="n"/>
      <c r="L7" s="227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5">
      <c r="A9" s="264" t="inlineStr">
        <is>
          <t>п/п</t>
        </is>
      </c>
      <c r="B9" s="264" t="inlineStr">
        <is>
          <t>№ЛСР</t>
        </is>
      </c>
      <c r="C9" s="264" t="inlineStr">
        <is>
          <t>Код ресурса</t>
        </is>
      </c>
      <c r="D9" s="264" t="inlineStr">
        <is>
          <t>Наименование ресурса</t>
        </is>
      </c>
      <c r="E9" s="264" t="inlineStr">
        <is>
          <t>Ед. изм.</t>
        </is>
      </c>
      <c r="F9" s="264" t="inlineStr">
        <is>
          <t>Кол-во единиц по данным объекта-представителя</t>
        </is>
      </c>
      <c r="G9" s="264" t="inlineStr">
        <is>
          <t>Сметная стоимость в ценах на 01.01.2000 (руб.)</t>
        </is>
      </c>
      <c r="H9" s="357" t="n"/>
    </row>
    <row r="10" ht="40.5" customHeight="1" s="225">
      <c r="A10" s="359" t="n"/>
      <c r="B10" s="359" t="n"/>
      <c r="C10" s="359" t="n"/>
      <c r="D10" s="359" t="n"/>
      <c r="E10" s="359" t="n"/>
      <c r="F10" s="359" t="n"/>
      <c r="G10" s="264" t="inlineStr">
        <is>
          <t>на ед.изм.</t>
        </is>
      </c>
      <c r="H10" s="264" t="inlineStr">
        <is>
          <t>общая</t>
        </is>
      </c>
    </row>
    <row r="11">
      <c r="A11" s="265" t="n">
        <v>1</v>
      </c>
      <c r="B11" s="265" t="n"/>
      <c r="C11" s="265" t="n">
        <v>2</v>
      </c>
      <c r="D11" s="265" t="inlineStr">
        <is>
          <t>З</t>
        </is>
      </c>
      <c r="E11" s="265" t="n">
        <v>4</v>
      </c>
      <c r="F11" s="265" t="n">
        <v>5</v>
      </c>
      <c r="G11" s="265" t="n">
        <v>6</v>
      </c>
      <c r="H11" s="265" t="n">
        <v>7</v>
      </c>
      <c r="J11" s="218" t="n"/>
      <c r="K11" s="194" t="n"/>
    </row>
    <row r="12" customFormat="1" s="213">
      <c r="A12" s="273" t="inlineStr">
        <is>
          <t>Затраты труда рабочих</t>
        </is>
      </c>
      <c r="B12" s="356" t="n"/>
      <c r="C12" s="356" t="n"/>
      <c r="D12" s="356" t="n"/>
      <c r="E12" s="357" t="n"/>
      <c r="F12" s="364" t="n">
        <v>10404</v>
      </c>
      <c r="G12" s="10" t="n"/>
      <c r="H12" s="365">
        <f>SUM(H13:H13)</f>
        <v/>
      </c>
      <c r="J12" s="195" t="n"/>
      <c r="K12" s="218" t="n"/>
    </row>
    <row r="13" customFormat="1" s="213">
      <c r="A13" s="7" t="n">
        <v>1</v>
      </c>
      <c r="B13" s="161" t="n"/>
      <c r="C13" s="168" t="inlineStr">
        <is>
          <t>1-4-0</t>
        </is>
      </c>
      <c r="D13" s="289" t="inlineStr">
        <is>
          <t>Затраты труда рабочих (средний разряд работы 4,0)</t>
        </is>
      </c>
      <c r="E13" s="286" t="inlineStr">
        <is>
          <t>чел.-ч</t>
        </is>
      </c>
      <c r="F13" s="168" t="inlineStr">
        <is>
          <t>10404</t>
        </is>
      </c>
      <c r="G13" s="308" t="n">
        <v>9.619999999999999</v>
      </c>
      <c r="H13" s="26">
        <f>ROUND(F13*G13,2)</f>
        <v/>
      </c>
      <c r="J13" s="218" t="n"/>
      <c r="K13" s="194" t="n"/>
    </row>
    <row r="14" ht="15.75" customHeight="1" s="225">
      <c r="A14" s="293" t="inlineStr">
        <is>
          <t>Затраты труда машинистов</t>
        </is>
      </c>
      <c r="B14" s="356" t="n"/>
      <c r="C14" s="356" t="n"/>
      <c r="D14" s="356" t="n"/>
      <c r="E14" s="357" t="n"/>
      <c r="F14" s="273" t="n"/>
      <c r="G14" s="143" t="n"/>
      <c r="H14" s="365">
        <f>H15</f>
        <v/>
      </c>
    </row>
    <row r="15">
      <c r="A15" s="286" t="n">
        <v>2</v>
      </c>
      <c r="B15" s="161" t="n"/>
      <c r="C15" s="168" t="n">
        <v>2</v>
      </c>
      <c r="D15" s="289" t="inlineStr">
        <is>
          <t>Затраты труда машинистов</t>
        </is>
      </c>
      <c r="E15" s="286" t="inlineStr">
        <is>
          <t>чел.-ч</t>
        </is>
      </c>
      <c r="F15" s="286" t="n">
        <v>3188.52</v>
      </c>
      <c r="G15" s="26" t="n"/>
      <c r="H15" s="26" t="n">
        <v>39169.24</v>
      </c>
    </row>
    <row r="16" customFormat="1" s="213">
      <c r="A16" s="273" t="inlineStr">
        <is>
          <t>Машины и механизмы</t>
        </is>
      </c>
      <c r="B16" s="356" t="n"/>
      <c r="C16" s="356" t="n"/>
      <c r="D16" s="356" t="n"/>
      <c r="E16" s="357" t="n"/>
      <c r="F16" s="273" t="n"/>
      <c r="G16" s="143" t="n"/>
      <c r="H16" s="365">
        <f>SUM(H17:H20)</f>
        <v/>
      </c>
    </row>
    <row r="17" ht="25.5" customFormat="1" customHeight="1" s="213">
      <c r="A17" s="172">
        <f>A15+1</f>
        <v/>
      </c>
      <c r="B17" s="171" t="n"/>
      <c r="C17" s="202" t="inlineStr">
        <is>
          <t>91.05.05-015</t>
        </is>
      </c>
      <c r="D17" s="203" t="inlineStr">
        <is>
          <t>Краны на автомобильном ходу, грузоподъемность 16 т</t>
        </is>
      </c>
      <c r="E17" s="309" t="inlineStr">
        <is>
          <t>маш.час</t>
        </is>
      </c>
      <c r="F17" s="309" t="n">
        <v>1952.28</v>
      </c>
      <c r="G17" s="205" t="n">
        <v>115.4</v>
      </c>
      <c r="H17" s="291">
        <f>ROUND(F17*G17,2)</f>
        <v/>
      </c>
      <c r="J17" s="190" t="n"/>
      <c r="K17" s="196" t="n"/>
    </row>
    <row r="18" customFormat="1" s="213">
      <c r="A18" s="172">
        <f>A17+1</f>
        <v/>
      </c>
      <c r="B18" s="171" t="n"/>
      <c r="C18" s="202" t="inlineStr">
        <is>
          <t>91.06.06-042</t>
        </is>
      </c>
      <c r="D18" s="203" t="inlineStr">
        <is>
          <t>Подъемники гидравлические, высота подъема 10 м</t>
        </is>
      </c>
      <c r="E18" s="309" t="inlineStr">
        <is>
          <t>маш.час</t>
        </is>
      </c>
      <c r="F18" s="206" t="n">
        <v>991.4400000000001</v>
      </c>
      <c r="G18" s="205" t="n">
        <v>29.6</v>
      </c>
      <c r="H18" s="291">
        <f>ROUND(F18*G18,2)</f>
        <v/>
      </c>
      <c r="J18" s="190" t="n"/>
      <c r="K18" s="218" t="n"/>
    </row>
    <row r="19" customFormat="1" s="213">
      <c r="A19" s="172">
        <f>A18+1</f>
        <v/>
      </c>
      <c r="B19" s="171" t="n"/>
      <c r="C19" s="202" t="inlineStr">
        <is>
          <t>91.14.02-001</t>
        </is>
      </c>
      <c r="D19" s="203" t="inlineStr">
        <is>
          <t>Автомобили бортовые, грузоподъемность до 5 т</t>
        </is>
      </c>
      <c r="E19" s="309" t="inlineStr">
        <is>
          <t>маш.час</t>
        </is>
      </c>
      <c r="F19" s="309" t="n">
        <v>244.8</v>
      </c>
      <c r="G19" s="205" t="n">
        <v>65.70999999999999</v>
      </c>
      <c r="H19" s="291">
        <f>ROUND(F19*G19,2)</f>
        <v/>
      </c>
      <c r="J19" s="190" t="n"/>
      <c r="K19" s="218" t="n"/>
    </row>
    <row r="20" ht="25.5" customFormat="1" customHeight="1" s="213">
      <c r="A20" s="172">
        <f>A19+1</f>
        <v/>
      </c>
      <c r="B20" s="171" t="n"/>
      <c r="C20" s="202" t="inlineStr">
        <is>
          <t>91.17.04-233</t>
        </is>
      </c>
      <c r="D20" s="203" t="inlineStr">
        <is>
          <t>Установки для сварки ручной дуговой (постоянного тока)</t>
        </is>
      </c>
      <c r="E20" s="309" t="inlineStr">
        <is>
          <t>маш.час</t>
        </is>
      </c>
      <c r="F20" s="309" t="n">
        <v>11.016</v>
      </c>
      <c r="G20" s="205" t="n">
        <v>8.1</v>
      </c>
      <c r="H20" s="291">
        <f>ROUND(F20*G20,2)</f>
        <v/>
      </c>
      <c r="J20" s="190" t="n"/>
      <c r="K20" s="218" t="n"/>
    </row>
    <row r="21" ht="15" customHeight="1" s="225">
      <c r="A21" s="279" t="inlineStr">
        <is>
          <t>Оборудование</t>
        </is>
      </c>
      <c r="B21" s="356" t="n"/>
      <c r="C21" s="356" t="n"/>
      <c r="D21" s="356" t="n"/>
      <c r="E21" s="357" t="n"/>
      <c r="F21" s="10" t="n"/>
      <c r="G21" s="10" t="n"/>
      <c r="H21" s="365">
        <f>SUM(H22:H22)</f>
        <v/>
      </c>
      <c r="J21" s="218" t="n"/>
      <c r="K21" s="218" t="n"/>
    </row>
    <row r="22" ht="15" customHeight="1" s="225">
      <c r="A22" s="286" t="n">
        <v>7</v>
      </c>
      <c r="B22" s="293" t="n"/>
      <c r="C22" s="168" t="inlineStr">
        <is>
          <t>Прайс из СД ОП</t>
        </is>
      </c>
      <c r="D22" s="305" t="inlineStr">
        <is>
          <t>Выключатель баковый 220 кВ ном. ток откл. 40 кА</t>
        </is>
      </c>
      <c r="E22" s="309" t="inlineStr">
        <is>
          <t>шт.</t>
        </is>
      </c>
      <c r="F22" s="309" t="n">
        <v>18</v>
      </c>
      <c r="G22" s="366" t="n">
        <v>4082617.28</v>
      </c>
      <c r="H22" s="26">
        <f>ROUND(F22*G22,2)</f>
        <v/>
      </c>
      <c r="J22" s="190" t="n"/>
      <c r="K22" s="189" t="n"/>
    </row>
    <row r="23">
      <c r="A23" s="273" t="inlineStr">
        <is>
          <t>Материалы</t>
        </is>
      </c>
      <c r="B23" s="356" t="n"/>
      <c r="C23" s="356" t="n"/>
      <c r="D23" s="356" t="n"/>
      <c r="E23" s="357" t="n"/>
      <c r="F23" s="273" t="n"/>
      <c r="G23" s="143" t="n"/>
      <c r="H23" s="365">
        <f>SUM(H24:H38)</f>
        <v/>
      </c>
      <c r="J23" s="197" t="n"/>
      <c r="K23" s="218" t="n"/>
    </row>
    <row r="24">
      <c r="A24" s="7" t="n">
        <v>8</v>
      </c>
      <c r="B24" s="161" t="n"/>
      <c r="C24" s="202" t="inlineStr">
        <is>
          <t>01.3.01.07-0009</t>
        </is>
      </c>
      <c r="D24" s="203" t="inlineStr">
        <is>
          <t>Спирт этиловый ректификованный технический, сорт I</t>
        </is>
      </c>
      <c r="E24" s="309" t="inlineStr">
        <is>
          <t>кг</t>
        </is>
      </c>
      <c r="F24" s="309" t="n">
        <v>57.6</v>
      </c>
      <c r="G24" s="207" t="n">
        <v>38.89</v>
      </c>
      <c r="H24" s="291">
        <f>ROUND(F24*G24,2)</f>
        <v/>
      </c>
      <c r="J24" s="190" t="n"/>
      <c r="K24" s="189" t="n"/>
    </row>
    <row r="25">
      <c r="A25" s="7" t="n">
        <v>9</v>
      </c>
      <c r="B25" s="161" t="n"/>
      <c r="C25" s="202" t="inlineStr">
        <is>
          <t>01.7.15.03-0042</t>
        </is>
      </c>
      <c r="D25" s="203" t="inlineStr">
        <is>
          <t>Болты с гайками и шайбами строительные</t>
        </is>
      </c>
      <c r="E25" s="309" t="inlineStr">
        <is>
          <t>кг</t>
        </is>
      </c>
      <c r="F25" s="309" t="n">
        <v>180</v>
      </c>
      <c r="G25" s="207" t="n">
        <v>9.039999999999999</v>
      </c>
      <c r="H25" s="291">
        <f>ROUND(F25*G25,2)</f>
        <v/>
      </c>
      <c r="J25" s="190" t="n"/>
      <c r="K25" s="218" t="n"/>
    </row>
    <row r="26" ht="25.5" customHeight="1" s="225">
      <c r="A26" s="7" t="n">
        <v>10</v>
      </c>
      <c r="B26" s="161" t="n"/>
      <c r="C26" s="202" t="inlineStr">
        <is>
          <t>999-9950</t>
        </is>
      </c>
      <c r="D26" s="203" t="inlineStr">
        <is>
          <t>Вспомогательные ненормируемые ресурсы (2% от Оплаты труда рабочих)</t>
        </is>
      </c>
      <c r="E26" s="309" t="inlineStr">
        <is>
          <t>руб</t>
        </is>
      </c>
      <c r="F26" s="309" t="n">
        <v>1177.56</v>
      </c>
      <c r="G26" s="207" t="n">
        <v>1</v>
      </c>
      <c r="H26" s="291">
        <f>ROUND(F26*G26,2)</f>
        <v/>
      </c>
      <c r="J26" s="190" t="n"/>
      <c r="K26" s="218" t="n"/>
    </row>
    <row r="27">
      <c r="A27" s="7" t="n">
        <v>11</v>
      </c>
      <c r="B27" s="161" t="n"/>
      <c r="C27" s="202" t="inlineStr">
        <is>
          <t>01.7.20.08-0031</t>
        </is>
      </c>
      <c r="D27" s="203" t="inlineStr">
        <is>
          <t>Бязь суровая</t>
        </is>
      </c>
      <c r="E27" s="309" t="inlineStr">
        <is>
          <t>10 м2</t>
        </is>
      </c>
      <c r="F27" s="309" t="n">
        <v>13.5</v>
      </c>
      <c r="G27" s="207" t="n">
        <v>79.09999999999999</v>
      </c>
      <c r="H27" s="291">
        <f>ROUND(F27*G27,2)</f>
        <v/>
      </c>
      <c r="J27" s="190" t="n"/>
      <c r="K27" s="218" t="n"/>
    </row>
    <row r="28">
      <c r="A28" s="7" t="n">
        <v>12</v>
      </c>
      <c r="B28" s="161" t="n"/>
      <c r="C28" s="202" t="inlineStr">
        <is>
          <t>01.7.17.11-0001</t>
        </is>
      </c>
      <c r="D28" s="203" t="inlineStr">
        <is>
          <t>Бумага шлифовальная</t>
        </is>
      </c>
      <c r="E28" s="309" t="inlineStr">
        <is>
          <t>кг</t>
        </is>
      </c>
      <c r="F28" s="309" t="n">
        <v>18</v>
      </c>
      <c r="G28" s="207" t="n">
        <v>50</v>
      </c>
      <c r="H28" s="291">
        <f>ROUND(F28*G28,2)</f>
        <v/>
      </c>
      <c r="J28" s="190" t="n"/>
      <c r="K28" s="218" t="n"/>
    </row>
    <row r="29" ht="25.5" customHeight="1" s="225">
      <c r="A29" s="7" t="n">
        <v>13</v>
      </c>
      <c r="B29" s="161" t="n"/>
      <c r="C29" s="202" t="inlineStr">
        <is>
          <t>11.1.03.06-0021</t>
        </is>
      </c>
      <c r="D29" s="203" t="inlineStr">
        <is>
          <t>Доска обрезная, лиственных пород (береза, липа), длина 4-6,5 м, все ширины, толщина 19-22 мм, сорт II</t>
        </is>
      </c>
      <c r="E29" s="309" t="inlineStr">
        <is>
          <t>м3</t>
        </is>
      </c>
      <c r="F29" s="309" t="n">
        <v>0.288</v>
      </c>
      <c r="G29" s="207" t="n">
        <v>1784</v>
      </c>
      <c r="H29" s="291">
        <f>ROUND(F29*G29,2)</f>
        <v/>
      </c>
      <c r="J29" s="190" t="n"/>
      <c r="K29" s="218" t="n"/>
      <c r="M29" s="227" t="n"/>
    </row>
    <row r="30" ht="25.5" customHeight="1" s="225">
      <c r="A30" s="7" t="n">
        <v>14</v>
      </c>
      <c r="B30" s="191" t="n"/>
      <c r="C30" s="202" t="inlineStr">
        <is>
          <t>10.2.02.07-0109</t>
        </is>
      </c>
      <c r="D30" s="203" t="inlineStr">
        <is>
          <t>Проволока латунная, круглая, твердая, нормальной точности, марка Л68, диаметр 0,50 мм</t>
        </is>
      </c>
      <c r="E30" s="309" t="inlineStr">
        <is>
          <t>т</t>
        </is>
      </c>
      <c r="F30" s="309" t="n">
        <v>0.0072</v>
      </c>
      <c r="G30" s="207" t="n">
        <v>62000</v>
      </c>
      <c r="H30" s="291">
        <f>ROUND(F30*G30,2)</f>
        <v/>
      </c>
      <c r="J30" s="190" t="n"/>
      <c r="K30" s="189" t="n"/>
      <c r="M30" s="227" t="n"/>
    </row>
    <row r="31">
      <c r="A31" s="7" t="n">
        <v>15</v>
      </c>
      <c r="B31" s="161" t="n"/>
      <c r="C31" s="202" t="inlineStr">
        <is>
          <t>01.7.11.07-0034</t>
        </is>
      </c>
      <c r="D31" s="203" t="inlineStr">
        <is>
          <t>Электроды сварочные Э42А, диаметр 4 мм</t>
        </is>
      </c>
      <c r="E31" s="309" t="inlineStr">
        <is>
          <t>кг</t>
        </is>
      </c>
      <c r="F31" s="309" t="n">
        <v>18</v>
      </c>
      <c r="G31" s="207" t="n">
        <v>10.57</v>
      </c>
      <c r="H31" s="291">
        <f>ROUND(F31*G31,2)</f>
        <v/>
      </c>
      <c r="J31" s="190" t="n"/>
      <c r="K31" s="218" t="n"/>
      <c r="M31" s="227" t="n"/>
    </row>
    <row r="32" ht="25.5" customHeight="1" s="225">
      <c r="A32" s="7" t="n">
        <v>16</v>
      </c>
      <c r="B32" s="161" t="n"/>
      <c r="C32" s="202" t="inlineStr">
        <is>
          <t>01.3.01.06-0050</t>
        </is>
      </c>
      <c r="D32" s="203" t="inlineStr">
        <is>
          <t>Смазка универсальная тугоплавкая УТ (консталин жировой)</t>
        </is>
      </c>
      <c r="E32" s="309" t="inlineStr">
        <is>
          <t>т</t>
        </is>
      </c>
      <c r="F32" s="309" t="n">
        <v>0.0108</v>
      </c>
      <c r="G32" s="207" t="n">
        <v>17500</v>
      </c>
      <c r="H32" s="291">
        <f>ROUND(F32*G32,2)</f>
        <v/>
      </c>
      <c r="J32" s="190" t="n"/>
      <c r="K32" s="218" t="n"/>
    </row>
    <row r="33">
      <c r="A33" s="7" t="n">
        <v>17</v>
      </c>
      <c r="B33" s="161" t="n"/>
      <c r="C33" s="202" t="inlineStr">
        <is>
          <t>14.4.02.09-0001</t>
        </is>
      </c>
      <c r="D33" s="203" t="inlineStr">
        <is>
          <t>Краска</t>
        </is>
      </c>
      <c r="E33" s="309" t="inlineStr">
        <is>
          <t>кг</t>
        </is>
      </c>
      <c r="F33" s="309" t="n">
        <v>6.48</v>
      </c>
      <c r="G33" s="207" t="n">
        <v>28.6</v>
      </c>
      <c r="H33" s="291">
        <f>ROUND(F33*G33,2)</f>
        <v/>
      </c>
      <c r="J33" s="190" t="n"/>
      <c r="K33" s="218" t="n"/>
    </row>
    <row r="34">
      <c r="A34" s="7" t="n">
        <v>18</v>
      </c>
      <c r="B34" s="161" t="n"/>
      <c r="C34" s="202" t="inlineStr">
        <is>
          <t>01.3.02.09-0022</t>
        </is>
      </c>
      <c r="D34" s="203" t="inlineStr">
        <is>
          <t>Пропан-бутан смесь техническая</t>
        </is>
      </c>
      <c r="E34" s="309" t="inlineStr">
        <is>
          <t>кг</t>
        </is>
      </c>
      <c r="F34" s="309" t="n">
        <v>18</v>
      </c>
      <c r="G34" s="207" t="n">
        <v>6.09</v>
      </c>
      <c r="H34" s="291">
        <f>ROUND(F34*G34,2)</f>
        <v/>
      </c>
      <c r="J34" s="190" t="n"/>
      <c r="K34" s="218" t="n"/>
    </row>
    <row r="35" ht="25.5" customHeight="1" s="225">
      <c r="A35" s="7" t="n">
        <v>19</v>
      </c>
      <c r="B35" s="161" t="n"/>
      <c r="C35" s="202" t="inlineStr">
        <is>
          <t>01.7.15.06-0121</t>
        </is>
      </c>
      <c r="D35" s="203" t="inlineStr">
        <is>
          <t>Гвозди строительные с плоской головкой, размер 1,6х50 мм</t>
        </is>
      </c>
      <c r="E35" s="309" t="inlineStr">
        <is>
          <t>т</t>
        </is>
      </c>
      <c r="F35" s="309" t="n">
        <v>0.0117</v>
      </c>
      <c r="G35" s="207" t="n">
        <v>8475</v>
      </c>
      <c r="H35" s="291">
        <f>ROUND(F35*G35,2)</f>
        <v/>
      </c>
      <c r="J35" s="190" t="n"/>
      <c r="K35" s="218" t="n"/>
    </row>
    <row r="36">
      <c r="A36" s="7" t="n">
        <v>20</v>
      </c>
      <c r="B36" s="161" t="n"/>
      <c r="C36" s="202" t="inlineStr">
        <is>
          <t>01.3.02.08-0001</t>
        </is>
      </c>
      <c r="D36" s="203" t="inlineStr">
        <is>
          <t>Кислород газообразный технический</t>
        </is>
      </c>
      <c r="E36" s="309" t="inlineStr">
        <is>
          <t>м3</t>
        </is>
      </c>
      <c r="F36" s="309" t="n">
        <v>14.4</v>
      </c>
      <c r="G36" s="207" t="n">
        <v>6.22</v>
      </c>
      <c r="H36" s="291">
        <f>ROUND(F36*G36,2)</f>
        <v/>
      </c>
      <c r="J36" s="190" t="n"/>
      <c r="K36" s="218" t="n"/>
    </row>
    <row r="37">
      <c r="A37" s="7" t="n">
        <v>21</v>
      </c>
      <c r="B37" s="161" t="n"/>
      <c r="C37" s="202" t="inlineStr">
        <is>
          <t>01.7.07.12-0022</t>
        </is>
      </c>
      <c r="D37" s="203" t="inlineStr">
        <is>
          <t>Пленка полиэтиленовая, толщина 0,2-0,5 мм</t>
        </is>
      </c>
      <c r="E37" s="309" t="inlineStr">
        <is>
          <t>м2</t>
        </is>
      </c>
      <c r="F37" s="309" t="n">
        <v>1.8396</v>
      </c>
      <c r="G37" s="207" t="n">
        <v>12.19</v>
      </c>
      <c r="H37" s="291">
        <f>ROUND(F37*G37,2)</f>
        <v/>
      </c>
      <c r="J37" s="190" t="n"/>
      <c r="K37" s="218" t="n"/>
    </row>
    <row r="38">
      <c r="A38" s="7" t="n">
        <v>22</v>
      </c>
      <c r="B38" s="161" t="n"/>
      <c r="C38" s="202" t="inlineStr">
        <is>
          <t>01.7.02.09-0002</t>
        </is>
      </c>
      <c r="D38" s="203" t="inlineStr">
        <is>
          <t>Шпагат бумажный</t>
        </is>
      </c>
      <c r="E38" s="309" t="inlineStr">
        <is>
          <t>кг</t>
        </is>
      </c>
      <c r="F38" s="309" t="n">
        <v>0.18</v>
      </c>
      <c r="G38" s="207" t="n">
        <v>11.5</v>
      </c>
      <c r="H38" s="291">
        <f>ROUND(F38*G38,2)</f>
        <v/>
      </c>
      <c r="J38" s="190" t="n"/>
      <c r="K38" s="218" t="n"/>
    </row>
    <row r="39">
      <c r="J39" s="198" t="n"/>
    </row>
    <row r="41">
      <c r="B41" s="227" t="inlineStr">
        <is>
          <t xml:space="preserve">Составил ______________________    Р.Р. Шагеева </t>
        </is>
      </c>
    </row>
    <row r="42">
      <c r="B42" s="131" t="inlineStr">
        <is>
          <t xml:space="preserve">                         (подпись, инициалы, фамилия)</t>
        </is>
      </c>
    </row>
    <row r="44">
      <c r="B44" s="227" t="inlineStr">
        <is>
          <t>Проверил ______________________        А.В. Костянецкая</t>
        </is>
      </c>
    </row>
    <row r="45">
      <c r="B45" s="131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25" min="1" max="1"/>
    <col width="36.28515625" customWidth="1" style="225" min="2" max="2"/>
    <col width="18.85546875" customWidth="1" style="225" min="3" max="3"/>
    <col width="18.28515625" customWidth="1" style="225" min="4" max="4"/>
    <col width="18.85546875" customWidth="1" style="225" min="5" max="5"/>
    <col width="9.140625" customWidth="1" style="225" min="6" max="6"/>
    <col width="13.42578125" customWidth="1" style="225" min="7" max="7"/>
    <col width="9.140625" customWidth="1" style="225" min="8" max="11"/>
    <col width="13.5703125" customWidth="1" style="225" min="12" max="12"/>
    <col width="9.140625" customWidth="1" style="225" min="13" max="13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304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50" t="inlineStr">
        <is>
          <t>Ресурсная модель</t>
        </is>
      </c>
    </row>
    <row r="6">
      <c r="B6" s="154" t="n"/>
      <c r="C6" s="218" t="n"/>
      <c r="D6" s="218" t="n"/>
      <c r="E6" s="218" t="n"/>
    </row>
    <row r="7" ht="25.5" customHeight="1" s="225">
      <c r="B7" s="281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8">
      <c r="B8" s="282" t="inlineStr">
        <is>
          <t>Единица измерения  — 1 ед.</t>
        </is>
      </c>
    </row>
    <row r="9">
      <c r="B9" s="154" t="n"/>
      <c r="C9" s="218" t="n"/>
      <c r="D9" s="218" t="n"/>
      <c r="E9" s="218" t="n"/>
    </row>
    <row r="10" ht="51" customHeight="1" s="225">
      <c r="B10" s="286" t="inlineStr">
        <is>
          <t>Наименование</t>
        </is>
      </c>
      <c r="C10" s="286" t="inlineStr">
        <is>
          <t>Сметная стоимость в ценах на 01.01.2023
 (руб.)</t>
        </is>
      </c>
      <c r="D10" s="286" t="inlineStr">
        <is>
          <t>Удельный вес, 
(в СМР)</t>
        </is>
      </c>
      <c r="E10" s="286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ОБ'!J21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ОБ'!J24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ОБ'!J42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ОБ'!J51</f>
        <v/>
      </c>
      <c r="D17" s="149">
        <f>C17/$C$24</f>
        <v/>
      </c>
      <c r="E17" s="149">
        <f>C17/$C$40</f>
        <v/>
      </c>
      <c r="G17" s="367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ОБ'!D55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ОБ'!D54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5">
      <c r="B25" s="98" t="inlineStr">
        <is>
          <t>ВСЕГО стоимость оборудования, в том числе</t>
        </is>
      </c>
      <c r="C25" s="148">
        <f>'Прил.5 Расчет СМР и ОБ'!J31</f>
        <v/>
      </c>
      <c r="D25" s="149" t="n"/>
      <c r="E25" s="149">
        <f>C25/$C$40</f>
        <v/>
      </c>
    </row>
    <row r="26" ht="25.5" customHeight="1" s="225">
      <c r="B26" s="98" t="inlineStr">
        <is>
          <t>стоимость оборудования технологического</t>
        </is>
      </c>
      <c r="C26" s="148">
        <f>'Прил.5 Расчет СМР и ОБ'!J32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5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25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25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3504690.36</v>
      </c>
      <c r="D31" s="98" t="n"/>
      <c r="E31" s="149">
        <f>C31/$C$40</f>
        <v/>
      </c>
    </row>
    <row r="32" ht="25.5" customHeight="1" s="225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25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25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25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25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L37" s="150" t="n"/>
    </row>
    <row r="38" ht="38.25" customHeight="1" s="225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25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ОБ'!E58</f>
        <v/>
      </c>
      <c r="D41" s="98" t="n"/>
      <c r="E41" s="98" t="n"/>
    </row>
    <row r="42">
      <c r="B42" s="147" t="n"/>
      <c r="C42" s="218" t="n"/>
      <c r="D42" s="218" t="n"/>
      <c r="E42" s="218" t="n"/>
    </row>
    <row r="43">
      <c r="B43" s="147" t="inlineStr">
        <is>
          <t xml:space="preserve">Составил ____________________________  Р.Р. Шагеева </t>
        </is>
      </c>
      <c r="C43" s="218" t="n"/>
      <c r="D43" s="218" t="n"/>
      <c r="E43" s="218" t="n"/>
    </row>
    <row r="44">
      <c r="B44" s="147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7" t="n"/>
      <c r="C45" s="218" t="n"/>
      <c r="D45" s="218" t="n"/>
      <c r="E45" s="218" t="n"/>
    </row>
    <row r="46">
      <c r="B46" s="147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82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21" zoomScale="70" zoomScaleSheetLayoutView="70" workbookViewId="0">
      <selection activeCell="B60" sqref="B60"/>
    </sheetView>
  </sheetViews>
  <sheetFormatPr baseColWidth="8" defaultColWidth="9.140625" defaultRowHeight="15" outlineLevelRow="1"/>
  <cols>
    <col width="5.7109375" customWidth="1" style="219" min="1" max="1"/>
    <col width="22.5703125" customWidth="1" style="219" min="2" max="2"/>
    <col width="39.140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25">
      <c r="H2" s="283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50" t="inlineStr">
        <is>
          <t>Расчет стоимости СМР и оборудования</t>
        </is>
      </c>
    </row>
    <row r="5" ht="12.75" customFormat="1" customHeight="1" s="218">
      <c r="A5" s="250" t="n"/>
      <c r="B5" s="250" t="n"/>
      <c r="C5" s="312" t="n"/>
      <c r="D5" s="250" t="n"/>
      <c r="E5" s="250" t="n"/>
      <c r="F5" s="250" t="n"/>
      <c r="G5" s="250" t="n"/>
      <c r="H5" s="250" t="n"/>
      <c r="I5" s="250" t="n"/>
      <c r="J5" s="250" t="n"/>
    </row>
    <row r="6" ht="21.75" customFormat="1" customHeight="1" s="218">
      <c r="A6" s="127" t="inlineStr">
        <is>
          <t>Наименование разрабатываемого показателя УНЦ</t>
        </is>
      </c>
      <c r="B6" s="126" t="n"/>
      <c r="C6" s="126" t="n"/>
      <c r="D6" s="253" t="inlineStr">
        <is>
          <t xml:space="preserve">Баковый выключатель 220(150) кВ без устройства фундамента, номинальный ток вне зависимости, номинальный ток отключения 40 кА </t>
        </is>
      </c>
    </row>
    <row r="7" ht="12.75" customFormat="1" customHeight="1" s="218">
      <c r="A7" s="253" t="inlineStr">
        <is>
          <t>Единица измерения  — 1 ед.</t>
        </is>
      </c>
      <c r="I7" s="281" t="n"/>
      <c r="J7" s="281" t="n"/>
    </row>
    <row r="8" ht="13.5" customFormat="1" customHeight="1" s="218">
      <c r="A8" s="253" t="n"/>
    </row>
    <row r="9" ht="27" customHeight="1" s="225">
      <c r="A9" s="286" t="inlineStr">
        <is>
          <t>№ пп.</t>
        </is>
      </c>
      <c r="B9" s="286" t="inlineStr">
        <is>
          <t>Код ресурса</t>
        </is>
      </c>
      <c r="C9" s="286" t="inlineStr">
        <is>
          <t>Наименование</t>
        </is>
      </c>
      <c r="D9" s="286" t="inlineStr">
        <is>
          <t>Ед. изм.</t>
        </is>
      </c>
      <c r="E9" s="286" t="inlineStr">
        <is>
          <t>Кол-во единиц по проектным данным</t>
        </is>
      </c>
      <c r="F9" s="286" t="inlineStr">
        <is>
          <t>Сметная стоимость в ценах на 01.01.2000 (руб.)</t>
        </is>
      </c>
      <c r="G9" s="357" t="n"/>
      <c r="H9" s="286" t="inlineStr">
        <is>
          <t>Удельный вес, %</t>
        </is>
      </c>
      <c r="I9" s="286" t="inlineStr">
        <is>
          <t>Сметная стоимость в ценах на 01.01.2023 (руб.)</t>
        </is>
      </c>
      <c r="J9" s="357" t="n"/>
      <c r="M9" s="219" t="n"/>
      <c r="N9" s="219" t="n"/>
    </row>
    <row r="10" ht="28.5" customHeight="1" s="225">
      <c r="A10" s="359" t="n"/>
      <c r="B10" s="359" t="n"/>
      <c r="C10" s="359" t="n"/>
      <c r="D10" s="359" t="n"/>
      <c r="E10" s="359" t="n"/>
      <c r="F10" s="286" t="inlineStr">
        <is>
          <t>на ед. изм.</t>
        </is>
      </c>
      <c r="G10" s="286" t="inlineStr">
        <is>
          <t>общая</t>
        </is>
      </c>
      <c r="H10" s="359" t="n"/>
      <c r="I10" s="286" t="inlineStr">
        <is>
          <t>на ед. изм.</t>
        </is>
      </c>
      <c r="J10" s="286" t="inlineStr">
        <is>
          <t>общая</t>
        </is>
      </c>
      <c r="M10" s="219" t="n"/>
      <c r="N10" s="219" t="n"/>
    </row>
    <row r="11">
      <c r="A11" s="286" t="n">
        <v>1</v>
      </c>
      <c r="B11" s="286" t="n">
        <v>2</v>
      </c>
      <c r="C11" s="286" t="n">
        <v>3</v>
      </c>
      <c r="D11" s="286" t="n">
        <v>4</v>
      </c>
      <c r="E11" s="286" t="n">
        <v>5</v>
      </c>
      <c r="F11" s="286" t="n">
        <v>6</v>
      </c>
      <c r="G11" s="286" t="n">
        <v>7</v>
      </c>
      <c r="H11" s="286" t="n">
        <v>8</v>
      </c>
      <c r="I11" s="287" t="n">
        <v>9</v>
      </c>
      <c r="J11" s="287" t="n">
        <v>10</v>
      </c>
      <c r="M11" s="219" t="n"/>
      <c r="N11" s="219" t="n"/>
    </row>
    <row r="12">
      <c r="A12" s="286" t="n"/>
      <c r="B12" s="293" t="inlineStr">
        <is>
          <t>Затраты труда рабочих-строителей</t>
        </is>
      </c>
      <c r="C12" s="356" t="n"/>
      <c r="D12" s="356" t="n"/>
      <c r="E12" s="356" t="n"/>
      <c r="F12" s="356" t="n"/>
      <c r="G12" s="356" t="n"/>
      <c r="H12" s="357" t="n"/>
      <c r="I12" s="118" t="n"/>
      <c r="J12" s="118" t="n"/>
    </row>
    <row r="13" ht="25.5" customHeight="1" s="225">
      <c r="A13" s="286" t="n">
        <v>1</v>
      </c>
      <c r="B13" s="168" t="inlineStr">
        <is>
          <t>1-4-0</t>
        </is>
      </c>
      <c r="C13" s="289" t="inlineStr">
        <is>
          <t>Затраты труда рабочих (средний разряд работы 4,0)</t>
        </is>
      </c>
      <c r="D13" s="286" t="inlineStr">
        <is>
          <t>чел.-ч.</t>
        </is>
      </c>
      <c r="E13" s="368">
        <f>G13/F13</f>
        <v/>
      </c>
      <c r="F13" s="308" t="n">
        <v>9.619999999999999</v>
      </c>
      <c r="G13" s="26" t="n">
        <v>100086.48</v>
      </c>
      <c r="H13" s="292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9">
      <c r="A14" s="286" t="n"/>
      <c r="B14" s="286" t="n"/>
      <c r="C14" s="293" t="inlineStr">
        <is>
          <t>Итого по разделу "Затраты труда рабочих-строителей"</t>
        </is>
      </c>
      <c r="D14" s="286" t="inlineStr">
        <is>
          <t>чел.-ч.</t>
        </is>
      </c>
      <c r="E14" s="369">
        <f>SUM(E13:E13)</f>
        <v/>
      </c>
      <c r="F14" s="26" t="n"/>
      <c r="G14" s="26">
        <f>SUM(G13:G13)</f>
        <v/>
      </c>
      <c r="H14" s="294">
        <f>H13</f>
        <v/>
      </c>
      <c r="I14" s="188" t="n"/>
      <c r="J14" s="26">
        <f>SUM(J13:J13)</f>
        <v/>
      </c>
    </row>
    <row r="15" ht="14.25" customFormat="1" customHeight="1" s="219">
      <c r="A15" s="286" t="n"/>
      <c r="B15" s="289" t="inlineStr">
        <is>
          <t>Затраты труда машинистов</t>
        </is>
      </c>
      <c r="C15" s="356" t="n"/>
      <c r="D15" s="356" t="n"/>
      <c r="E15" s="356" t="n"/>
      <c r="F15" s="356" t="n"/>
      <c r="G15" s="356" t="n"/>
      <c r="H15" s="357" t="n"/>
      <c r="I15" s="118" t="n"/>
      <c r="J15" s="118" t="n"/>
    </row>
    <row r="16" ht="14.25" customFormat="1" customHeight="1" s="219">
      <c r="A16" s="286" t="n">
        <v>2</v>
      </c>
      <c r="B16" s="286" t="n">
        <v>2</v>
      </c>
      <c r="C16" s="289" t="inlineStr">
        <is>
          <t>Затраты труда машинистов</t>
        </is>
      </c>
      <c r="D16" s="286" t="inlineStr">
        <is>
          <t>чел.-ч.</t>
        </is>
      </c>
      <c r="E16" s="286" t="n">
        <v>3188.52</v>
      </c>
      <c r="F16" s="26">
        <f>G16/E16</f>
        <v/>
      </c>
      <c r="G16" s="26" t="n">
        <v>39169.24</v>
      </c>
      <c r="H16" s="294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9">
      <c r="A17" s="286" t="n"/>
      <c r="B17" s="293" t="inlineStr">
        <is>
          <t>Машины и механизмы</t>
        </is>
      </c>
      <c r="C17" s="356" t="n"/>
      <c r="D17" s="356" t="n"/>
      <c r="E17" s="356" t="n"/>
      <c r="F17" s="356" t="n"/>
      <c r="G17" s="356" t="n"/>
      <c r="H17" s="357" t="n"/>
      <c r="I17" s="118" t="n"/>
      <c r="J17" s="118" t="n"/>
    </row>
    <row r="18" ht="14.25" customFormat="1" customHeight="1" s="219">
      <c r="A18" s="287" t="n"/>
      <c r="B18" s="295" t="inlineStr">
        <is>
          <t>Основные машины и механизмы</t>
        </is>
      </c>
      <c r="C18" s="370" t="n"/>
      <c r="D18" s="370" t="n"/>
      <c r="E18" s="370" t="n"/>
      <c r="F18" s="370" t="n"/>
      <c r="G18" s="370" t="n"/>
      <c r="H18" s="371" t="n"/>
      <c r="I18" s="174" t="n"/>
      <c r="J18" s="174" t="n"/>
    </row>
    <row r="19" ht="25.5" customFormat="1" customHeight="1" s="219">
      <c r="A19" s="286" t="n">
        <v>3</v>
      </c>
      <c r="B19" s="168" t="inlineStr">
        <is>
          <t>91.05.05-015</t>
        </is>
      </c>
      <c r="C19" s="289" t="inlineStr">
        <is>
          <t>Краны на автомобильном ходу, грузоподъемность 16 т</t>
        </is>
      </c>
      <c r="D19" s="286" t="inlineStr">
        <is>
          <t>маш.час</t>
        </is>
      </c>
      <c r="E19" s="372" t="n">
        <v>1952.28</v>
      </c>
      <c r="F19" s="308" t="n">
        <v>115.4</v>
      </c>
      <c r="G19" s="26">
        <f>ROUND(E19*F19,2)</f>
        <v/>
      </c>
      <c r="H19" s="292">
        <f>G19/$G$25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9">
      <c r="A20" s="286" t="n">
        <v>4</v>
      </c>
      <c r="B20" s="168" t="inlineStr">
        <is>
          <t>91.06.06-042</t>
        </is>
      </c>
      <c r="C20" s="289" t="inlineStr">
        <is>
          <t>Подъемники гидравлические, высота подъема 10 м</t>
        </is>
      </c>
      <c r="D20" s="286" t="inlineStr">
        <is>
          <t>маш.час</t>
        </is>
      </c>
      <c r="E20" s="372" t="n">
        <v>991.4400000000001</v>
      </c>
      <c r="F20" s="308" t="n">
        <v>29.6</v>
      </c>
      <c r="G20" s="26">
        <f>ROUND(E20*F20,2)</f>
        <v/>
      </c>
      <c r="H20" s="175">
        <f>G20/$G$25</f>
        <v/>
      </c>
      <c r="I20" s="128">
        <f>ROUND(F20*Прил.10!$D$12,2)</f>
        <v/>
      </c>
      <c r="J20" s="128">
        <f>ROUND(I20*E20,2)</f>
        <v/>
      </c>
    </row>
    <row r="21" ht="14.25" customFormat="1" customHeight="1" s="219">
      <c r="A21" s="287" t="n"/>
      <c r="B21" s="185" t="n"/>
      <c r="C21" s="295" t="inlineStr">
        <is>
          <t>Итого основные машины и механизмы</t>
        </is>
      </c>
      <c r="D21" s="287" t="n"/>
      <c r="E21" s="373" t="n"/>
      <c r="F21" s="308" t="n"/>
      <c r="G21" s="26">
        <f>SUM(G19:G20)</f>
        <v/>
      </c>
      <c r="H21" s="292">
        <f>G21/G25</f>
        <v/>
      </c>
      <c r="I21" s="26" t="n"/>
      <c r="J21" s="26">
        <f>SUM(J19:J20)</f>
        <v/>
      </c>
    </row>
    <row r="22" hidden="1" outlineLevel="1" ht="25.5" customFormat="1" customHeight="1" s="219">
      <c r="A22" s="286" t="n">
        <v>5</v>
      </c>
      <c r="B22" s="168" t="inlineStr">
        <is>
          <t>91.14.02-001</t>
        </is>
      </c>
      <c r="C22" s="289" t="inlineStr">
        <is>
          <t>Автомобили бортовые, грузоподъемность до 5 т</t>
        </is>
      </c>
      <c r="D22" s="286" t="inlineStr">
        <is>
          <t>маш.час</t>
        </is>
      </c>
      <c r="E22" s="286" t="n">
        <v>244.8</v>
      </c>
      <c r="F22" s="308" t="n">
        <v>65.70999999999999</v>
      </c>
      <c r="G22" s="26">
        <f>ROUND(E22*F22,2)</f>
        <v/>
      </c>
      <c r="H22" s="292">
        <f>G22/$G$25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219">
      <c r="A23" s="286" t="n">
        <v>6</v>
      </c>
      <c r="B23" s="168" t="inlineStr">
        <is>
          <t>91.17.04-233</t>
        </is>
      </c>
      <c r="C23" s="289" t="inlineStr">
        <is>
          <t>Установки для сварки ручной дуговой (постоянного тока)</t>
        </is>
      </c>
      <c r="D23" s="286" t="inlineStr">
        <is>
          <t>маш.час</t>
        </is>
      </c>
      <c r="E23" s="286" t="n">
        <v>11.016</v>
      </c>
      <c r="F23" s="308" t="n">
        <v>8.1</v>
      </c>
      <c r="G23" s="26">
        <f>ROUND(E23*F23,2)</f>
        <v/>
      </c>
      <c r="H23" s="292">
        <f>G23/$G$25</f>
        <v/>
      </c>
      <c r="I23" s="26">
        <f>ROUND(F23*Прил.10!$D$12,2)</f>
        <v/>
      </c>
      <c r="J23" s="26">
        <f>ROUND(I23*E23,2)</f>
        <v/>
      </c>
    </row>
    <row r="24" collapsed="1" ht="14.25" customFormat="1" customHeight="1" s="219">
      <c r="A24" s="286" t="n"/>
      <c r="B24" s="286" t="n"/>
      <c r="C24" s="289" t="inlineStr">
        <is>
          <t>Итого прочие машины и механизмы</t>
        </is>
      </c>
      <c r="D24" s="286" t="n"/>
      <c r="E24" s="290" t="n"/>
      <c r="F24" s="26" t="n"/>
      <c r="G24" s="120">
        <f>SUM(G22:G23)</f>
        <v/>
      </c>
      <c r="H24" s="292">
        <f>G24/G25</f>
        <v/>
      </c>
      <c r="I24" s="26" t="n"/>
      <c r="J24" s="120">
        <f>SUM(J22:J23)</f>
        <v/>
      </c>
    </row>
    <row r="25" ht="25.5" customFormat="1" customHeight="1" s="219">
      <c r="A25" s="286" t="n"/>
      <c r="B25" s="286" t="n"/>
      <c r="C25" s="293" t="inlineStr">
        <is>
          <t>Итого по разделу «Машины и механизмы»</t>
        </is>
      </c>
      <c r="D25" s="286" t="n"/>
      <c r="E25" s="290" t="n"/>
      <c r="F25" s="26" t="n"/>
      <c r="G25" s="26">
        <f>G24+G21</f>
        <v/>
      </c>
      <c r="H25" s="122" t="n">
        <v>1</v>
      </c>
      <c r="I25" s="123" t="n"/>
      <c r="J25" s="26">
        <f>J24+J21</f>
        <v/>
      </c>
    </row>
    <row r="26" ht="14.25" customFormat="1" customHeight="1" s="219">
      <c r="A26" s="286" t="n"/>
      <c r="B26" s="293" t="inlineStr">
        <is>
          <t>Оборудование</t>
        </is>
      </c>
      <c r="C26" s="356" t="n"/>
      <c r="D26" s="356" t="n"/>
      <c r="E26" s="356" t="n"/>
      <c r="F26" s="356" t="n"/>
      <c r="G26" s="356" t="n"/>
      <c r="H26" s="357" t="n"/>
      <c r="I26" s="118" t="n"/>
      <c r="J26" s="118" t="n"/>
    </row>
    <row r="27">
      <c r="A27" s="287" t="n"/>
      <c r="B27" s="295" t="inlineStr">
        <is>
          <t>Основное оборудование</t>
        </is>
      </c>
      <c r="C27" s="370" t="n"/>
      <c r="D27" s="370" t="n"/>
      <c r="E27" s="370" t="n"/>
      <c r="F27" s="370" t="n"/>
      <c r="G27" s="370" t="n"/>
      <c r="H27" s="371" t="n"/>
      <c r="I27" s="174" t="n"/>
      <c r="J27" s="174" t="n"/>
    </row>
    <row r="28" ht="25.5" customHeight="1" s="225">
      <c r="A28" s="286" t="n">
        <v>7</v>
      </c>
      <c r="B28" s="168" t="inlineStr">
        <is>
          <t>БЦ.2.25</t>
        </is>
      </c>
      <c r="C28" s="305" t="inlineStr">
        <is>
          <t>Выключатель баковый 220 кВ 3150/40 кА</t>
        </is>
      </c>
      <c r="D28" s="286" t="inlineStr">
        <is>
          <t>компл</t>
        </is>
      </c>
      <c r="E28" s="209" t="n">
        <v>18</v>
      </c>
      <c r="F28" s="366">
        <f>ROUND(I28/Прил.10!$D$14,2)</f>
        <v/>
      </c>
      <c r="G28" s="26">
        <f>ROUND(E28*F28,2)</f>
        <v/>
      </c>
      <c r="H28" s="292">
        <f>G28/$G$31</f>
        <v/>
      </c>
      <c r="I28" s="26" t="n">
        <v>33207547.17</v>
      </c>
      <c r="J28" s="26">
        <f>ROUND(I28*E28,2)</f>
        <v/>
      </c>
    </row>
    <row r="29">
      <c r="A29" s="288" t="n"/>
      <c r="B29" s="288" t="n"/>
      <c r="C29" s="177" t="inlineStr">
        <is>
          <t>Итого основное оборудование</t>
        </is>
      </c>
      <c r="D29" s="288" t="n"/>
      <c r="E29" s="374" t="n"/>
      <c r="F29" s="201" t="n"/>
      <c r="G29" s="128">
        <f>SUM(G28:G28)</f>
        <v/>
      </c>
      <c r="H29" s="292">
        <f>G29/$G$31</f>
        <v/>
      </c>
      <c r="I29" s="128" t="n"/>
      <c r="J29" s="26">
        <f>SUM(J28:J28)</f>
        <v/>
      </c>
    </row>
    <row r="30">
      <c r="A30" s="178" t="n"/>
      <c r="B30" s="288" t="n"/>
      <c r="C30" s="177" t="inlineStr">
        <is>
          <t>Итого прочее оборудование</t>
        </is>
      </c>
      <c r="D30" s="288" t="n"/>
      <c r="E30" s="375" t="n"/>
      <c r="F30" s="376" t="n"/>
      <c r="G30" s="128" t="n">
        <v>0</v>
      </c>
      <c r="H30" s="175">
        <f>G30/$G$31</f>
        <v/>
      </c>
      <c r="I30" s="179" t="n"/>
      <c r="J30" s="180" t="n">
        <v>0</v>
      </c>
    </row>
    <row r="31">
      <c r="A31" s="287" t="n"/>
      <c r="B31" s="287" t="n"/>
      <c r="C31" s="162" t="inlineStr">
        <is>
          <t>Итого по разделу «Оборудование»</t>
        </is>
      </c>
      <c r="D31" s="287" t="n"/>
      <c r="E31" s="296" t="n"/>
      <c r="F31" s="297" t="n"/>
      <c r="G31" s="165">
        <f>G29+G30</f>
        <v/>
      </c>
      <c r="H31" s="292">
        <f>G31/$G$31</f>
        <v/>
      </c>
      <c r="I31" s="166" t="n"/>
      <c r="J31" s="165">
        <f>J29+J30</f>
        <v/>
      </c>
    </row>
    <row r="32" ht="25.5" customHeight="1" s="225">
      <c r="A32" s="286" t="n"/>
      <c r="B32" s="286" t="n"/>
      <c r="C32" s="289" t="inlineStr">
        <is>
          <t>в том числе технологическое оборудование</t>
        </is>
      </c>
      <c r="D32" s="286" t="n"/>
      <c r="E32" s="372" t="n"/>
      <c r="F32" s="291" t="n"/>
      <c r="G32" s="26">
        <f>'Прил.6 Расчет ОБ'!G13</f>
        <v/>
      </c>
      <c r="H32" s="292" t="n"/>
      <c r="I32" s="26" t="n"/>
      <c r="J32" s="26">
        <f>J31</f>
        <v/>
      </c>
    </row>
    <row r="33" ht="14.25" customFormat="1" customHeight="1" s="219">
      <c r="A33" s="286" t="n"/>
      <c r="B33" s="293" t="inlineStr">
        <is>
          <t>Материалы</t>
        </is>
      </c>
      <c r="C33" s="356" t="n"/>
      <c r="D33" s="356" t="n"/>
      <c r="E33" s="356" t="n"/>
      <c r="F33" s="356" t="n"/>
      <c r="G33" s="356" t="n"/>
      <c r="H33" s="357" t="n"/>
      <c r="I33" s="118" t="n"/>
      <c r="J33" s="118" t="n"/>
    </row>
    <row r="34" ht="14.25" customFormat="1" customHeight="1" s="219">
      <c r="A34" s="286" t="n"/>
      <c r="B34" s="289" t="inlineStr">
        <is>
          <t>Основные материалы</t>
        </is>
      </c>
      <c r="C34" s="356" t="n"/>
      <c r="D34" s="356" t="n"/>
      <c r="E34" s="356" t="n"/>
      <c r="F34" s="356" t="n"/>
      <c r="G34" s="356" t="n"/>
      <c r="H34" s="357" t="n"/>
      <c r="I34" s="118" t="n"/>
      <c r="J34" s="118" t="n"/>
    </row>
    <row r="35" ht="25.5" customFormat="1" customHeight="1" s="219">
      <c r="A35" s="286" t="n">
        <v>8</v>
      </c>
      <c r="B35" s="286" t="inlineStr">
        <is>
          <t>01.3.01.07-0009</t>
        </is>
      </c>
      <c r="C35" s="289" t="inlineStr">
        <is>
          <t>Спирт этиловый ректификованный технический, сорт I</t>
        </is>
      </c>
      <c r="D35" s="7" t="inlineStr">
        <is>
          <t>кг</t>
        </is>
      </c>
      <c r="E35" s="7" t="n">
        <v>57.6</v>
      </c>
      <c r="F35" s="308" t="n">
        <v>38.89</v>
      </c>
      <c r="G35" s="128">
        <f>ROUND(E35*F35,2)</f>
        <v/>
      </c>
      <c r="H35" s="292">
        <f>G35/$G$52</f>
        <v/>
      </c>
      <c r="I35" s="170">
        <f>ROUND(F35*Прил.10!$D$13,2)</f>
        <v/>
      </c>
      <c r="J35" s="170">
        <f>ROUND(I35*E35,2)</f>
        <v/>
      </c>
    </row>
    <row r="36" ht="14.25" customFormat="1" customHeight="1" s="219">
      <c r="A36" s="286" t="n">
        <v>9</v>
      </c>
      <c r="B36" s="286" t="inlineStr">
        <is>
          <t>01.7.15.03-0042</t>
        </is>
      </c>
      <c r="C36" s="289" t="inlineStr">
        <is>
          <t>Болты с гайками и шайбами строительные</t>
        </is>
      </c>
      <c r="D36" s="286" t="inlineStr">
        <is>
          <t>кг</t>
        </is>
      </c>
      <c r="E36" s="7" t="n">
        <v>180</v>
      </c>
      <c r="F36" s="26" t="n">
        <v>9.039999999999999</v>
      </c>
      <c r="G36" s="128">
        <f>ROUND(E36*F36,2)</f>
        <v/>
      </c>
      <c r="H36" s="292">
        <f>G36/$G$52</f>
        <v/>
      </c>
      <c r="I36" s="170">
        <f>ROUND(F36*Прил.10!$D$13,2)</f>
        <v/>
      </c>
      <c r="J36" s="170">
        <f>ROUND(I36*E36,2)</f>
        <v/>
      </c>
    </row>
    <row r="37" ht="25.5" customFormat="1" customHeight="1" s="219">
      <c r="A37" s="286" t="n">
        <v>10</v>
      </c>
      <c r="B37" s="286" t="inlineStr">
        <is>
          <t>999-9950</t>
        </is>
      </c>
      <c r="C37" s="289" t="inlineStr">
        <is>
          <t>Вспомогательные ненормируемые ресурсы (2% от Оплаты труда рабочих)</t>
        </is>
      </c>
      <c r="D37" s="286" t="inlineStr">
        <is>
          <t>руб</t>
        </is>
      </c>
      <c r="E37" s="7" t="n">
        <v>1177.56</v>
      </c>
      <c r="F37" s="26" t="n">
        <v>1</v>
      </c>
      <c r="G37" s="128">
        <f>ROUND(E37*F37,2)</f>
        <v/>
      </c>
      <c r="H37" s="292">
        <f>G37/$G$52</f>
        <v/>
      </c>
      <c r="I37" s="170">
        <f>ROUND(F37*Прил.10!$D$13,2)</f>
        <v/>
      </c>
      <c r="J37" s="170">
        <f>ROUND(I37*E37,2)</f>
        <v/>
      </c>
    </row>
    <row r="38" ht="14.25" customFormat="1" customHeight="1" s="219">
      <c r="A38" s="286" t="n">
        <v>11</v>
      </c>
      <c r="B38" s="286" t="inlineStr">
        <is>
          <t>01.7.20.08-0031</t>
        </is>
      </c>
      <c r="C38" s="289" t="inlineStr">
        <is>
          <t>Бязь суровая</t>
        </is>
      </c>
      <c r="D38" s="286" t="inlineStr">
        <is>
          <t>10 м2</t>
        </is>
      </c>
      <c r="E38" s="7" t="n">
        <v>13.5</v>
      </c>
      <c r="F38" s="26" t="n">
        <v>79.09999999999999</v>
      </c>
      <c r="G38" s="128">
        <f>ROUND(E38*F38,2)</f>
        <v/>
      </c>
      <c r="H38" s="292">
        <f>G38/$G$52</f>
        <v/>
      </c>
      <c r="I38" s="170">
        <f>ROUND(F38*Прил.10!$D$13,2)</f>
        <v/>
      </c>
      <c r="J38" s="170">
        <f>ROUND(I38*E38,2)</f>
        <v/>
      </c>
    </row>
    <row r="39" ht="14.25" customFormat="1" customHeight="1" s="219">
      <c r="A39" s="286" t="n">
        <v>12</v>
      </c>
      <c r="B39" s="286" t="inlineStr">
        <is>
          <t>01.7.17.11-0001</t>
        </is>
      </c>
      <c r="C39" s="289" t="inlineStr">
        <is>
          <t>Бумага шлифовальная</t>
        </is>
      </c>
      <c r="D39" s="286" t="inlineStr">
        <is>
          <t>кг</t>
        </is>
      </c>
      <c r="E39" s="7" t="n">
        <v>18</v>
      </c>
      <c r="F39" s="26" t="n">
        <v>50</v>
      </c>
      <c r="G39" s="128">
        <f>ROUND(E39*F39,2)</f>
        <v/>
      </c>
      <c r="H39" s="292">
        <f>G39/$G$52</f>
        <v/>
      </c>
      <c r="I39" s="170">
        <f>ROUND(F39*Прил.10!$D$13,2)</f>
        <v/>
      </c>
      <c r="J39" s="170">
        <f>ROUND(I39*E39,2)</f>
        <v/>
      </c>
    </row>
    <row r="40" ht="38.25" customFormat="1" customHeight="1" s="219">
      <c r="A40" s="286" t="n">
        <v>13</v>
      </c>
      <c r="B40" s="286" t="inlineStr">
        <is>
          <t>11.1.03.06-0021</t>
        </is>
      </c>
      <c r="C40" s="289" t="inlineStr">
        <is>
          <t>Доска обрезная, лиственных пород (береза, липа), длина 4-6,5 м, все ширины, толщина 19-22 мм, сорт II</t>
        </is>
      </c>
      <c r="D40" s="286" t="inlineStr">
        <is>
          <t>м3</t>
        </is>
      </c>
      <c r="E40" s="7" t="n">
        <v>0.288</v>
      </c>
      <c r="F40" s="26" t="n">
        <v>1784</v>
      </c>
      <c r="G40" s="128">
        <f>ROUND(E40*F40,2)</f>
        <v/>
      </c>
      <c r="H40" s="292">
        <f>G40/$G$52</f>
        <v/>
      </c>
      <c r="I40" s="170">
        <f>ROUND(F40*Прил.10!$D$13,2)</f>
        <v/>
      </c>
      <c r="J40" s="170">
        <f>ROUND(I40*E40,2)</f>
        <v/>
      </c>
    </row>
    <row r="41" ht="38.25" customFormat="1" customHeight="1" s="219">
      <c r="A41" s="286" t="n">
        <v>14</v>
      </c>
      <c r="B41" s="286" t="inlineStr">
        <is>
          <t>10.2.02.07-0109</t>
        </is>
      </c>
      <c r="C41" s="289" t="inlineStr">
        <is>
          <t>Проволока латунная, круглая, твердая, нормальной точности, марка Л68, диаметр 0,50 мм</t>
        </is>
      </c>
      <c r="D41" s="286" t="inlineStr">
        <is>
          <t>т</t>
        </is>
      </c>
      <c r="E41" s="7" t="n">
        <v>0.0072</v>
      </c>
      <c r="F41" s="26" t="n">
        <v>62000</v>
      </c>
      <c r="G41" s="128">
        <f>ROUND(E41*F41,2)</f>
        <v/>
      </c>
      <c r="H41" s="292">
        <f>G41/$G$52</f>
        <v/>
      </c>
      <c r="I41" s="170">
        <f>ROUND(F41*Прил.10!$D$13,2)</f>
        <v/>
      </c>
      <c r="J41" s="170">
        <f>ROUND(I41*E41,2)</f>
        <v/>
      </c>
    </row>
    <row r="42" ht="14.25" customFormat="1" customHeight="1" s="219">
      <c r="A42" s="288" t="n"/>
      <c r="B42" s="182" t="n"/>
      <c r="C42" s="177" t="inlineStr">
        <is>
          <t>Итого основные материалы</t>
        </is>
      </c>
      <c r="D42" s="288" t="n"/>
      <c r="E42" s="375" t="n"/>
      <c r="F42" s="183" t="n"/>
      <c r="G42" s="128">
        <f>SUM(G35:G41)</f>
        <v/>
      </c>
      <c r="H42" s="175">
        <f>G42/$G$52</f>
        <v/>
      </c>
      <c r="I42" s="184" t="n"/>
      <c r="J42" s="128">
        <f>SUM(J35:J41)</f>
        <v/>
      </c>
    </row>
    <row r="43" hidden="1" outlineLevel="1" ht="25.5" customFormat="1" customHeight="1" s="219">
      <c r="A43" s="288" t="n">
        <v>15</v>
      </c>
      <c r="B43" s="202" t="inlineStr">
        <is>
          <t>01.7.11.07-0034</t>
        </is>
      </c>
      <c r="C43" s="203" t="inlineStr">
        <is>
          <t>Электроды сварочные Э42А, диаметр 4 мм</t>
        </is>
      </c>
      <c r="D43" s="309" t="inlineStr">
        <is>
          <t>кг</t>
        </is>
      </c>
      <c r="E43" s="309" t="n">
        <v>18</v>
      </c>
      <c r="F43" s="207" t="n">
        <v>10.57</v>
      </c>
      <c r="G43" s="128">
        <f>ROUND(E43*F43,2)</f>
        <v/>
      </c>
      <c r="H43" s="292">
        <f>G43/$G$52</f>
        <v/>
      </c>
      <c r="I43" s="170">
        <f>ROUND(F43*Прил.10!$D$13,2)</f>
        <v/>
      </c>
      <c r="J43" s="170">
        <f>ROUND(I43*E43,2)</f>
        <v/>
      </c>
    </row>
    <row r="44" hidden="1" outlineLevel="1" ht="25.5" customFormat="1" customHeight="1" s="219">
      <c r="A44" s="288" t="n">
        <v>16</v>
      </c>
      <c r="B44" s="202" t="inlineStr">
        <is>
          <t>01.3.01.06-0050</t>
        </is>
      </c>
      <c r="C44" s="203" t="inlineStr">
        <is>
          <t>Смазка универсальная тугоплавкая УТ (консталин жировой)</t>
        </is>
      </c>
      <c r="D44" s="309" t="inlineStr">
        <is>
          <t>т</t>
        </is>
      </c>
      <c r="E44" s="309" t="n">
        <v>0.0108</v>
      </c>
      <c r="F44" s="207" t="n">
        <v>17500</v>
      </c>
      <c r="G44" s="128">
        <f>ROUND(E44*F44,2)</f>
        <v/>
      </c>
      <c r="H44" s="292">
        <f>G44/$G$52</f>
        <v/>
      </c>
      <c r="I44" s="170">
        <f>ROUND(F44*Прил.10!$D$13,2)</f>
        <v/>
      </c>
      <c r="J44" s="170">
        <f>ROUND(I44*E44,2)</f>
        <v/>
      </c>
    </row>
    <row r="45" hidden="1" outlineLevel="1" ht="14.25" customFormat="1" customHeight="1" s="219">
      <c r="A45" s="288" t="n">
        <v>17</v>
      </c>
      <c r="B45" s="202" t="inlineStr">
        <is>
          <t>14.4.02.09-0001</t>
        </is>
      </c>
      <c r="C45" s="203" t="inlineStr">
        <is>
          <t>Краска</t>
        </is>
      </c>
      <c r="D45" s="309" t="inlineStr">
        <is>
          <t>кг</t>
        </is>
      </c>
      <c r="E45" s="309" t="n">
        <v>6.48</v>
      </c>
      <c r="F45" s="207" t="n">
        <v>28.6</v>
      </c>
      <c r="G45" s="128">
        <f>ROUND(E45*F45,2)</f>
        <v/>
      </c>
      <c r="H45" s="292">
        <f>G45/$G$52</f>
        <v/>
      </c>
      <c r="I45" s="170">
        <f>ROUND(F45*Прил.10!$D$13,2)</f>
        <v/>
      </c>
      <c r="J45" s="170">
        <f>ROUND(I45*E45,2)</f>
        <v/>
      </c>
    </row>
    <row r="46" hidden="1" outlineLevel="1" ht="14.25" customFormat="1" customHeight="1" s="219">
      <c r="A46" s="288" t="n">
        <v>18</v>
      </c>
      <c r="B46" s="202" t="inlineStr">
        <is>
          <t>01.3.02.09-0022</t>
        </is>
      </c>
      <c r="C46" s="203" t="inlineStr">
        <is>
          <t>Пропан-бутан смесь техническая</t>
        </is>
      </c>
      <c r="D46" s="309" t="inlineStr">
        <is>
          <t>кг</t>
        </is>
      </c>
      <c r="E46" s="309" t="n">
        <v>18</v>
      </c>
      <c r="F46" s="207" t="n">
        <v>6.09</v>
      </c>
      <c r="G46" s="128">
        <f>ROUND(E46*F46,2)</f>
        <v/>
      </c>
      <c r="H46" s="292">
        <f>G46/$G$52</f>
        <v/>
      </c>
      <c r="I46" s="170">
        <f>ROUND(F46*Прил.10!$D$13,2)</f>
        <v/>
      </c>
      <c r="J46" s="170">
        <f>ROUND(I46*E46,2)</f>
        <v/>
      </c>
    </row>
    <row r="47" hidden="1" outlineLevel="1" ht="25.5" customFormat="1" customHeight="1" s="219">
      <c r="A47" s="288" t="n">
        <v>19</v>
      </c>
      <c r="B47" s="202" t="inlineStr">
        <is>
          <t>01.7.15.06-0121</t>
        </is>
      </c>
      <c r="C47" s="203" t="inlineStr">
        <is>
          <t>Гвозди строительные с плоской головкой, размер 1,6х50 мм</t>
        </is>
      </c>
      <c r="D47" s="309" t="inlineStr">
        <is>
          <t>т</t>
        </is>
      </c>
      <c r="E47" s="309" t="n">
        <v>0.0117</v>
      </c>
      <c r="F47" s="207" t="n">
        <v>8475</v>
      </c>
      <c r="G47" s="128">
        <f>ROUND(E47*F47,2)</f>
        <v/>
      </c>
      <c r="H47" s="292">
        <f>G47/$G$52</f>
        <v/>
      </c>
      <c r="I47" s="170">
        <f>ROUND(F47*Прил.10!$D$13,2)</f>
        <v/>
      </c>
      <c r="J47" s="170">
        <f>ROUND(I47*E47,2)</f>
        <v/>
      </c>
    </row>
    <row r="48" hidden="1" outlineLevel="1" ht="14.25" customFormat="1" customHeight="1" s="219">
      <c r="A48" s="288" t="n">
        <v>20</v>
      </c>
      <c r="B48" s="202" t="inlineStr">
        <is>
          <t>01.3.02.08-0001</t>
        </is>
      </c>
      <c r="C48" s="203" t="inlineStr">
        <is>
          <t>Кислород газообразный технический</t>
        </is>
      </c>
      <c r="D48" s="309" t="inlineStr">
        <is>
          <t>м3</t>
        </is>
      </c>
      <c r="E48" s="309" t="n">
        <v>14.4</v>
      </c>
      <c r="F48" s="207" t="n">
        <v>6.22</v>
      </c>
      <c r="G48" s="128">
        <f>ROUND(E48*F48,2)</f>
        <v/>
      </c>
      <c r="H48" s="292">
        <f>G48/$G$52</f>
        <v/>
      </c>
      <c r="I48" s="170">
        <f>ROUND(F48*Прил.10!$D$13,2)</f>
        <v/>
      </c>
      <c r="J48" s="170">
        <f>ROUND(I48*E48,2)</f>
        <v/>
      </c>
    </row>
    <row r="49" hidden="1" outlineLevel="1" ht="25.5" customFormat="1" customHeight="1" s="219">
      <c r="A49" s="288" t="n">
        <v>21</v>
      </c>
      <c r="B49" s="202" t="inlineStr">
        <is>
          <t>01.7.07.12-0022</t>
        </is>
      </c>
      <c r="C49" s="203" t="inlineStr">
        <is>
          <t>Пленка полиэтиленовая, толщина 0,2-0,5 мм</t>
        </is>
      </c>
      <c r="D49" s="309" t="inlineStr">
        <is>
          <t>м2</t>
        </is>
      </c>
      <c r="E49" s="309" t="n">
        <v>1.8396</v>
      </c>
      <c r="F49" s="207" t="n">
        <v>12.19</v>
      </c>
      <c r="G49" s="128">
        <f>ROUND(E49*F49,2)</f>
        <v/>
      </c>
      <c r="H49" s="292">
        <f>G49/$G$52</f>
        <v/>
      </c>
      <c r="I49" s="170">
        <f>ROUND(F49*Прил.10!$D$13,2)</f>
        <v/>
      </c>
      <c r="J49" s="170">
        <f>ROUND(I49*E49,2)</f>
        <v/>
      </c>
    </row>
    <row r="50" hidden="1" outlineLevel="1" ht="14.25" customFormat="1" customHeight="1" s="219">
      <c r="A50" s="288" t="n">
        <v>22</v>
      </c>
      <c r="B50" s="202" t="inlineStr">
        <is>
          <t>01.7.02.09-0002</t>
        </is>
      </c>
      <c r="C50" s="203" t="inlineStr">
        <is>
          <t>Шпагат бумажный</t>
        </is>
      </c>
      <c r="D50" s="309" t="inlineStr">
        <is>
          <t>кг</t>
        </is>
      </c>
      <c r="E50" s="309" t="n">
        <v>0.18</v>
      </c>
      <c r="F50" s="207" t="n">
        <v>11.5</v>
      </c>
      <c r="G50" s="128">
        <f>ROUND(E50*F50,2)</f>
        <v/>
      </c>
      <c r="H50" s="292">
        <f>G50/$G$52</f>
        <v/>
      </c>
      <c r="I50" s="170">
        <f>ROUND(F50*Прил.10!$D$13,2)</f>
        <v/>
      </c>
      <c r="J50" s="170">
        <f>ROUND(I50*E50,2)</f>
        <v/>
      </c>
    </row>
    <row r="51" collapsed="1" ht="14.25" customFormat="1" customHeight="1" s="219">
      <c r="A51" s="286" t="n"/>
      <c r="B51" s="286" t="n"/>
      <c r="C51" s="289" t="inlineStr">
        <is>
          <t>Итого прочие материалы</t>
        </is>
      </c>
      <c r="D51" s="286" t="n"/>
      <c r="E51" s="290" t="n"/>
      <c r="F51" s="291" t="n"/>
      <c r="G51" s="128">
        <f>SUM(G43:G50)</f>
        <v/>
      </c>
      <c r="H51" s="292">
        <f>G51/$G$52</f>
        <v/>
      </c>
      <c r="I51" s="26" t="n"/>
      <c r="J51" s="128">
        <f>SUM(J43:J50)</f>
        <v/>
      </c>
    </row>
    <row r="52" ht="14.25" customFormat="1" customHeight="1" s="219">
      <c r="A52" s="286" t="n"/>
      <c r="B52" s="286" t="n"/>
      <c r="C52" s="293" t="inlineStr">
        <is>
          <t>Итого по разделу «Материалы»</t>
        </is>
      </c>
      <c r="D52" s="286" t="n"/>
      <c r="E52" s="290" t="n"/>
      <c r="F52" s="291" t="n"/>
      <c r="G52" s="26">
        <f>G42+G51</f>
        <v/>
      </c>
      <c r="H52" s="292">
        <f>G52/$G$52</f>
        <v/>
      </c>
      <c r="I52" s="26" t="n"/>
      <c r="J52" s="26">
        <f>J42+J51</f>
        <v/>
      </c>
    </row>
    <row r="53" ht="14.25" customFormat="1" customHeight="1" s="219">
      <c r="A53" s="286" t="n"/>
      <c r="B53" s="286" t="n"/>
      <c r="C53" s="289" t="inlineStr">
        <is>
          <t>ИТОГО ПО РМ</t>
        </is>
      </c>
      <c r="D53" s="286" t="n"/>
      <c r="E53" s="290" t="n"/>
      <c r="F53" s="291" t="n"/>
      <c r="G53" s="26">
        <f>G14+G25+G52</f>
        <v/>
      </c>
      <c r="H53" s="294" t="n"/>
      <c r="I53" s="26" t="n"/>
      <c r="J53" s="26">
        <f>J14+J25+J52</f>
        <v/>
      </c>
    </row>
    <row r="54" ht="14.25" customFormat="1" customHeight="1" s="219">
      <c r="A54" s="286" t="n"/>
      <c r="B54" s="286" t="n"/>
      <c r="C54" s="289" t="inlineStr">
        <is>
          <t>Накладные расходы</t>
        </is>
      </c>
      <c r="D54" s="124">
        <f>ROUND(G54/(G$16+$G$14),2)</f>
        <v/>
      </c>
      <c r="E54" s="290" t="n"/>
      <c r="F54" s="291" t="n"/>
      <c r="G54" s="26" t="n">
        <v>135078.01</v>
      </c>
      <c r="H54" s="294" t="n"/>
      <c r="I54" s="26" t="n"/>
      <c r="J54" s="26">
        <f>ROUND(D54*(J14+J16),2)</f>
        <v/>
      </c>
    </row>
    <row r="55" ht="14.25" customFormat="1" customHeight="1" s="219">
      <c r="A55" s="286" t="n"/>
      <c r="B55" s="286" t="n"/>
      <c r="C55" s="289" t="inlineStr">
        <is>
          <t>Сметная прибыль</t>
        </is>
      </c>
      <c r="D55" s="124">
        <f>ROUND(G55/(G$14+G$16),2)</f>
        <v/>
      </c>
      <c r="E55" s="290" t="n"/>
      <c r="F55" s="291" t="n"/>
      <c r="G55" s="26" t="n">
        <v>71020.44</v>
      </c>
      <c r="H55" s="294" t="n"/>
      <c r="I55" s="26" t="n"/>
      <c r="J55" s="26">
        <f>ROUND(D55*(J14+J16),2)</f>
        <v/>
      </c>
    </row>
    <row r="56" ht="14.25" customFormat="1" customHeight="1" s="219">
      <c r="A56" s="286" t="n"/>
      <c r="B56" s="286" t="n"/>
      <c r="C56" s="289" t="inlineStr">
        <is>
          <t>Итого СМР (с НР и СП)</t>
        </is>
      </c>
      <c r="D56" s="286" t="n"/>
      <c r="E56" s="290" t="n"/>
      <c r="F56" s="291" t="n"/>
      <c r="G56" s="26">
        <f>ROUND((G14+G25+G52+G54+G55),2)</f>
        <v/>
      </c>
      <c r="H56" s="294" t="n"/>
      <c r="I56" s="26" t="n"/>
      <c r="J56" s="26">
        <f>ROUND((J14+J25+J52+J54+J55),2)</f>
        <v/>
      </c>
    </row>
    <row r="57" ht="14.25" customFormat="1" customHeight="1" s="219">
      <c r="A57" s="286" t="n"/>
      <c r="B57" s="286" t="n"/>
      <c r="C57" s="289" t="inlineStr">
        <is>
          <t>ВСЕГО СМР + ОБОРУДОВАНИЕ</t>
        </is>
      </c>
      <c r="D57" s="286" t="n"/>
      <c r="E57" s="290" t="n"/>
      <c r="F57" s="291" t="n"/>
      <c r="G57" s="26">
        <f>G56+G31</f>
        <v/>
      </c>
      <c r="H57" s="294" t="n"/>
      <c r="I57" s="26" t="n"/>
      <c r="J57" s="26">
        <f>J56+J31</f>
        <v/>
      </c>
    </row>
    <row r="58" ht="34.5" customFormat="1" customHeight="1" s="219">
      <c r="A58" s="286" t="n"/>
      <c r="B58" s="286" t="n"/>
      <c r="C58" s="289" t="inlineStr">
        <is>
          <t>ИТОГО ПОКАЗАТЕЛЬ НА ЕД. ИЗМ.</t>
        </is>
      </c>
      <c r="D58" s="286" t="inlineStr">
        <is>
          <t>ед.</t>
        </is>
      </c>
      <c r="E58" s="290" t="n">
        <v>18</v>
      </c>
      <c r="F58" s="291" t="n"/>
      <c r="G58" s="26">
        <f>G57/E58</f>
        <v/>
      </c>
      <c r="H58" s="294" t="n"/>
      <c r="I58" s="26" t="n"/>
      <c r="J58" s="26">
        <f>J57/E58</f>
        <v/>
      </c>
    </row>
    <row r="60" ht="14.25" customFormat="1" customHeight="1" s="219">
      <c r="A60" s="218" t="inlineStr">
        <is>
          <t xml:space="preserve">Составил ______________________     Р.Р. Шагеева </t>
        </is>
      </c>
    </row>
    <row r="61" ht="14.25" customFormat="1" customHeight="1" s="219">
      <c r="A61" s="221" t="inlineStr">
        <is>
          <t xml:space="preserve">                         (подпись, инициалы, фамилия)</t>
        </is>
      </c>
    </row>
    <row r="62" ht="14.25" customFormat="1" customHeight="1" s="219">
      <c r="A62" s="218" t="n"/>
    </row>
    <row r="63" ht="14.25" customFormat="1" customHeight="1" s="219">
      <c r="A63" s="218" t="inlineStr">
        <is>
          <t>Проверил ______________________        А.В. Костянецкая</t>
        </is>
      </c>
    </row>
    <row r="64" ht="14.25" customFormat="1" customHeight="1" s="219">
      <c r="A64" s="2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5" min="1" max="1"/>
    <col width="17.5703125" customWidth="1" style="225" min="2" max="2"/>
    <col width="39.140625" customWidth="1" style="225" min="3" max="3"/>
    <col width="10.7109375" customWidth="1" style="225" min="4" max="4"/>
    <col width="13.85546875" customWidth="1" style="225" min="5" max="5"/>
    <col width="13.28515625" customWidth="1" style="225" min="6" max="6"/>
    <col width="14.140625" customWidth="1" style="225" min="7" max="7"/>
  </cols>
  <sheetData>
    <row r="1">
      <c r="A1" s="304" t="inlineStr">
        <is>
          <t>Приложение №6</t>
        </is>
      </c>
    </row>
    <row r="2" ht="21.75" customHeight="1" s="225">
      <c r="A2" s="304" t="n"/>
      <c r="B2" s="304" t="n"/>
      <c r="C2" s="304" t="n"/>
      <c r="D2" s="304" t="n"/>
      <c r="E2" s="304" t="n"/>
      <c r="F2" s="304" t="n"/>
      <c r="G2" s="304" t="n"/>
    </row>
    <row r="3">
      <c r="A3" s="250" t="inlineStr">
        <is>
          <t>Расчет стоимости оборудования</t>
        </is>
      </c>
    </row>
    <row r="4" ht="25.5" customHeight="1" s="225">
      <c r="A4" s="253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" customHeight="1" s="225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6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57" t="n"/>
    </row>
    <row r="7">
      <c r="A7" s="359" t="n"/>
      <c r="B7" s="359" t="n"/>
      <c r="C7" s="359" t="n"/>
      <c r="D7" s="359" t="n"/>
      <c r="E7" s="359" t="n"/>
      <c r="F7" s="286" t="inlineStr">
        <is>
          <t>на ед. изм.</t>
        </is>
      </c>
      <c r="G7" s="286" t="inlineStr">
        <is>
          <t>общая</t>
        </is>
      </c>
    </row>
    <row r="8">
      <c r="A8" s="286" t="n">
        <v>1</v>
      </c>
      <c r="B8" s="286" t="n">
        <v>2</v>
      </c>
      <c r="C8" s="286" t="n">
        <v>3</v>
      </c>
      <c r="D8" s="286" t="n">
        <v>4</v>
      </c>
      <c r="E8" s="286" t="n">
        <v>5</v>
      </c>
      <c r="F8" s="286" t="n">
        <v>6</v>
      </c>
      <c r="G8" s="286" t="n">
        <v>7</v>
      </c>
    </row>
    <row r="9" ht="15" customHeight="1" s="225">
      <c r="A9" s="98" t="n"/>
      <c r="B9" s="289" t="inlineStr">
        <is>
          <t>ИНЖЕНЕРНОЕ ОБОРУДОВАНИЕ</t>
        </is>
      </c>
      <c r="C9" s="356" t="n"/>
      <c r="D9" s="356" t="n"/>
      <c r="E9" s="356" t="n"/>
      <c r="F9" s="356" t="n"/>
      <c r="G9" s="357" t="n"/>
    </row>
    <row r="10" ht="27" customHeight="1" s="225">
      <c r="A10" s="288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86" t="n"/>
      <c r="B11" s="289" t="inlineStr">
        <is>
          <t>ТЕХНОЛОГИЧЕСКОЕ ОБОРУДОВАНИЕ</t>
        </is>
      </c>
      <c r="C11" s="356" t="n"/>
      <c r="D11" s="356" t="n"/>
      <c r="E11" s="356" t="n"/>
      <c r="F11" s="356" t="n"/>
      <c r="G11" s="357" t="n"/>
    </row>
    <row r="12" ht="30.75" customHeight="1" s="225">
      <c r="A12" s="286" t="n"/>
      <c r="B12" s="168">
        <f>'Прил.5 Расчет СМР и ОБ'!B28</f>
        <v/>
      </c>
      <c r="C12" s="289">
        <f>'Прил.5 Расчет СМР и ОБ'!C28</f>
        <v/>
      </c>
      <c r="D12" s="286">
        <f>'Прил.5 Расчет СМР и ОБ'!D28</f>
        <v/>
      </c>
      <c r="E12" s="286">
        <f>'Прил.5 Расчет СМР и ОБ'!E28</f>
        <v/>
      </c>
      <c r="F12" s="376">
        <f>'Прил.5 Расчет СМР и ОБ'!F28</f>
        <v/>
      </c>
      <c r="G12" s="376">
        <f>'Прил.5 Расчет СМР и ОБ'!G28</f>
        <v/>
      </c>
    </row>
    <row r="13" ht="25.5" customHeight="1" s="225">
      <c r="A13" s="286" t="n"/>
      <c r="B13" s="289" t="n"/>
      <c r="C13" s="289" t="inlineStr">
        <is>
          <t>ИТОГО ТЕХНОЛОГИЧЕСКОЕ ОБОРУДОВАНИЕ</t>
        </is>
      </c>
      <c r="D13" s="289" t="n"/>
      <c r="E13" s="308" t="n"/>
      <c r="F13" s="291" t="n"/>
      <c r="G13" s="26">
        <f>SUM(G12:G12)</f>
        <v/>
      </c>
    </row>
    <row r="14" ht="19.5" customHeight="1" s="225">
      <c r="A14" s="286" t="n"/>
      <c r="B14" s="289" t="n"/>
      <c r="C14" s="289" t="inlineStr">
        <is>
          <t>Всего по разделу «Оборудование»</t>
        </is>
      </c>
      <c r="D14" s="289" t="n"/>
      <c r="E14" s="308" t="n"/>
      <c r="F14" s="291" t="n"/>
      <c r="G14" s="26">
        <f>G10+G13</f>
        <v/>
      </c>
    </row>
    <row r="15">
      <c r="A15" s="220" t="n"/>
      <c r="B15" s="99" t="n"/>
      <c r="C15" s="220" t="n"/>
      <c r="D15" s="220" t="n"/>
      <c r="E15" s="220" t="n"/>
      <c r="F15" s="220" t="n"/>
      <c r="G15" s="220" t="n"/>
    </row>
    <row r="16">
      <c r="A16" s="218" t="inlineStr">
        <is>
          <t xml:space="preserve">Составил ______________________    Р.Р. Шагеева </t>
        </is>
      </c>
      <c r="B16" s="219" t="n"/>
      <c r="C16" s="219" t="n"/>
      <c r="D16" s="220" t="n"/>
      <c r="E16" s="220" t="n"/>
      <c r="F16" s="220" t="n"/>
      <c r="G16" s="220" t="n"/>
    </row>
    <row r="17">
      <c r="A17" s="221" t="inlineStr">
        <is>
          <t xml:space="preserve">                         (подпись, инициалы, фамилия)</t>
        </is>
      </c>
      <c r="B17" s="219" t="n"/>
      <c r="C17" s="219" t="n"/>
      <c r="D17" s="220" t="n"/>
      <c r="E17" s="220" t="n"/>
      <c r="F17" s="220" t="n"/>
      <c r="G17" s="220" t="n"/>
    </row>
    <row r="18">
      <c r="A18" s="218" t="n"/>
      <c r="B18" s="219" t="n"/>
      <c r="C18" s="219" t="n"/>
      <c r="D18" s="220" t="n"/>
      <c r="E18" s="220" t="n"/>
      <c r="F18" s="220" t="n"/>
      <c r="G18" s="220" t="n"/>
    </row>
    <row r="19">
      <c r="A19" s="218" t="inlineStr">
        <is>
          <t>Проверил ______________________        А.В. Костянецкая</t>
        </is>
      </c>
      <c r="B19" s="219" t="n"/>
      <c r="C19" s="219" t="n"/>
      <c r="D19" s="220" t="n"/>
      <c r="E19" s="220" t="n"/>
      <c r="F19" s="220" t="n"/>
      <c r="G19" s="220" t="n"/>
    </row>
    <row r="20">
      <c r="A20" s="221" t="inlineStr">
        <is>
          <t xml:space="preserve">                        (подпись, инициалы, фамилия)</t>
        </is>
      </c>
      <c r="B20" s="219" t="n"/>
      <c r="C20" s="219" t="n"/>
      <c r="D20" s="220" t="n"/>
      <c r="E20" s="220" t="n"/>
      <c r="F20" s="220" t="n"/>
      <c r="G20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5" min="1" max="1"/>
    <col width="22.42578125" customWidth="1" style="225" min="2" max="2"/>
    <col width="37.140625" customWidth="1" style="225" min="3" max="3"/>
    <col width="49" customWidth="1" style="225" min="4" max="4"/>
    <col width="9.140625" customWidth="1" style="225" min="5" max="5"/>
  </cols>
  <sheetData>
    <row r="1" ht="15.75" customHeight="1" s="225">
      <c r="A1" s="227" t="n"/>
      <c r="B1" s="227" t="n"/>
      <c r="C1" s="227" t="n"/>
      <c r="D1" s="227" t="inlineStr">
        <is>
          <t>Приложение №7</t>
        </is>
      </c>
    </row>
    <row r="2" ht="15.75" customHeight="1" s="225">
      <c r="A2" s="227" t="n"/>
      <c r="B2" s="227" t="n"/>
      <c r="C2" s="227" t="n"/>
      <c r="D2" s="227" t="n"/>
    </row>
    <row r="3" ht="15.75" customHeight="1" s="225">
      <c r="A3" s="227" t="n"/>
      <c r="B3" s="213" t="inlineStr">
        <is>
          <t>Расчет показателя УНЦ</t>
        </is>
      </c>
      <c r="C3" s="227" t="n"/>
      <c r="D3" s="227" t="n"/>
    </row>
    <row r="4" ht="15.75" customHeight="1" s="225">
      <c r="A4" s="227" t="n"/>
      <c r="B4" s="227" t="n"/>
      <c r="C4" s="227" t="n"/>
      <c r="D4" s="227" t="n"/>
    </row>
    <row r="5" ht="63" customHeight="1" s="225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25">
      <c r="A6" s="227" t="inlineStr">
        <is>
          <t>Единица измерения  — 1 ед</t>
        </is>
      </c>
      <c r="B6" s="227" t="n"/>
      <c r="C6" s="227" t="n"/>
      <c r="D6" s="227" t="n"/>
    </row>
    <row r="7" ht="15.75" customHeight="1" s="225">
      <c r="A7" s="227" t="n"/>
      <c r="B7" s="227" t="n"/>
      <c r="C7" s="227" t="n"/>
      <c r="D7" s="227" t="n"/>
    </row>
    <row r="8">
      <c r="A8" s="264" t="inlineStr">
        <is>
          <t>Код показателя</t>
        </is>
      </c>
      <c r="B8" s="264" t="inlineStr">
        <is>
          <t>Наименование показателя</t>
        </is>
      </c>
      <c r="C8" s="264" t="inlineStr">
        <is>
          <t>Наименование РМ, входящих в состав показателя</t>
        </is>
      </c>
      <c r="D8" s="264" t="inlineStr">
        <is>
          <t>Норматив цены на 01.01.2023, тыс.руб.</t>
        </is>
      </c>
    </row>
    <row r="9">
      <c r="A9" s="359" t="n"/>
      <c r="B9" s="359" t="n"/>
      <c r="C9" s="359" t="n"/>
      <c r="D9" s="359" t="n"/>
    </row>
    <row r="10" ht="15.75" customHeight="1" s="225">
      <c r="A10" s="264" t="n">
        <v>1</v>
      </c>
      <c r="B10" s="264" t="n">
        <v>2</v>
      </c>
      <c r="C10" s="264" t="n">
        <v>3</v>
      </c>
      <c r="D10" s="264" t="n">
        <v>4</v>
      </c>
    </row>
    <row r="11" ht="78.75" customHeight="1" s="225">
      <c r="A11" s="264" t="inlineStr">
        <is>
          <t>И8-02-1</t>
        </is>
      </c>
      <c r="B11" s="264" t="inlineStr">
        <is>
          <t xml:space="preserve">УНЦ бакового выключателя 110 - 500 кВ без устройства фундаментов </t>
        </is>
      </c>
      <c r="C11" s="216">
        <f>D5</f>
        <v/>
      </c>
      <c r="D11" s="233">
        <f>'Прил.4 РМ'!C41/1000</f>
        <v/>
      </c>
    </row>
    <row r="13">
      <c r="A13" s="218" t="inlineStr">
        <is>
          <t xml:space="preserve">Составил ______________________     Р.Р. Шагеева 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 ht="20.25" customHeight="1" s="225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225" min="1" max="1"/>
    <col width="40.7109375" customWidth="1" style="225" min="2" max="2"/>
    <col width="37" customWidth="1" style="225" min="3" max="3"/>
    <col width="32" customWidth="1" style="225" min="4" max="4"/>
    <col width="9.140625" customWidth="1" style="225" min="5" max="5"/>
  </cols>
  <sheetData>
    <row r="4" ht="15.75" customHeight="1" s="225">
      <c r="B4" s="257" t="inlineStr">
        <is>
          <t>Приложение № 10</t>
        </is>
      </c>
    </row>
    <row r="5" ht="18.75" customHeight="1" s="225">
      <c r="B5" s="110" t="n"/>
    </row>
    <row r="6" ht="15.75" customHeight="1" s="225">
      <c r="B6" s="258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25">
      <c r="B9" s="264" t="inlineStr">
        <is>
          <t>Наименование индекса / норм сопутствующих затрат</t>
        </is>
      </c>
      <c r="C9" s="264" t="inlineStr">
        <is>
          <t>Дата применения и обоснование индекса / норм сопутствующих затрат</t>
        </is>
      </c>
      <c r="D9" s="264" t="inlineStr">
        <is>
          <t>Размер индекса / норма сопутствующих затрат</t>
        </is>
      </c>
    </row>
    <row r="10" ht="15.75" customHeight="1" s="225">
      <c r="B10" s="264" t="n">
        <v>1</v>
      </c>
      <c r="C10" s="264" t="n">
        <v>2</v>
      </c>
      <c r="D10" s="264" t="n">
        <v>3</v>
      </c>
    </row>
    <row r="11" ht="45" customHeight="1" s="225">
      <c r="B11" s="264" t="inlineStr">
        <is>
          <t xml:space="preserve">Индекс изменения сметной стоимости на 1 квартал 2023 года. ОЗП </t>
        </is>
      </c>
      <c r="C11" s="264" t="inlineStr">
        <is>
          <t>Письмо Минстроя России от 30.03.2023г. №17106-ИФ/09  прил.1</t>
        </is>
      </c>
      <c r="D11" s="264" t="n">
        <v>44.29</v>
      </c>
    </row>
    <row r="12" ht="29.25" customHeight="1" s="225">
      <c r="B12" s="264" t="inlineStr">
        <is>
          <t>Индекс изменения сметной стоимости на 1 квартал 2023 года. ЭМ</t>
        </is>
      </c>
      <c r="C12" s="264" t="inlineStr">
        <is>
          <t>Письмо Минстроя России от 30.03.2023г. №17106-ИФ/09  прил.1</t>
        </is>
      </c>
      <c r="D12" s="264" t="n">
        <v>13.47</v>
      </c>
    </row>
    <row r="13" ht="29.25" customHeight="1" s="225">
      <c r="B13" s="264" t="inlineStr">
        <is>
          <t>Индекс изменения сметной стоимости на 1 квартал 2023 года. МАТ</t>
        </is>
      </c>
      <c r="C13" s="264" t="inlineStr">
        <is>
          <t>Письмо Минстроя России от 30.03.2023г. №17106-ИФ/09  прил.1</t>
        </is>
      </c>
      <c r="D13" s="264" t="n">
        <v>8.039999999999999</v>
      </c>
    </row>
    <row r="14" ht="30.75" customHeight="1" s="225">
      <c r="B14" s="264" t="inlineStr">
        <is>
          <t>Индекс изменения сметной стоимости на 1 квартал 2023 года. ОБ</t>
        </is>
      </c>
      <c r="C14" s="264" t="inlineStr">
        <is>
          <t>Письмо Минстроя России от 23.02.2023г. №9791-ИФ/09 прил.6</t>
        </is>
      </c>
      <c r="D14" s="264" t="n">
        <v>6.26</v>
      </c>
    </row>
    <row r="15" ht="89.25" customHeight="1" s="225">
      <c r="B15" s="264" t="inlineStr">
        <is>
          <t>Временные здания и сооружения</t>
        </is>
      </c>
      <c r="C15" s="264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223" t="n">
        <v>0.039</v>
      </c>
    </row>
    <row r="16" ht="78.75" customHeight="1" s="225">
      <c r="B16" s="264" t="inlineStr">
        <is>
          <t>Дополнительные затраты при производстве строительно-монтажных работ в зимнее время</t>
        </is>
      </c>
      <c r="C16" s="2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23" t="n">
        <v>0.021</v>
      </c>
    </row>
    <row r="17" ht="31.5" customHeight="1" s="225">
      <c r="B17" s="264" t="inlineStr">
        <is>
          <t>Пусконаладочные работы</t>
        </is>
      </c>
      <c r="C17" s="264" t="n"/>
      <c r="D17" s="264" t="inlineStr">
        <is>
          <t>расчет</t>
        </is>
      </c>
    </row>
    <row r="18" ht="31.5" customHeight="1" s="225">
      <c r="B18" s="264" t="inlineStr">
        <is>
          <t>Строительный контроль</t>
        </is>
      </c>
      <c r="C18" s="264" t="inlineStr">
        <is>
          <t>Постановление Правительства РФ от 21.06.10 г. № 468</t>
        </is>
      </c>
      <c r="D18" s="223" t="n">
        <v>0.0214</v>
      </c>
    </row>
    <row r="19" ht="24" customHeight="1" s="225">
      <c r="B19" s="264" t="inlineStr">
        <is>
          <t>Авторский надзор</t>
        </is>
      </c>
      <c r="C19" s="264" t="inlineStr">
        <is>
          <t>Приказ от 4.08.2020 № 421/пр п.173</t>
        </is>
      </c>
      <c r="D19" s="223" t="n">
        <v>0.002</v>
      </c>
    </row>
    <row r="20" ht="18.75" customHeight="1" s="225">
      <c r="B20" s="264" t="inlineStr">
        <is>
          <t>Непредвиденные расходы</t>
        </is>
      </c>
      <c r="C20" s="264" t="inlineStr">
        <is>
          <t>Приказ от 4.08.2020 № 421/пр п.179</t>
        </is>
      </c>
      <c r="D20" s="223" t="n">
        <v>0.03</v>
      </c>
    </row>
    <row r="21" ht="18.75" customHeight="1" s="225">
      <c r="B21" s="111" t="n"/>
    </row>
    <row r="22" ht="18.75" customHeight="1" s="225">
      <c r="B22" s="111" t="n"/>
    </row>
    <row r="23" ht="18.75" customHeight="1" s="225">
      <c r="B23" s="111" t="n"/>
    </row>
    <row r="26">
      <c r="B26" s="218" t="inlineStr">
        <is>
          <t xml:space="preserve">Составил ______________________        Р.Р. Шагеева 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225" min="2" max="2"/>
    <col width="13" customWidth="1" style="225" min="3" max="3"/>
    <col width="22.85546875" customWidth="1" style="225" min="4" max="4"/>
    <col width="21.5703125" customWidth="1" style="225" min="5" max="5"/>
    <col width="43.85546875" customWidth="1" style="225" min="6" max="6"/>
  </cols>
  <sheetData>
    <row r="1" s="225"/>
    <row r="2" ht="17.25" customHeight="1" s="225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3" s="225"/>
    <row r="4" ht="18" customHeight="1" s="225">
      <c r="A4" s="226" t="inlineStr">
        <is>
          <t>Составлен в уровне цен на 01.01.2023 г.</t>
        </is>
      </c>
      <c r="B4" s="227" t="n"/>
      <c r="C4" s="227" t="n"/>
      <c r="D4" s="227" t="n"/>
      <c r="E4" s="227" t="n"/>
      <c r="F4" s="227" t="n"/>
      <c r="G4" s="227" t="n"/>
    </row>
    <row r="5" ht="15.75" customHeight="1" s="225">
      <c r="A5" s="228" t="inlineStr">
        <is>
          <t>№ пп.</t>
        </is>
      </c>
      <c r="B5" s="228" t="inlineStr">
        <is>
          <t>Наименование элемента</t>
        </is>
      </c>
      <c r="C5" s="228" t="inlineStr">
        <is>
          <t>Обозначение</t>
        </is>
      </c>
      <c r="D5" s="228" t="inlineStr">
        <is>
          <t>Формула</t>
        </is>
      </c>
      <c r="E5" s="228" t="inlineStr">
        <is>
          <t>Величина элемента</t>
        </is>
      </c>
      <c r="F5" s="228" t="inlineStr">
        <is>
          <t>Наименования обосновывающих документов</t>
        </is>
      </c>
      <c r="G5" s="227" t="n"/>
    </row>
    <row r="6" ht="15.75" customHeight="1" s="225">
      <c r="A6" s="228" t="n">
        <v>1</v>
      </c>
      <c r="B6" s="228" t="n">
        <v>2</v>
      </c>
      <c r="C6" s="228" t="n">
        <v>3</v>
      </c>
      <c r="D6" s="228" t="n">
        <v>4</v>
      </c>
      <c r="E6" s="228" t="n">
        <v>5</v>
      </c>
      <c r="F6" s="228" t="n">
        <v>6</v>
      </c>
      <c r="G6" s="227" t="n"/>
    </row>
    <row r="7" ht="110.25" customHeight="1" s="225">
      <c r="A7" s="229" t="inlineStr">
        <is>
          <t>1.1</t>
        </is>
      </c>
      <c r="B7" s="2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4" t="inlineStr">
        <is>
          <t>С1ср</t>
        </is>
      </c>
      <c r="D7" s="264" t="inlineStr">
        <is>
          <t>-</t>
        </is>
      </c>
      <c r="E7" s="232" t="n">
        <v>47872.94</v>
      </c>
      <c r="F7" s="2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7" t="n"/>
    </row>
    <row r="8" ht="31.5" customHeight="1" s="225">
      <c r="A8" s="229" t="inlineStr">
        <is>
          <t>1.2</t>
        </is>
      </c>
      <c r="B8" s="234" t="inlineStr">
        <is>
          <t>Среднегодовое нормативное число часов работы одного рабочего в месяц, часы (ч.)</t>
        </is>
      </c>
      <c r="C8" s="264" t="inlineStr">
        <is>
          <t>tср</t>
        </is>
      </c>
      <c r="D8" s="264" t="inlineStr">
        <is>
          <t>1973ч/12мес.</t>
        </is>
      </c>
      <c r="E8" s="233">
        <f>1973/12</f>
        <v/>
      </c>
      <c r="F8" s="234" t="inlineStr">
        <is>
          <t>Производственный календарь 2023 год
(40-часов.неделя)</t>
        </is>
      </c>
      <c r="G8" s="236" t="n"/>
    </row>
    <row r="9" ht="15.75" customHeight="1" s="225">
      <c r="A9" s="229" t="inlineStr">
        <is>
          <t>1.3</t>
        </is>
      </c>
      <c r="B9" s="234" t="inlineStr">
        <is>
          <t>Коэффициент увеличения</t>
        </is>
      </c>
      <c r="C9" s="264" t="inlineStr">
        <is>
          <t>Кув</t>
        </is>
      </c>
      <c r="D9" s="264" t="inlineStr">
        <is>
          <t>-</t>
        </is>
      </c>
      <c r="E9" s="233" t="n">
        <v>1</v>
      </c>
      <c r="F9" s="234" t="n"/>
      <c r="G9" s="236" t="n"/>
    </row>
    <row r="10" ht="15.75" customHeight="1" s="225">
      <c r="A10" s="229" t="inlineStr">
        <is>
          <t>1.4</t>
        </is>
      </c>
      <c r="B10" s="234" t="inlineStr">
        <is>
          <t>Средний разряд работ</t>
        </is>
      </c>
      <c r="C10" s="264" t="n"/>
      <c r="D10" s="264" t="n"/>
      <c r="E10" s="377" t="n">
        <v>4</v>
      </c>
      <c r="F10" s="234" t="inlineStr">
        <is>
          <t>РТМ</t>
        </is>
      </c>
      <c r="G10" s="236" t="n"/>
    </row>
    <row r="11" ht="78.75" customHeight="1" s="225">
      <c r="A11" s="229" t="inlineStr">
        <is>
          <t>1.5</t>
        </is>
      </c>
      <c r="B11" s="234" t="inlineStr">
        <is>
          <t>Тарифный коэффициент среднего разряда работ</t>
        </is>
      </c>
      <c r="C11" s="264" t="inlineStr">
        <is>
          <t>КТ</t>
        </is>
      </c>
      <c r="D11" s="264" t="inlineStr">
        <is>
          <t>-</t>
        </is>
      </c>
      <c r="E11" s="378" t="n">
        <v>1.34</v>
      </c>
      <c r="F11" s="2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7" t="n"/>
    </row>
    <row r="12" ht="78.75" customHeight="1" s="225">
      <c r="A12" s="229" t="inlineStr">
        <is>
          <t>1.6</t>
        </is>
      </c>
      <c r="B12" s="239" t="inlineStr">
        <is>
          <t>Коэффициент инфляции, определяемый поквартально</t>
        </is>
      </c>
      <c r="C12" s="264" t="inlineStr">
        <is>
          <t>Кинф</t>
        </is>
      </c>
      <c r="D12" s="264" t="inlineStr">
        <is>
          <t>-</t>
        </is>
      </c>
      <c r="E12" s="379" t="n">
        <v>1.139</v>
      </c>
      <c r="F12" s="2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5">
      <c r="A13" s="242" t="inlineStr">
        <is>
          <t>1.7</t>
        </is>
      </c>
      <c r="B13" s="243" t="inlineStr">
        <is>
          <t>Размер средств на оплату труда рабочих-строителей в текущем уровне цен (ФОТр.тек.), руб/чел.-ч</t>
        </is>
      </c>
      <c r="C13" s="265" t="inlineStr">
        <is>
          <t>ФОТр.тек.</t>
        </is>
      </c>
      <c r="D13" s="265" t="inlineStr">
        <is>
          <t>(С1ср/tср*КТ*Т*Кув)*Кинф</t>
        </is>
      </c>
      <c r="E13" s="245">
        <f>((E7*E9/E8)*E11)*E12</f>
        <v/>
      </c>
      <c r="F13" s="2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2025-01-24T12:02:38Z</dcterms:modified>
  <cp:lastModifiedBy>Виктор Плотников</cp:lastModifiedBy>
  <cp:lastPrinted>2023-11-26T12:34:11Z</cp:lastPrinted>
</cp:coreProperties>
</file>