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17" fillId="0" borderId="2" applyAlignment="1" pivotButton="0" quotePrefix="0" xfId="0">
      <alignment horizontal="justify" vertical="center" wrapText="1"/>
    </xf>
    <xf numFmtId="0" fontId="17" fillId="0" borderId="5" applyAlignment="1" pivotButton="0" quotePrefix="0" xfId="0">
      <alignment horizontal="center" vertical="center" wrapText="1"/>
    </xf>
    <xf numFmtId="167" fontId="17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right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/>
    </xf>
    <xf numFmtId="2" fontId="2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10" fontId="2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17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49" fontId="1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left" vertical="center" wrapText="1"/>
    </xf>
    <xf numFmtId="166" fontId="1" fillId="0" borderId="6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0" fontId="17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8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167" fontId="17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6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55" zoomScaleNormal="55" workbookViewId="0">
      <selection activeCell="E28" sqref="E28"/>
    </sheetView>
  </sheetViews>
  <sheetFormatPr baseColWidth="8" defaultColWidth="9.140625" defaultRowHeight="15.75"/>
  <cols>
    <col width="9.140625" customWidth="1" style="212" min="1" max="2"/>
    <col width="36.85546875" customWidth="1" style="212" min="3" max="3"/>
    <col width="36.5703125" customWidth="1" style="212" min="4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>
      <c r="B5" s="147" t="n"/>
      <c r="C5" s="147" t="n"/>
      <c r="D5" s="147" t="n"/>
      <c r="E5" s="147" t="n"/>
    </row>
    <row r="6">
      <c r="B6" s="147" t="n"/>
      <c r="C6" s="147" t="n"/>
      <c r="D6" s="147" t="n"/>
      <c r="E6" s="147" t="n"/>
    </row>
    <row r="7" ht="36.75" customHeight="1" s="210">
      <c r="B7" s="237" t="inlineStr">
        <is>
          <t>Наименование разрабатываемого показателя УНЦ — Баковый выключатель 35 кВ без устройства фундамента</t>
        </is>
      </c>
    </row>
    <row r="8" ht="31.5" customHeight="1" s="210">
      <c r="B8" s="237" t="inlineStr">
        <is>
          <t>Сопоставимый уровень цен: 2 кв 2020</t>
        </is>
      </c>
    </row>
    <row r="9">
      <c r="B9" s="237" t="inlineStr">
        <is>
          <t>Единица измерения  — 1 ед.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6" t="inlineStr">
        <is>
          <t>Объект-представитель 1</t>
        </is>
      </c>
      <c r="E11" s="246" t="inlineStr">
        <is>
          <t>Объект-представитель 2</t>
        </is>
      </c>
    </row>
    <row r="12" ht="154.5" customHeight="1" s="210">
      <c r="B12" s="240" t="n">
        <v>1</v>
      </c>
      <c r="C12" s="246" t="inlineStr">
        <is>
          <t>Наименование объекта-представителя</t>
        </is>
      </c>
      <c r="D12" s="240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E12" s="240" t="inlineStr">
        <is>
          <t>Реконструкция ПС 35 кВ "Саперная" (замена силовых трансформаторов мощностью 2х6.3 МВА на 2х10 МВА)</t>
        </is>
      </c>
    </row>
    <row r="13" ht="31.5" customHeight="1" s="210">
      <c r="B13" s="240" t="n">
        <v>2</v>
      </c>
      <c r="C13" s="246" t="inlineStr">
        <is>
          <t>Наименование субъекта Российской Федерации</t>
        </is>
      </c>
      <c r="D13" s="240" t="inlineStr">
        <is>
          <t>Самарская область</t>
        </is>
      </c>
      <c r="E13" s="240" t="inlineStr">
        <is>
          <t>Ленинградская область</t>
        </is>
      </c>
    </row>
    <row r="14">
      <c r="B14" s="240" t="n">
        <v>3</v>
      </c>
      <c r="C14" s="246" t="inlineStr">
        <is>
          <t>Климатический район и подрайон</t>
        </is>
      </c>
      <c r="D14" s="240" t="inlineStr">
        <is>
          <t>IIB</t>
        </is>
      </c>
      <c r="E14" s="240" t="inlineStr">
        <is>
          <t>IIВ</t>
        </is>
      </c>
    </row>
    <row r="15">
      <c r="B15" s="240" t="n">
        <v>4</v>
      </c>
      <c r="C15" s="246" t="inlineStr">
        <is>
          <t>Мощность объекта</t>
        </is>
      </c>
      <c r="D15" s="240" t="n">
        <v>3</v>
      </c>
      <c r="E15" s="240" t="n">
        <v>2</v>
      </c>
    </row>
    <row r="16" ht="110.25" customHeight="1" s="210">
      <c r="B16" s="240" t="n">
        <v>5</v>
      </c>
      <c r="C16" s="2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Выключатель баковый 35 кВ</t>
        </is>
      </c>
      <c r="E16" s="240" t="inlineStr">
        <is>
          <t>Выключатель баковый 35 кВ</t>
        </is>
      </c>
    </row>
    <row r="17" ht="78.75" customHeight="1" s="210">
      <c r="B17" s="240" t="n">
        <v>6</v>
      </c>
      <c r="C17" s="2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2">
        <f>SUM(E18:E21)</f>
        <v/>
      </c>
    </row>
    <row r="18">
      <c r="B18" s="154" t="inlineStr">
        <is>
          <t>6.1</t>
        </is>
      </c>
      <c r="C18" s="246" t="inlineStr">
        <is>
          <t>строительно-монтажные работы</t>
        </is>
      </c>
      <c r="D18" s="152" t="n">
        <v>339.64</v>
      </c>
      <c r="E18" s="152" t="n">
        <v>69.03</v>
      </c>
    </row>
    <row r="19" ht="15.75" customHeight="1" s="210">
      <c r="B19" s="154" t="inlineStr">
        <is>
          <t>6.2</t>
        </is>
      </c>
      <c r="C19" s="246" t="inlineStr">
        <is>
          <t>оборудование и инвентарь</t>
        </is>
      </c>
      <c r="D19" s="152" t="n">
        <v>3931.2</v>
      </c>
      <c r="E19" s="152" t="n">
        <v>1578.72</v>
      </c>
    </row>
    <row r="20" ht="16.5" customHeight="1" s="210">
      <c r="B20" s="154" t="inlineStr">
        <is>
          <t>6.3</t>
        </is>
      </c>
      <c r="C20" s="246" t="inlineStr">
        <is>
          <t>пусконаладочные работы</t>
        </is>
      </c>
      <c r="D20" s="152" t="n">
        <v>0</v>
      </c>
      <c r="E20" s="152">
        <f>E19/103604.58*3186.29</f>
        <v/>
      </c>
    </row>
    <row r="21" ht="35.25" customHeight="1" s="210">
      <c r="B21" s="154" t="inlineStr">
        <is>
          <t>6.4</t>
        </is>
      </c>
      <c r="C21" s="155" t="inlineStr">
        <is>
          <t>прочие и лимитированные затраты</t>
        </is>
      </c>
      <c r="D21" s="152">
        <f>D18*3.9%*0.8+(D18+D18*3.9%*0.8)*3.2%</f>
        <v/>
      </c>
      <c r="E21" s="152">
        <f>E18*3.9%*0.9+(E18+E18*3.9%*0.9)*2.1%</f>
        <v/>
      </c>
    </row>
    <row r="22">
      <c r="B22" s="240" t="n">
        <v>7</v>
      </c>
      <c r="C22" s="155" t="inlineStr">
        <is>
          <t>Сопоставимый уровень цен</t>
        </is>
      </c>
      <c r="D22" s="240" t="inlineStr">
        <is>
          <t>2 кв 2020</t>
        </is>
      </c>
      <c r="E22" s="240" t="inlineStr">
        <is>
          <t>2 кв 2020</t>
        </is>
      </c>
    </row>
    <row r="23" ht="123" customHeight="1" s="210">
      <c r="B23" s="240" t="n">
        <v>8</v>
      </c>
      <c r="C23" s="1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D17/7.7*8.47</f>
        <v/>
      </c>
      <c r="E23" s="152">
        <f>E17/6.67*8.47</f>
        <v/>
      </c>
    </row>
    <row r="24" ht="60.75" customHeight="1" s="210">
      <c r="B24" s="240" t="n">
        <v>9</v>
      </c>
      <c r="C24" s="208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52">
        <f>E23/E15</f>
        <v/>
      </c>
    </row>
    <row r="25" ht="164.25" customHeight="1" s="210">
      <c r="B25" s="240" t="n">
        <v>10</v>
      </c>
      <c r="C25" s="246" t="inlineStr">
        <is>
          <t>Примечание</t>
        </is>
      </c>
      <c r="D25" s="246" t="n"/>
      <c r="E25" s="24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ед.</t>
        </is>
      </c>
    </row>
    <row r="26">
      <c r="B26" s="138" t="n"/>
      <c r="C26" s="139" t="n"/>
      <c r="D26" s="139" t="n"/>
      <c r="E26" s="139" t="n"/>
    </row>
    <row r="27" ht="37.5" customHeight="1" s="210">
      <c r="B27" s="141" t="n"/>
    </row>
    <row r="28">
      <c r="B28" s="212" t="inlineStr">
        <is>
          <t>Составил ______________________        Д.А. Самуйленко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3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32"/>
  <sheetViews>
    <sheetView view="pageBreakPreview" zoomScale="70" zoomScaleNormal="70" workbookViewId="0">
      <selection activeCell="E26" sqref="E26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</row>
    <row r="6">
      <c r="B6" s="239" t="inlineStr">
        <is>
          <t>Наименование разрабатываемого показателя УНЦ —  Баковый выключатель 35 кВ без устройства фундамента</t>
        </is>
      </c>
      <c r="K6" s="141" t="n"/>
      <c r="L6" s="148" t="n"/>
    </row>
    <row r="7">
      <c r="B7" s="237" t="inlineStr">
        <is>
          <t>Единица измерения  — 1 ед.</t>
        </is>
      </c>
      <c r="L7" s="148" t="n"/>
    </row>
    <row r="8">
      <c r="B8" s="237" t="n"/>
    </row>
    <row r="9" ht="15.75" customHeight="1" s="21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 s="210">
      <c r="B10" s="333" t="n"/>
      <c r="C10" s="33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2018 г., тыс. руб.</t>
        </is>
      </c>
      <c r="G10" s="331" t="n"/>
      <c r="H10" s="331" t="n"/>
      <c r="I10" s="331" t="n"/>
      <c r="J10" s="332" t="n"/>
    </row>
    <row r="11" ht="31.5" customHeight="1" s="210">
      <c r="B11" s="334" t="n"/>
      <c r="C11" s="334" t="n"/>
      <c r="D11" s="334" t="n"/>
      <c r="E11" s="33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47.25" customHeight="1" s="210">
      <c r="B12" s="165" t="n">
        <v>1</v>
      </c>
      <c r="C12" s="240" t="inlineStr">
        <is>
          <t>Выключатель баковый 35 кВ</t>
        </is>
      </c>
      <c r="D12" s="154" t="inlineStr">
        <is>
          <t>02-01-01</t>
        </is>
      </c>
      <c r="E12" s="219" t="inlineStr">
        <is>
          <t>Электротехнические решения, ПС 35/10/6 кВ Купино</t>
        </is>
      </c>
      <c r="F12" s="164" t="n"/>
      <c r="G12" s="164">
        <f>44109.42/1000*7.7</f>
        <v/>
      </c>
      <c r="H12" s="164">
        <f>867814.56/1000*4.53</f>
        <v/>
      </c>
      <c r="I12" s="166" t="n"/>
      <c r="J12" s="167">
        <f>SUM(F12:I12)</f>
        <v/>
      </c>
    </row>
    <row r="13" ht="15.75" customHeight="1" s="210">
      <c r="B13" s="238" t="inlineStr">
        <is>
          <t>Всего по объекту:</t>
        </is>
      </c>
      <c r="C13" s="331" t="n"/>
      <c r="D13" s="331" t="n"/>
      <c r="E13" s="332" t="n"/>
      <c r="F13" s="168">
        <f>SUM(F12:F12)</f>
        <v/>
      </c>
      <c r="G13" s="168">
        <f>SUM(G12:G12)</f>
        <v/>
      </c>
      <c r="H13" s="168">
        <f>SUM(H12:H12)</f>
        <v/>
      </c>
      <c r="I13" s="169" t="n"/>
      <c r="J13" s="170">
        <f>SUM(F13:I13)</f>
        <v/>
      </c>
    </row>
    <row r="14" ht="28.5" customHeight="1" s="210">
      <c r="B14" s="238" t="inlineStr">
        <is>
          <t>Всего по объекту в сопоставимом уровне цен 3 кв. 2018 г:</t>
        </is>
      </c>
      <c r="C14" s="331" t="n"/>
      <c r="D14" s="331" t="n"/>
      <c r="E14" s="332" t="n"/>
      <c r="F14" s="168">
        <f>F13</f>
        <v/>
      </c>
      <c r="G14" s="168">
        <f>G13</f>
        <v/>
      </c>
      <c r="H14" s="168">
        <f>H13</f>
        <v/>
      </c>
      <c r="I14" s="169" t="n"/>
      <c r="J14" s="170">
        <f>SUM(F14:I14)</f>
        <v/>
      </c>
    </row>
    <row r="15">
      <c r="B15" s="237" t="n"/>
    </row>
    <row r="16">
      <c r="B16" s="240" t="inlineStr">
        <is>
          <t>№ п/п</t>
        </is>
      </c>
      <c r="C16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240" t="inlineStr">
        <is>
          <t>Объект-представитель 2</t>
        </is>
      </c>
      <c r="E16" s="331" t="n"/>
      <c r="F16" s="331" t="n"/>
      <c r="G16" s="331" t="n"/>
      <c r="H16" s="331" t="n"/>
      <c r="I16" s="331" t="n"/>
      <c r="J16" s="332" t="n"/>
    </row>
    <row r="17" ht="15.75" customHeight="1" s="210">
      <c r="B17" s="333" t="n"/>
      <c r="C17" s="333" t="n"/>
      <c r="D17" s="240" t="inlineStr">
        <is>
          <t>Номер сметы</t>
        </is>
      </c>
      <c r="E17" s="240" t="inlineStr">
        <is>
          <t>Наименование сметы</t>
        </is>
      </c>
      <c r="F17" s="240" t="inlineStr">
        <is>
          <t>Сметная стоимость в уровне цен 2 кв. 2020 г., тыс. руб.</t>
        </is>
      </c>
      <c r="G17" s="331" t="n"/>
      <c r="H17" s="331" t="n"/>
      <c r="I17" s="331" t="n"/>
      <c r="J17" s="332" t="n"/>
    </row>
    <row r="18" ht="31.5" customHeight="1" s="210">
      <c r="B18" s="334" t="n"/>
      <c r="C18" s="334" t="n"/>
      <c r="D18" s="334" t="n"/>
      <c r="E18" s="334" t="n"/>
      <c r="F18" s="240" t="inlineStr">
        <is>
          <t>Строительные работы</t>
        </is>
      </c>
      <c r="G18" s="240" t="inlineStr">
        <is>
          <t>Монтажные работы</t>
        </is>
      </c>
      <c r="H18" s="240" t="inlineStr">
        <is>
          <t>Оборудование</t>
        </is>
      </c>
      <c r="I18" s="240" t="inlineStr">
        <is>
          <t>Прочее</t>
        </is>
      </c>
      <c r="J18" s="240" t="inlineStr">
        <is>
          <t>Всего</t>
        </is>
      </c>
    </row>
    <row r="19" ht="68.25" customHeight="1" s="210">
      <c r="B19" s="165" t="n">
        <v>1</v>
      </c>
      <c r="C19" s="240" t="inlineStr">
        <is>
          <t>Выключатель баковый 35 кВ</t>
        </is>
      </c>
      <c r="D19" s="214" t="inlineStr">
        <is>
          <t>02-01-02</t>
        </is>
      </c>
      <c r="E19" s="246" t="inlineStr">
        <is>
          <t>Первичное электрооборудование</t>
        </is>
      </c>
      <c r="F19" s="164" t="n"/>
      <c r="G19" s="164">
        <f>10350/1000*6.67</f>
        <v/>
      </c>
      <c r="H19" s="164">
        <f>321532/1000*4.91</f>
        <v/>
      </c>
      <c r="I19" s="166" t="n"/>
      <c r="J19" s="167">
        <f>SUM(F19:I19)</f>
        <v/>
      </c>
    </row>
    <row r="20" ht="15.75" customHeight="1" s="210">
      <c r="B20" s="238" t="inlineStr">
        <is>
          <t>Всего по объекту:</t>
        </is>
      </c>
      <c r="C20" s="331" t="n"/>
      <c r="D20" s="331" t="n"/>
      <c r="E20" s="332" t="n"/>
      <c r="F20" s="168">
        <f>SUM(F19:F19)</f>
        <v/>
      </c>
      <c r="G20" s="168">
        <f>SUM(G19:G19)</f>
        <v/>
      </c>
      <c r="H20" s="168">
        <f>SUM(H19:H19)</f>
        <v/>
      </c>
      <c r="I20" s="169" t="n"/>
      <c r="J20" s="170">
        <f>SUM(F20:I20)</f>
        <v/>
      </c>
    </row>
    <row r="21" ht="28.5" customHeight="1" s="210">
      <c r="B21" s="238" t="inlineStr">
        <is>
          <t>Всего по объекту в сопоставимом уровне цен 2 кв. 2020 г:</t>
        </is>
      </c>
      <c r="C21" s="331" t="n"/>
      <c r="D21" s="331" t="n"/>
      <c r="E21" s="332" t="n"/>
      <c r="F21" s="168">
        <f>F20</f>
        <v/>
      </c>
      <c r="G21" s="168">
        <f>G20</f>
        <v/>
      </c>
      <c r="H21" s="168">
        <f>H20</f>
        <v/>
      </c>
      <c r="I21" s="169" t="n"/>
      <c r="J21" s="170">
        <f>SUM(F21:I21)</f>
        <v/>
      </c>
    </row>
    <row r="24">
      <c r="B24" s="267" t="n"/>
    </row>
    <row r="28">
      <c r="B28" s="212" t="inlineStr">
        <is>
          <t>Составил ______________________        Д.А. Самуйленко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37"/>
  <sheetViews>
    <sheetView view="pageBreakPreview" topLeftCell="A5" zoomScaleSheetLayoutView="100" workbookViewId="0">
      <selection activeCell="D34" sqref="D34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161" min="5" max="5"/>
    <col width="20.7109375" customWidth="1" style="212" min="6" max="6"/>
    <col width="16.140625" customWidth="1" style="212" min="7" max="7"/>
    <col width="16.7109375" customWidth="1" style="212" min="8" max="8"/>
    <col width="9.140625" customWidth="1" style="212" min="9" max="9"/>
  </cols>
  <sheetData>
    <row r="1" ht="9.75" customHeight="1" s="210"/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8.25" customHeight="1" s="210">
      <c r="A4" s="236" t="n"/>
      <c r="B4" s="236" t="n"/>
      <c r="C4" s="236" t="n"/>
      <c r="D4" s="236" t="n"/>
      <c r="E4" s="236" t="n"/>
      <c r="F4" s="236" t="n"/>
      <c r="G4" s="236" t="n"/>
      <c r="H4" s="236" t="n"/>
      <c r="I4" s="212" t="n"/>
    </row>
    <row r="5" ht="7.5" customHeight="1" s="210">
      <c r="A5" s="237" t="n"/>
    </row>
    <row r="6">
      <c r="A6" s="239" t="inlineStr">
        <is>
          <t>Наименование разрабатываемого показателя УНЦ - Баковый выключатель 35 кВ без устройства фундамента</t>
        </is>
      </c>
    </row>
    <row r="7" ht="9.75" customHeight="1" s="21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12" t="n"/>
    </row>
    <row r="8" ht="9" customHeight="1" s="210">
      <c r="A8" s="239" t="n"/>
      <c r="B8" s="239" t="n"/>
      <c r="C8" s="239" t="n"/>
      <c r="D8" s="239" t="n"/>
      <c r="E8" s="147" t="n"/>
      <c r="F8" s="239" t="n"/>
      <c r="G8" s="239" t="n"/>
      <c r="H8" s="239" t="n"/>
    </row>
    <row r="9" ht="26.25" customHeight="1" s="21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2" t="n"/>
    </row>
    <row r="10" ht="17.25" customHeight="1" s="210">
      <c r="A10" s="334" t="n"/>
      <c r="B10" s="334" t="n"/>
      <c r="C10" s="334" t="n"/>
      <c r="D10" s="334" t="n"/>
      <c r="E10" s="334" t="n"/>
      <c r="F10" s="334" t="n"/>
      <c r="G10" s="240" t="inlineStr">
        <is>
          <t>на ед.изм.</t>
        </is>
      </c>
      <c r="H10" s="240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98">
      <c r="A12" s="247" t="inlineStr">
        <is>
          <t>Затраты труда рабочих</t>
        </is>
      </c>
      <c r="B12" s="331" t="n"/>
      <c r="C12" s="331" t="n"/>
      <c r="D12" s="331" t="n"/>
      <c r="E12" s="332" t="n"/>
      <c r="F12" s="175" t="n">
        <v>88.59999999999999</v>
      </c>
      <c r="G12" s="130" t="n"/>
      <c r="H12" s="175">
        <f>SUM(H13:H13)</f>
        <v/>
      </c>
      <c r="J12" s="176" t="n"/>
      <c r="K12" s="143" t="n"/>
    </row>
    <row r="13">
      <c r="A13" s="7" t="n">
        <v>1</v>
      </c>
      <c r="B13" s="171" t="inlineStr">
        <is>
          <t> </t>
        </is>
      </c>
      <c r="C13" s="159" t="inlineStr">
        <is>
          <t>1-4-0</t>
        </is>
      </c>
      <c r="D13" s="99" t="inlineStr">
        <is>
          <t>Затраты труда рабочих (средний разряд 4,0)</t>
        </is>
      </c>
      <c r="E13" s="7" t="inlineStr">
        <is>
          <t>чел.-ч</t>
        </is>
      </c>
      <c r="F13" s="172" t="n">
        <v>88.59999999999999</v>
      </c>
      <c r="G13" s="173" t="n">
        <v>9.619999999999999</v>
      </c>
      <c r="H13" s="173">
        <f>ROUND(F13*G13,2)</f>
        <v/>
      </c>
      <c r="J13" s="1" t="n"/>
      <c r="K13" s="143" t="n"/>
      <c r="L13" s="335" t="n"/>
    </row>
    <row r="14">
      <c r="A14" s="244" t="inlineStr">
        <is>
          <t>Затраты труда машинистов</t>
        </is>
      </c>
      <c r="B14" s="331" t="n"/>
      <c r="C14" s="331" t="n"/>
      <c r="D14" s="331" t="n"/>
      <c r="E14" s="332" t="n"/>
      <c r="F14" s="244" t="n"/>
      <c r="G14" s="181" t="n"/>
      <c r="H14" s="175">
        <f>H15</f>
        <v/>
      </c>
      <c r="J14" s="143" t="n"/>
      <c r="K14" s="143" t="n"/>
    </row>
    <row r="15">
      <c r="A15" s="7" t="n">
        <v>2</v>
      </c>
      <c r="B15" s="174" t="inlineStr">
        <is>
          <t> </t>
        </is>
      </c>
      <c r="C15" s="259" t="n">
        <v>2</v>
      </c>
      <c r="D15" s="99" t="inlineStr">
        <is>
          <t>Затраты труда машинистов</t>
        </is>
      </c>
      <c r="E15" s="7" t="inlineStr">
        <is>
          <t>чел.-ч</t>
        </is>
      </c>
      <c r="F15" s="7" t="n">
        <v>10.56</v>
      </c>
      <c r="G15" s="173" t="n">
        <v>0</v>
      </c>
      <c r="H15" s="173" t="n">
        <v>138.99</v>
      </c>
      <c r="J15" s="143" t="n"/>
      <c r="K15" s="143" t="n"/>
    </row>
    <row r="16" customFormat="1" s="198">
      <c r="A16" s="244" t="inlineStr">
        <is>
          <t>Машины и механизмы</t>
        </is>
      </c>
      <c r="B16" s="331" t="n"/>
      <c r="C16" s="331" t="n"/>
      <c r="D16" s="331" t="n"/>
      <c r="E16" s="332" t="n"/>
      <c r="F16" s="244" t="n"/>
      <c r="G16" s="181" t="n"/>
      <c r="H16" s="175">
        <f>SUM(H17:H20)</f>
        <v/>
      </c>
      <c r="J16" s="143" t="n"/>
      <c r="K16" s="143" t="n"/>
    </row>
    <row r="17" ht="16.5" customHeight="1" s="210">
      <c r="A17" s="7" t="n">
        <v>3</v>
      </c>
      <c r="B17" s="174" t="inlineStr">
        <is>
          <t> </t>
        </is>
      </c>
      <c r="C17" s="159" t="inlineStr">
        <is>
          <t>91.05.05-015</t>
        </is>
      </c>
      <c r="D17" s="258" t="inlineStr">
        <is>
          <t>Краны на автомобильном ходу, грузоподъемность 16 т</t>
        </is>
      </c>
      <c r="E17" s="259" t="inlineStr">
        <is>
          <t>маш.час</t>
        </is>
      </c>
      <c r="F17" s="159" t="n">
        <v>8.68</v>
      </c>
      <c r="G17" s="275" t="n">
        <v>115.4</v>
      </c>
      <c r="H17" s="173">
        <f>ROUND(F17*G17,2)</f>
        <v/>
      </c>
      <c r="J17" s="177" t="n"/>
      <c r="K17" s="178" t="n"/>
    </row>
    <row r="18" customFormat="1" s="198">
      <c r="A18" s="7" t="n">
        <v>4</v>
      </c>
      <c r="B18" s="174" t="inlineStr">
        <is>
          <t> </t>
        </is>
      </c>
      <c r="C18" s="159" t="inlineStr">
        <is>
          <t>91.14.02-001</t>
        </is>
      </c>
      <c r="D18" s="258" t="inlineStr">
        <is>
          <t>Автомобили бортовые, грузоподъемность до 5 т</t>
        </is>
      </c>
      <c r="E18" s="259" t="inlineStr">
        <is>
          <t>маш.час</t>
        </is>
      </c>
      <c r="F18" s="159" t="n">
        <v>1.88</v>
      </c>
      <c r="G18" s="275" t="n">
        <v>65.70999999999999</v>
      </c>
      <c r="H18" s="173">
        <f>ROUND(F18*G18,2)</f>
        <v/>
      </c>
      <c r="J18" s="177" t="n"/>
      <c r="K18" s="179" t="n"/>
    </row>
    <row r="19" ht="25.5" customFormat="1" customHeight="1" s="198">
      <c r="A19" s="7" t="n">
        <v>5</v>
      </c>
      <c r="B19" s="174" t="n"/>
      <c r="C19" s="159" t="inlineStr">
        <is>
          <t>91.17.04-233</t>
        </is>
      </c>
      <c r="D19" s="258" t="inlineStr">
        <is>
          <t>Установки для сварки ручной дуговой (постоянного тока)</t>
        </is>
      </c>
      <c r="E19" s="259" t="inlineStr">
        <is>
          <t>маш.час</t>
        </is>
      </c>
      <c r="F19" s="159" t="n">
        <v>0.24</v>
      </c>
      <c r="G19" s="275" t="n">
        <v>8.1</v>
      </c>
      <c r="H19" s="173">
        <f>ROUND(F19*G19,2)</f>
        <v/>
      </c>
      <c r="J19" s="177" t="n"/>
      <c r="K19" s="179" t="n"/>
    </row>
    <row r="20" ht="25.5" customFormat="1" customHeight="1" s="198">
      <c r="A20" s="7" t="n">
        <v>6</v>
      </c>
      <c r="B20" s="174" t="inlineStr">
        <is>
          <t> </t>
        </is>
      </c>
      <c r="C20" s="159" t="inlineStr">
        <is>
          <t>91.19.02-002</t>
        </is>
      </c>
      <c r="D20" s="258" t="inlineStr">
        <is>
          <t>Маслонасосы шестеренные, производительность 2,3 м3/час</t>
        </is>
      </c>
      <c r="E20" s="259" t="inlineStr">
        <is>
          <t>маш.час</t>
        </is>
      </c>
      <c r="F20" s="159" t="n">
        <v>1.06</v>
      </c>
      <c r="G20" s="275" t="n">
        <v>0.9</v>
      </c>
      <c r="H20" s="173">
        <f>ROUND(F20*G20,2)</f>
        <v/>
      </c>
      <c r="J20" s="177" t="n"/>
      <c r="K20" s="179" t="n"/>
    </row>
    <row r="21">
      <c r="A21" s="244" t="inlineStr">
        <is>
          <t>Оборудование</t>
        </is>
      </c>
      <c r="B21" s="331" t="n"/>
      <c r="C21" s="331" t="n"/>
      <c r="D21" s="331" t="n"/>
      <c r="E21" s="332" t="n"/>
      <c r="F21" s="244" t="n"/>
      <c r="G21" s="181" t="n"/>
      <c r="H21" s="175">
        <f>SUM(H22)</f>
        <v/>
      </c>
    </row>
    <row r="22" ht="25.5" customHeight="1" s="210">
      <c r="A22" s="7" t="n">
        <v>7</v>
      </c>
      <c r="B22" s="174" t="inlineStr">
        <is>
          <t> </t>
        </is>
      </c>
      <c r="C22" s="159" t="inlineStr">
        <is>
          <t>Прайс из СД ОП</t>
        </is>
      </c>
      <c r="D22" s="258" t="inlineStr">
        <is>
          <t>Выключатель баковый 35 кВ, номинальный ток 2500 А, ток отключения 40 кА</t>
        </is>
      </c>
      <c r="E22" s="259" t="inlineStr">
        <is>
          <t>шт.</t>
        </is>
      </c>
      <c r="F22" s="159" t="inlineStr">
        <is>
          <t>2</t>
        </is>
      </c>
      <c r="G22" s="275" t="n">
        <v>158859.47</v>
      </c>
      <c r="H22" s="173" t="n">
        <v>317718.94</v>
      </c>
    </row>
    <row r="23">
      <c r="A23" s="244" t="inlineStr">
        <is>
          <t>Материалы</t>
        </is>
      </c>
      <c r="B23" s="331" t="n"/>
      <c r="C23" s="331" t="n"/>
      <c r="D23" s="331" t="n"/>
      <c r="E23" s="332" t="n"/>
      <c r="F23" s="244" t="n"/>
      <c r="G23" s="181" t="n"/>
      <c r="H23" s="175">
        <f>SUM(H24:H30)</f>
        <v/>
      </c>
    </row>
    <row r="24">
      <c r="A24" s="7" t="n">
        <v>8</v>
      </c>
      <c r="B24" s="245" t="n"/>
      <c r="C24" s="159" t="inlineStr">
        <is>
          <t>01.7.03.04-0001</t>
        </is>
      </c>
      <c r="D24" s="258" t="inlineStr">
        <is>
          <t>Электроэнергия</t>
        </is>
      </c>
      <c r="E24" s="259" t="inlineStr">
        <is>
          <t>кВт-ч</t>
        </is>
      </c>
      <c r="F24" s="159" t="n">
        <v>723.8</v>
      </c>
      <c r="G24" s="275" t="n">
        <v>0.4</v>
      </c>
      <c r="H24" s="173">
        <f>ROUND(F24*G24,2)</f>
        <v/>
      </c>
      <c r="J24" s="186" t="n"/>
    </row>
    <row r="25">
      <c r="A25" s="7" t="n">
        <v>9</v>
      </c>
      <c r="B25" s="245" t="n"/>
      <c r="C25" s="159" t="inlineStr">
        <is>
          <t>14.4.02.09-0001</t>
        </is>
      </c>
      <c r="D25" s="258" t="inlineStr">
        <is>
          <t>Краска</t>
        </is>
      </c>
      <c r="E25" s="259" t="inlineStr">
        <is>
          <t>кг</t>
        </is>
      </c>
      <c r="F25" s="159" t="n">
        <v>7.6</v>
      </c>
      <c r="G25" s="275" t="n">
        <v>28.6</v>
      </c>
      <c r="H25" s="173">
        <f>ROUND(F25*G25,2)</f>
        <v/>
      </c>
      <c r="J25" s="186" t="n"/>
    </row>
    <row r="26" ht="25.5" customHeight="1" s="210">
      <c r="A26" s="7" t="n">
        <v>10</v>
      </c>
      <c r="B26" s="245" t="n"/>
      <c r="C26" s="159" t="inlineStr">
        <is>
          <t>08.3.07.01-0076</t>
        </is>
      </c>
      <c r="D26" s="258" t="inlineStr">
        <is>
          <t>Прокат полосовой, горячекатаный, марка стали Ст3сп, ширина 50-200 мм, толщина 4-5 мм</t>
        </is>
      </c>
      <c r="E26" s="259" t="inlineStr">
        <is>
          <t>т</t>
        </is>
      </c>
      <c r="F26" s="159" t="n">
        <v>0.006</v>
      </c>
      <c r="G26" s="275" t="n">
        <v>5000</v>
      </c>
      <c r="H26" s="173">
        <f>ROUND(F26*G26,2)</f>
        <v/>
      </c>
      <c r="J26" s="186" t="n"/>
    </row>
    <row r="27" ht="25.5" customHeight="1" s="210">
      <c r="A27" s="7" t="n">
        <v>11</v>
      </c>
      <c r="B27" s="245" t="n"/>
      <c r="C27" s="159" t="inlineStr">
        <is>
          <t>01.3.01.06-0050</t>
        </is>
      </c>
      <c r="D27" s="258" t="inlineStr">
        <is>
          <t>Смазка универсальная тугоплавкая УТ (консталин жировой)</t>
        </is>
      </c>
      <c r="E27" s="259" t="inlineStr">
        <is>
          <t>т</t>
        </is>
      </c>
      <c r="F27" s="159" t="n">
        <v>0.001</v>
      </c>
      <c r="G27" s="275" t="n">
        <v>17500</v>
      </c>
      <c r="H27" s="173">
        <f>ROUND(F27*G27,2)</f>
        <v/>
      </c>
      <c r="J27" s="186" t="n"/>
    </row>
    <row r="28">
      <c r="A28" s="7" t="n">
        <v>12</v>
      </c>
      <c r="B28" s="245" t="n"/>
      <c r="C28" s="159" t="inlineStr">
        <is>
          <t>01.7.20.08-0031</t>
        </is>
      </c>
      <c r="D28" s="258" t="inlineStr">
        <is>
          <t>Бязь суровая</t>
        </is>
      </c>
      <c r="E28" s="259" t="inlineStr">
        <is>
          <t>10 м2</t>
        </is>
      </c>
      <c r="F28" s="159" t="n">
        <v>0.22</v>
      </c>
      <c r="G28" s="275" t="n">
        <v>79.09999999999999</v>
      </c>
      <c r="H28" s="173">
        <f>ROUND(F28*G28,2)</f>
        <v/>
      </c>
      <c r="J28" s="186" t="n"/>
    </row>
    <row r="29" ht="25.5" customHeight="1" s="210">
      <c r="A29" s="7" t="n">
        <v>13</v>
      </c>
      <c r="B29" s="245" t="n"/>
      <c r="C29" s="159" t="inlineStr">
        <is>
          <t>999-9950</t>
        </is>
      </c>
      <c r="D29" s="258" t="inlineStr">
        <is>
          <t>Вспомогательные ненормируемые ресурсы (2% от Оплаты труда рабочих)</t>
        </is>
      </c>
      <c r="E29" s="259" t="inlineStr">
        <is>
          <t>руб</t>
        </is>
      </c>
      <c r="F29" s="159" t="n">
        <v>17.04</v>
      </c>
      <c r="G29" s="275" t="n">
        <v>1</v>
      </c>
      <c r="H29" s="173">
        <f>ROUND(F29*G29,2)</f>
        <v/>
      </c>
      <c r="J29" s="186" t="n"/>
    </row>
    <row r="30">
      <c r="A30" s="7" t="n">
        <v>14</v>
      </c>
      <c r="B30" s="245" t="n"/>
      <c r="C30" s="159" t="inlineStr">
        <is>
          <t>01.7.11.07-0034</t>
        </is>
      </c>
      <c r="D30" s="258" t="inlineStr">
        <is>
          <t>Электроды сварочные Э42А, диаметр 4 мм</t>
        </is>
      </c>
      <c r="E30" s="259" t="inlineStr">
        <is>
          <t>кг</t>
        </is>
      </c>
      <c r="F30" s="159" t="n">
        <v>0.1</v>
      </c>
      <c r="G30" s="275" t="n">
        <v>10.57</v>
      </c>
      <c r="H30" s="173">
        <f>ROUND(F30*G30,2)</f>
        <v/>
      </c>
      <c r="J30" s="186" t="n"/>
    </row>
    <row r="33">
      <c r="B33" s="212" t="inlineStr">
        <is>
          <t>Составил ______________________        Д.А. Самуйленко</t>
        </is>
      </c>
    </row>
    <row r="34">
      <c r="B34" s="141" t="inlineStr">
        <is>
          <t xml:space="preserve">                         (подпись, инициалы, фамилия)</t>
        </is>
      </c>
    </row>
    <row r="36">
      <c r="B36" s="212" t="inlineStr">
        <is>
          <t>Проверил ______________________        А.В. Костянецкая</t>
        </is>
      </c>
    </row>
    <row r="37">
      <c r="B37" s="141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1.42578125" customWidth="1" style="210" min="6" max="6"/>
    <col width="9.140625" customWidth="1" style="210" min="7" max="10"/>
    <col width="13.5703125" customWidth="1" style="210" min="11" max="11"/>
    <col width="9.140625" customWidth="1" style="210" min="12" max="12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71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28" t="inlineStr">
        <is>
          <t>Ресурсная модель</t>
        </is>
      </c>
    </row>
    <row r="6">
      <c r="B6" s="136" t="n"/>
      <c r="C6" s="203" t="n"/>
      <c r="D6" s="203" t="n"/>
      <c r="E6" s="203" t="n"/>
    </row>
    <row r="7" ht="25.5" customHeight="1" s="210">
      <c r="B7" s="250" t="inlineStr">
        <is>
          <t>Наименование разрабатываемого показателя УНЦ — Баковый выключатель 35 кВ без устройства фундамента</t>
        </is>
      </c>
    </row>
    <row r="8">
      <c r="B8" s="251" t="inlineStr">
        <is>
          <t>Единица измерения  — 1 ед.</t>
        </is>
      </c>
    </row>
    <row r="9">
      <c r="B9" s="136" t="n"/>
      <c r="C9" s="203" t="n"/>
      <c r="D9" s="203" t="n"/>
      <c r="E9" s="203" t="n"/>
    </row>
    <row r="10" ht="51" customHeight="1" s="210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1">
        <f>'Прил.5 Расчет СМР и ОБ'!J14</f>
        <v/>
      </c>
      <c r="D11" s="132">
        <f>C11/$C$24</f>
        <v/>
      </c>
      <c r="E11" s="132">
        <f>C11/$C$40</f>
        <v/>
      </c>
    </row>
    <row r="12">
      <c r="B12" s="99" t="inlineStr">
        <is>
          <t>Эксплуатация машин основных</t>
        </is>
      </c>
      <c r="C12" s="131">
        <f>'Прил.5 Расчет СМР и ОБ'!J20</f>
        <v/>
      </c>
      <c r="D12" s="132">
        <f>C12/$C$24</f>
        <v/>
      </c>
      <c r="E12" s="132">
        <f>C12/$C$40</f>
        <v/>
      </c>
    </row>
    <row r="13">
      <c r="B13" s="99" t="inlineStr">
        <is>
          <t>Эксплуатация машин прочих</t>
        </is>
      </c>
      <c r="C13" s="131">
        <f>'Прил.5 Расчет СМР и ОБ'!J24</f>
        <v/>
      </c>
      <c r="D13" s="132">
        <f>C13/$C$24</f>
        <v/>
      </c>
      <c r="E13" s="132">
        <f>C13/$C$40</f>
        <v/>
      </c>
    </row>
    <row r="14">
      <c r="B14" s="99" t="inlineStr">
        <is>
          <t>ЭКСПЛУАТАЦИЯ МАШИН, ВСЕГО:</t>
        </is>
      </c>
      <c r="C14" s="131">
        <f>C13+C12</f>
        <v/>
      </c>
      <c r="D14" s="132">
        <f>C14/$C$24</f>
        <v/>
      </c>
      <c r="E14" s="132">
        <f>C14/$C$40</f>
        <v/>
      </c>
    </row>
    <row r="15">
      <c r="B15" s="99" t="inlineStr">
        <is>
          <t>в том числе зарплата машинистов</t>
        </is>
      </c>
      <c r="C15" s="131">
        <f>'Прил.5 Расчет СМР и ОБ'!J16</f>
        <v/>
      </c>
      <c r="D15" s="132">
        <f>C15/$C$24</f>
        <v/>
      </c>
      <c r="E15" s="132">
        <f>C15/$C$40</f>
        <v/>
      </c>
    </row>
    <row r="16">
      <c r="B16" s="99" t="inlineStr">
        <is>
          <t>Материалы основные</t>
        </is>
      </c>
      <c r="C16" s="131">
        <f>'Прил.5 Расчет СМР и ОБ'!J37</f>
        <v/>
      </c>
      <c r="D16" s="132">
        <f>C16/$C$24</f>
        <v/>
      </c>
      <c r="E16" s="132">
        <f>C16/$C$40</f>
        <v/>
      </c>
    </row>
    <row r="17">
      <c r="B17" s="99" t="inlineStr">
        <is>
          <t>Материалы прочие</t>
        </is>
      </c>
      <c r="C17" s="131">
        <f>'Прил.5 Расчет СМР и ОБ'!J43</f>
        <v/>
      </c>
      <c r="D17" s="132">
        <f>C17/$C$24</f>
        <v/>
      </c>
      <c r="E17" s="132">
        <f>C17/$C$40</f>
        <v/>
      </c>
    </row>
    <row r="18">
      <c r="B18" s="99" t="inlineStr">
        <is>
          <t>МАТЕРИАЛЫ, ВСЕГО:</t>
        </is>
      </c>
      <c r="C18" s="131">
        <f>C17+C16</f>
        <v/>
      </c>
      <c r="D18" s="132">
        <f>C18/$C$24</f>
        <v/>
      </c>
      <c r="E18" s="132">
        <f>C18/$C$40</f>
        <v/>
      </c>
    </row>
    <row r="19">
      <c r="B19" s="99" t="inlineStr">
        <is>
          <t>ИТОГО</t>
        </is>
      </c>
      <c r="C19" s="131">
        <f>C18+C14+C11</f>
        <v/>
      </c>
      <c r="D19" s="132" t="n"/>
      <c r="E19" s="99" t="n"/>
    </row>
    <row r="20">
      <c r="B20" s="99" t="inlineStr">
        <is>
          <t>Сметная прибыль, руб.</t>
        </is>
      </c>
      <c r="C20" s="131">
        <f>ROUND(C21*(C11+C15),2)</f>
        <v/>
      </c>
      <c r="D20" s="132">
        <f>C20/$C$24</f>
        <v/>
      </c>
      <c r="E20" s="132">
        <f>C20/$C$40</f>
        <v/>
      </c>
    </row>
    <row r="21">
      <c r="B21" s="99" t="inlineStr">
        <is>
          <t>Сметная прибыль, %</t>
        </is>
      </c>
      <c r="C21" s="135">
        <f>'Прил.5 Расчет СМР и ОБ'!D47</f>
        <v/>
      </c>
      <c r="D21" s="132" t="n"/>
      <c r="E21" s="99" t="n"/>
    </row>
    <row r="22">
      <c r="B22" s="99" t="inlineStr">
        <is>
          <t>Накладные расходы, руб.</t>
        </is>
      </c>
      <c r="C22" s="131">
        <f>ROUND(C23*(C11+C15),2)</f>
        <v/>
      </c>
      <c r="D22" s="132">
        <f>C22/$C$24</f>
        <v/>
      </c>
      <c r="E22" s="132">
        <f>C22/$C$40</f>
        <v/>
      </c>
    </row>
    <row r="23">
      <c r="B23" s="99" t="inlineStr">
        <is>
          <t>Накладные расходы, %</t>
        </is>
      </c>
      <c r="C23" s="135">
        <f>'Прил.5 Расчет СМР и ОБ'!D46</f>
        <v/>
      </c>
      <c r="D23" s="132" t="n"/>
      <c r="E23" s="99" t="n"/>
    </row>
    <row r="24">
      <c r="B24" s="99" t="inlineStr">
        <is>
          <t>ВСЕГО СМР с НР и СП</t>
        </is>
      </c>
      <c r="C24" s="131">
        <f>C19+C20+C22</f>
        <v/>
      </c>
      <c r="D24" s="132">
        <f>C24/$C$24</f>
        <v/>
      </c>
      <c r="E24" s="132">
        <f>C24/$C$40</f>
        <v/>
      </c>
    </row>
    <row r="25" ht="25.5" customHeight="1" s="210">
      <c r="B25" s="99" t="inlineStr">
        <is>
          <t>ВСЕГО стоимость оборудования, в том числе</t>
        </is>
      </c>
      <c r="C25" s="131">
        <f>'Прил.5 Расчет СМР и ОБ'!J31</f>
        <v/>
      </c>
      <c r="D25" s="132" t="n"/>
      <c r="E25" s="132">
        <f>C25/$C$40</f>
        <v/>
      </c>
    </row>
    <row r="26" ht="25.5" customHeight="1" s="210">
      <c r="B26" s="99" t="inlineStr">
        <is>
          <t>стоимость оборудования технологического</t>
        </is>
      </c>
      <c r="C26" s="131">
        <f>'Прил.5 Расчет СМР и ОБ'!J32</f>
        <v/>
      </c>
      <c r="D26" s="132" t="n"/>
      <c r="E26" s="132">
        <f>C26/$C$40</f>
        <v/>
      </c>
    </row>
    <row r="27">
      <c r="B27" s="99" t="inlineStr">
        <is>
          <t>ИТОГО (СМР + ОБОРУДОВАНИЕ)</t>
        </is>
      </c>
      <c r="C27" s="134">
        <f>C24+C25</f>
        <v/>
      </c>
      <c r="D27" s="132" t="n"/>
      <c r="E27" s="132">
        <f>C27/$C$40</f>
        <v/>
      </c>
    </row>
    <row r="28" ht="33" customHeight="1" s="21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33" t="n"/>
    </row>
    <row r="29" ht="25.5" customHeight="1" s="210">
      <c r="B29" s="99" t="inlineStr">
        <is>
          <t>Временные здания и сооружения - 3,9%</t>
        </is>
      </c>
      <c r="C29" s="134">
        <f>ROUND(C24*3.9%,2)</f>
        <v/>
      </c>
      <c r="D29" s="99" t="n"/>
      <c r="E29" s="132">
        <f>C29/$C$40</f>
        <v/>
      </c>
    </row>
    <row r="30" ht="38.25" customHeight="1" s="210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34">
        <f>ROUND((C24+C29)*2.1%,2)</f>
        <v/>
      </c>
      <c r="D30" s="99" t="n"/>
      <c r="E30" s="132">
        <f>C30/$C$40</f>
        <v/>
      </c>
      <c r="F30" s="133" t="n"/>
    </row>
    <row r="31">
      <c r="B31" s="99" t="inlineStr">
        <is>
          <t>Пусконаладочные работы</t>
        </is>
      </c>
      <c r="C31" s="134" t="n">
        <v>328074.34</v>
      </c>
      <c r="D31" s="99" t="n"/>
      <c r="E31" s="132">
        <f>C31/$C$40</f>
        <v/>
      </c>
    </row>
    <row r="32" ht="25.5" customHeight="1" s="210">
      <c r="B32" s="99" t="inlineStr">
        <is>
          <t>Затраты по перевозке работников к месту работы и обратно</t>
        </is>
      </c>
      <c r="C32" s="134" t="n">
        <v>0</v>
      </c>
      <c r="D32" s="99" t="n"/>
      <c r="E32" s="132">
        <f>C32/$C$40</f>
        <v/>
      </c>
    </row>
    <row r="33" ht="25.5" customHeight="1" s="210">
      <c r="B33" s="99" t="inlineStr">
        <is>
          <t>Затраты, связанные с осуществлением работ вахтовым методом</t>
        </is>
      </c>
      <c r="C33" s="134">
        <f>ROUND($C$27*0,2)</f>
        <v/>
      </c>
      <c r="D33" s="99" t="n"/>
      <c r="E33" s="132">
        <f>C33/$C$40</f>
        <v/>
      </c>
    </row>
    <row r="34" ht="51" customHeight="1" s="21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4" t="n">
        <v>0</v>
      </c>
      <c r="D34" s="99" t="n"/>
      <c r="E34" s="132">
        <f>C34/$C$40</f>
        <v/>
      </c>
      <c r="G34" s="137" t="n"/>
    </row>
    <row r="35" ht="76.5" customHeight="1" s="21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4" t="n">
        <v>0</v>
      </c>
      <c r="D35" s="99" t="n"/>
      <c r="E35" s="132">
        <f>C35/$C$40</f>
        <v/>
      </c>
    </row>
    <row r="36" ht="25.5" customHeight="1" s="210">
      <c r="B36" s="99" t="inlineStr">
        <is>
          <t>Строительный контроль и содержание службы заказчика - 1,72%</t>
        </is>
      </c>
      <c r="C36" s="134">
        <f>ROUND((C27+C32+C33+C34+C35+C29+C31+C30)*1.72%,2)</f>
        <v/>
      </c>
      <c r="D36" s="99" t="n"/>
      <c r="E36" s="132">
        <f>C36/$C$40</f>
        <v/>
      </c>
      <c r="K36" s="133" t="n"/>
    </row>
    <row r="37">
      <c r="B37" s="99" t="inlineStr">
        <is>
          <t>Авторский надзор - 0,2%</t>
        </is>
      </c>
      <c r="C37" s="134">
        <f>ROUND((C27+C32+C33+C34+C35+C29+C31+C30)*0.2%,2)</f>
        <v/>
      </c>
      <c r="D37" s="99" t="n"/>
      <c r="E37" s="132">
        <f>C37/$C$40</f>
        <v/>
      </c>
      <c r="K37" s="133" t="n"/>
    </row>
    <row r="38" ht="38.25" customHeight="1" s="210">
      <c r="B38" s="99" t="inlineStr">
        <is>
          <t>ИТОГО (СМР+ОБОРУДОВАНИЕ+ПРОЧ. ЗАТР., УЧТЕННЫЕ ПОКАЗАТЕЛЕМ)</t>
        </is>
      </c>
      <c r="C38" s="131">
        <f>C27+C32+C33+C34+C35+C29+C31+C30+C36+C37</f>
        <v/>
      </c>
      <c r="D38" s="99" t="n"/>
      <c r="E38" s="132">
        <f>C38/$C$40</f>
        <v/>
      </c>
    </row>
    <row r="39" ht="13.5" customHeight="1" s="210">
      <c r="B39" s="99" t="inlineStr">
        <is>
          <t>Непредвиденные расходы</t>
        </is>
      </c>
      <c r="C39" s="131">
        <f>ROUND(C38*3%,2)</f>
        <v/>
      </c>
      <c r="D39" s="99" t="n"/>
      <c r="E39" s="132">
        <f>C39/$C$38</f>
        <v/>
      </c>
    </row>
    <row r="40">
      <c r="B40" s="99" t="inlineStr">
        <is>
          <t>ВСЕГО:</t>
        </is>
      </c>
      <c r="C40" s="131">
        <f>C39+C38</f>
        <v/>
      </c>
      <c r="D40" s="99" t="n"/>
      <c r="E40" s="132">
        <f>C40/$C$40</f>
        <v/>
      </c>
    </row>
    <row r="41">
      <c r="B41" s="99" t="inlineStr">
        <is>
          <t>ИТОГО ПОКАЗАТЕЛЬ НА ЕД. ИЗМ.</t>
        </is>
      </c>
      <c r="C41" s="131">
        <f>C40/'Прил.5 Расчет СМР и ОБ'!E50</f>
        <v/>
      </c>
      <c r="D41" s="99" t="n"/>
      <c r="E41" s="99" t="n"/>
    </row>
    <row r="42">
      <c r="B42" s="143" t="n"/>
      <c r="C42" s="203" t="n"/>
      <c r="D42" s="203" t="n"/>
      <c r="E42" s="203" t="n"/>
    </row>
    <row r="43">
      <c r="B43" s="143" t="inlineStr">
        <is>
          <t>Составил ____________________________ Д.А. Самуйленко</t>
        </is>
      </c>
      <c r="C43" s="203" t="n"/>
      <c r="D43" s="203" t="n"/>
      <c r="E43" s="203" t="n"/>
    </row>
    <row r="44">
      <c r="B44" s="143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43" t="n"/>
      <c r="C45" s="203" t="n"/>
      <c r="D45" s="203" t="n"/>
      <c r="E45" s="203" t="n"/>
    </row>
    <row r="46">
      <c r="B46" s="143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51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6"/>
  <sheetViews>
    <sheetView view="pageBreakPreview" topLeftCell="A46" workbookViewId="0">
      <selection activeCell="C51" sqref="C51"/>
    </sheetView>
  </sheetViews>
  <sheetFormatPr baseColWidth="8" defaultColWidth="9.140625" defaultRowHeight="15" outlineLevelRow="1"/>
  <cols>
    <col width="5.7109375" customWidth="1" style="204" min="1" max="1"/>
    <col width="22.5703125" customWidth="1" style="204" min="2" max="2"/>
    <col width="39.140625" customWidth="1" style="204" min="3" max="3"/>
    <col width="10.7109375" customWidth="1" style="204" min="4" max="4"/>
    <col width="12.7109375" customWidth="1" style="204" min="5" max="5"/>
    <col width="15" customWidth="1" style="204" min="6" max="6"/>
    <col width="13.42578125" customWidth="1" style="204" min="7" max="7"/>
    <col width="12.7109375" customWidth="1" style="204" min="8" max="8"/>
    <col width="13.85546875" customWidth="1" style="204" min="9" max="9"/>
    <col width="17.5703125" customWidth="1" style="204" min="10" max="10"/>
    <col width="10.85546875" customWidth="1" style="204" min="11" max="11"/>
    <col width="9.140625" customWidth="1" style="204" min="12" max="12"/>
  </cols>
  <sheetData>
    <row r="1">
      <c r="M1" s="204" t="n"/>
      <c r="N1" s="204" t="n"/>
    </row>
    <row r="2" ht="15.75" customHeight="1" s="210">
      <c r="H2" s="267" t="inlineStr">
        <is>
          <t>Приложение №5</t>
        </is>
      </c>
      <c r="M2" s="204" t="n"/>
      <c r="N2" s="204" t="n"/>
    </row>
    <row r="3">
      <c r="M3" s="204" t="n"/>
      <c r="N3" s="204" t="n"/>
    </row>
    <row r="4" ht="12.75" customFormat="1" customHeight="1" s="203">
      <c r="A4" s="228" t="inlineStr">
        <is>
          <t>Расчет стоимости СМР и оборудования</t>
        </is>
      </c>
    </row>
    <row r="5" ht="12.75" customFormat="1" customHeight="1" s="203">
      <c r="A5" s="228" t="n"/>
      <c r="B5" s="228" t="n"/>
      <c r="C5" s="279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203">
      <c r="A6" s="150" t="inlineStr">
        <is>
          <t>Наименование разрабатываемого показателя УНЦ</t>
        </is>
      </c>
      <c r="B6" s="151" t="n"/>
      <c r="C6" s="151" t="n"/>
      <c r="D6" s="231" t="inlineStr">
        <is>
          <t>Баковый выключатель 35 кВ без устройства фундамента</t>
        </is>
      </c>
    </row>
    <row r="7" ht="12.75" customFormat="1" customHeight="1" s="203">
      <c r="A7" s="231" t="inlineStr">
        <is>
          <t>Единица измерения  — 1 ед.</t>
        </is>
      </c>
      <c r="I7" s="250" t="n"/>
      <c r="J7" s="250" t="n"/>
    </row>
    <row r="8" ht="13.5" customFormat="1" customHeight="1" s="203">
      <c r="A8" s="231" t="n"/>
    </row>
    <row r="9" ht="27" customHeight="1" s="210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2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2" t="n"/>
      <c r="M9" s="204" t="n"/>
      <c r="N9" s="204" t="n"/>
    </row>
    <row r="10" ht="28.5" customHeight="1" s="210">
      <c r="A10" s="334" t="n"/>
      <c r="B10" s="334" t="n"/>
      <c r="C10" s="334" t="n"/>
      <c r="D10" s="334" t="n"/>
      <c r="E10" s="334" t="n"/>
      <c r="F10" s="259" t="inlineStr">
        <is>
          <t>на ед. изм.</t>
        </is>
      </c>
      <c r="G10" s="259" t="inlineStr">
        <is>
          <t>общая</t>
        </is>
      </c>
      <c r="H10" s="334" t="n"/>
      <c r="I10" s="259" t="inlineStr">
        <is>
          <t>на ед. изм.</t>
        </is>
      </c>
      <c r="J10" s="259" t="inlineStr">
        <is>
          <t>общая</t>
        </is>
      </c>
      <c r="M10" s="204" t="n"/>
      <c r="N10" s="204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3" t="n">
        <v>9</v>
      </c>
      <c r="J11" s="253" t="n">
        <v>10</v>
      </c>
      <c r="M11" s="204" t="n"/>
      <c r="N11" s="204" t="n"/>
    </row>
    <row r="12">
      <c r="A12" s="259" t="n"/>
      <c r="B12" s="257" t="inlineStr">
        <is>
          <t>Затраты труда рабочих-строителей</t>
        </is>
      </c>
      <c r="C12" s="331" t="n"/>
      <c r="D12" s="331" t="n"/>
      <c r="E12" s="331" t="n"/>
      <c r="F12" s="331" t="n"/>
      <c r="G12" s="331" t="n"/>
      <c r="H12" s="332" t="n"/>
      <c r="I12" s="115" t="n"/>
      <c r="J12" s="115" t="n"/>
    </row>
    <row r="13" ht="25.5" customHeight="1" s="210">
      <c r="A13" s="259" t="n">
        <v>1</v>
      </c>
      <c r="B13" s="159" t="inlineStr">
        <is>
          <t>1-3-0</t>
        </is>
      </c>
      <c r="C13" s="258" t="inlineStr">
        <is>
          <t>Затраты труда рабочих-строителей среднего разряда (3,0)</t>
        </is>
      </c>
      <c r="D13" s="259" t="inlineStr">
        <is>
          <t>чел.-ч.</t>
        </is>
      </c>
      <c r="E13" s="183">
        <f>G13/F13</f>
        <v/>
      </c>
      <c r="F13" s="27" t="n">
        <v>9.619999999999999</v>
      </c>
      <c r="G13" s="173" t="n">
        <v>852.33</v>
      </c>
      <c r="H13" s="118">
        <f>G13/G14</f>
        <v/>
      </c>
      <c r="I13" s="27">
        <f>'ФОТр.тек.'!E13</f>
        <v/>
      </c>
      <c r="J13" s="27">
        <f>ROUND(I13*E13,2)</f>
        <v/>
      </c>
    </row>
    <row r="14" ht="25.5" customFormat="1" customHeight="1" s="204">
      <c r="A14" s="259" t="n"/>
      <c r="B14" s="259" t="n"/>
      <c r="C14" s="25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183">
        <f>SUM(E13:E13)</f>
        <v/>
      </c>
      <c r="F14" s="27" t="n"/>
      <c r="G14" s="27">
        <f>SUM(G13:G13)</f>
        <v/>
      </c>
      <c r="H14" s="262" t="n">
        <v>1</v>
      </c>
      <c r="I14" s="115" t="n"/>
      <c r="J14" s="27">
        <f>SUM(J13:J13)</f>
        <v/>
      </c>
    </row>
    <row r="15" ht="14.25" customFormat="1" customHeight="1" s="204">
      <c r="A15" s="259" t="n"/>
      <c r="B15" s="258" t="inlineStr">
        <is>
          <t>Затраты труда машинистов</t>
        </is>
      </c>
      <c r="C15" s="331" t="n"/>
      <c r="D15" s="331" t="n"/>
      <c r="E15" s="331" t="n"/>
      <c r="F15" s="331" t="n"/>
      <c r="G15" s="331" t="n"/>
      <c r="H15" s="332" t="n"/>
      <c r="I15" s="115" t="n"/>
      <c r="J15" s="115" t="n"/>
    </row>
    <row r="16" ht="14.25" customFormat="1" customHeight="1" s="204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7" t="n">
        <v>10.56</v>
      </c>
      <c r="F16" s="27">
        <f>G16/E16</f>
        <v/>
      </c>
      <c r="G16" s="173" t="n">
        <v>138.99</v>
      </c>
      <c r="H16" s="262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204">
      <c r="A17" s="259" t="n"/>
      <c r="B17" s="257" t="inlineStr">
        <is>
          <t>Машины и механизмы</t>
        </is>
      </c>
      <c r="C17" s="331" t="n"/>
      <c r="D17" s="331" t="n"/>
      <c r="E17" s="331" t="n"/>
      <c r="F17" s="331" t="n"/>
      <c r="G17" s="331" t="n"/>
      <c r="H17" s="332" t="n"/>
      <c r="I17" s="115" t="n"/>
      <c r="J17" s="115" t="n"/>
    </row>
    <row r="18" ht="14.25" customFormat="1" customHeight="1" s="204">
      <c r="A18" s="259" t="n"/>
      <c r="B18" s="258" t="inlineStr">
        <is>
          <t>Основные 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15" t="n"/>
      <c r="J18" s="115" t="n"/>
    </row>
    <row r="19" ht="25.5" customFormat="1" customHeight="1" s="204">
      <c r="A19" s="259" t="n">
        <v>3</v>
      </c>
      <c r="B19" s="159" t="inlineStr">
        <is>
          <t>91.05.05-015</t>
        </is>
      </c>
      <c r="C19" s="258" t="inlineStr">
        <is>
          <t>Краны на автомобильном ходу, грузоподъемность 16 т</t>
        </is>
      </c>
      <c r="D19" s="259" t="inlineStr">
        <is>
          <t>маш.час</t>
        </is>
      </c>
      <c r="E19" s="159" t="n">
        <v>8.68</v>
      </c>
      <c r="F19" s="275" t="n">
        <v>115.4</v>
      </c>
      <c r="G19" s="27">
        <f>ROUND(E19*F19,2)</f>
        <v/>
      </c>
      <c r="H19" s="118">
        <f>G19/$G$25</f>
        <v/>
      </c>
      <c r="I19" s="27">
        <f>ROUND(F19*Прил.10!$D$12,2)</f>
        <v/>
      </c>
      <c r="J19" s="27">
        <f>ROUND(I19*E19,2)</f>
        <v/>
      </c>
    </row>
    <row r="20" ht="14.25" customFormat="1" customHeight="1" s="204">
      <c r="A20" s="259" t="n"/>
      <c r="B20" s="259" t="n"/>
      <c r="C20" s="258" t="inlineStr">
        <is>
          <t>Итого основные машины и механизмы</t>
        </is>
      </c>
      <c r="D20" s="259" t="n"/>
      <c r="E20" s="336" t="n"/>
      <c r="F20" s="27" t="n"/>
      <c r="G20" s="27">
        <f>SUM(G19:G19)</f>
        <v/>
      </c>
      <c r="H20" s="262">
        <f>G20/G25</f>
        <v/>
      </c>
      <c r="I20" s="117" t="n"/>
      <c r="J20" s="27">
        <f>SUM(J19:J19)</f>
        <v/>
      </c>
    </row>
    <row r="21" hidden="1" outlineLevel="1" ht="25.5" customFormat="1" customHeight="1" s="204">
      <c r="A21" s="259" t="n">
        <v>4</v>
      </c>
      <c r="B21" s="159" t="inlineStr">
        <is>
          <t>91.14.02-001</t>
        </is>
      </c>
      <c r="C21" s="258" t="inlineStr">
        <is>
          <t>Автомобили бортовые, грузоподъемность до 5 т</t>
        </is>
      </c>
      <c r="D21" s="259" t="inlineStr">
        <is>
          <t>маш.час</t>
        </is>
      </c>
      <c r="E21" s="159" t="n">
        <v>1.88</v>
      </c>
      <c r="F21" s="275" t="n">
        <v>65.70999999999999</v>
      </c>
      <c r="G21" s="27">
        <f>ROUND(E21*F21,2)</f>
        <v/>
      </c>
      <c r="H21" s="118">
        <f>G21/$G$25</f>
        <v/>
      </c>
      <c r="I21" s="27">
        <f>ROUND(F21*Прил.10!$D$12,2)</f>
        <v/>
      </c>
      <c r="J21" s="27">
        <f>ROUND(I21*E21,2)</f>
        <v/>
      </c>
    </row>
    <row r="22" hidden="1" outlineLevel="1" ht="25.5" customFormat="1" customHeight="1" s="204">
      <c r="A22" s="259" t="n">
        <v>5</v>
      </c>
      <c r="B22" s="159" t="inlineStr">
        <is>
          <t>91.17.04-233</t>
        </is>
      </c>
      <c r="C22" s="258" t="inlineStr">
        <is>
          <t>Установки для сварки ручной дуговой (постоянного тока)</t>
        </is>
      </c>
      <c r="D22" s="259" t="inlineStr">
        <is>
          <t>маш.час</t>
        </is>
      </c>
      <c r="E22" s="159" t="n">
        <v>0.24</v>
      </c>
      <c r="F22" s="275" t="n">
        <v>8.1</v>
      </c>
      <c r="G22" s="27">
        <f>ROUND(E22*F22,2)</f>
        <v/>
      </c>
      <c r="H22" s="118">
        <f>G22/$G$25</f>
        <v/>
      </c>
      <c r="I22" s="27">
        <f>ROUND(F22*Прил.10!$D$12,2)</f>
        <v/>
      </c>
      <c r="J22" s="27">
        <f>ROUND(I22*E22,2)</f>
        <v/>
      </c>
    </row>
    <row r="23" hidden="1" outlineLevel="1" ht="25.5" customFormat="1" customHeight="1" s="204">
      <c r="A23" s="259" t="n">
        <v>6</v>
      </c>
      <c r="B23" s="159" t="inlineStr">
        <is>
          <t>91.19.02-002</t>
        </is>
      </c>
      <c r="C23" s="258" t="inlineStr">
        <is>
          <t>Маслонасосы шестеренные, производительность 2,3 м3/час</t>
        </is>
      </c>
      <c r="D23" s="259" t="inlineStr">
        <is>
          <t>маш.час</t>
        </is>
      </c>
      <c r="E23" s="159" t="n">
        <v>1.06</v>
      </c>
      <c r="F23" s="275" t="n">
        <v>0.9</v>
      </c>
      <c r="G23" s="27">
        <f>ROUND(E23*F23,2)</f>
        <v/>
      </c>
      <c r="H23" s="118">
        <f>G23/$G$25</f>
        <v/>
      </c>
      <c r="I23" s="27">
        <f>ROUND(F23*Прил.10!$D$12,2)</f>
        <v/>
      </c>
      <c r="J23" s="27">
        <f>ROUND(I23*E23,2)</f>
        <v/>
      </c>
    </row>
    <row r="24" collapsed="1" ht="14.25" customFormat="1" customHeight="1" s="204">
      <c r="A24" s="259" t="n"/>
      <c r="B24" s="259" t="n"/>
      <c r="C24" s="258" t="inlineStr">
        <is>
          <t>Итого прочие машины и механизмы</t>
        </is>
      </c>
      <c r="D24" s="259" t="n"/>
      <c r="E24" s="260" t="n"/>
      <c r="F24" s="27" t="n"/>
      <c r="G24" s="117">
        <f>SUM(G21:G23)</f>
        <v/>
      </c>
      <c r="H24" s="118">
        <f>G24/G25</f>
        <v/>
      </c>
      <c r="I24" s="27" t="n"/>
      <c r="J24" s="27">
        <f>SUM(J21:J23)</f>
        <v/>
      </c>
    </row>
    <row r="25" ht="25.5" customFormat="1" customHeight="1" s="204">
      <c r="A25" s="259" t="n"/>
      <c r="B25" s="259" t="n"/>
      <c r="C25" s="257" t="inlineStr">
        <is>
          <t>Итого по разделу «Машины и механизмы»</t>
        </is>
      </c>
      <c r="D25" s="259" t="n"/>
      <c r="E25" s="260" t="n"/>
      <c r="F25" s="27" t="n"/>
      <c r="G25" s="27">
        <f>G24+G20</f>
        <v/>
      </c>
      <c r="H25" s="119" t="n">
        <v>1</v>
      </c>
      <c r="I25" s="120" t="n"/>
      <c r="J25" s="121">
        <f>J24+J20</f>
        <v/>
      </c>
    </row>
    <row r="26" ht="14.25" customFormat="1" customHeight="1" s="204">
      <c r="A26" s="259" t="n"/>
      <c r="B26" s="257" t="inlineStr">
        <is>
          <t>Оборудование</t>
        </is>
      </c>
      <c r="C26" s="331" t="n"/>
      <c r="D26" s="331" t="n"/>
      <c r="E26" s="331" t="n"/>
      <c r="F26" s="331" t="n"/>
      <c r="G26" s="331" t="n"/>
      <c r="H26" s="332" t="n"/>
      <c r="I26" s="115" t="n"/>
      <c r="J26" s="115" t="n"/>
    </row>
    <row r="27">
      <c r="A27" s="259" t="n"/>
      <c r="B27" s="258" t="inlineStr">
        <is>
          <t>Основное оборудование</t>
        </is>
      </c>
      <c r="C27" s="331" t="n"/>
      <c r="D27" s="331" t="n"/>
      <c r="E27" s="331" t="n"/>
      <c r="F27" s="331" t="n"/>
      <c r="G27" s="331" t="n"/>
      <c r="H27" s="332" t="n"/>
      <c r="I27" s="115" t="n"/>
      <c r="J27" s="115" t="n"/>
    </row>
    <row r="28" ht="38.25" customHeight="1" s="210">
      <c r="A28" s="259" t="n">
        <v>7</v>
      </c>
      <c r="B28" s="159" t="inlineStr">
        <is>
          <t>БЦ.2.13</t>
        </is>
      </c>
      <c r="C28" s="258" t="inlineStr">
        <is>
          <t>Выключатель баковый 35 кВ 2500/25 кА</t>
        </is>
      </c>
      <c r="D28" s="259" t="inlineStr">
        <is>
          <t>шт.</t>
        </is>
      </c>
      <c r="E28" s="159" t="inlineStr">
        <is>
          <t>2</t>
        </is>
      </c>
      <c r="F28" s="275">
        <f>ROUND(I28/Прил.10!$D$14,2)</f>
        <v/>
      </c>
      <c r="G28" s="173">
        <f>ROUND(E28*F28,2)</f>
        <v/>
      </c>
      <c r="H28" s="118">
        <f>G28/$G$31</f>
        <v/>
      </c>
      <c r="I28" s="27" t="n">
        <v>4811320.75</v>
      </c>
      <c r="J28" s="27">
        <f>ROUND(I28*E28,2)</f>
        <v/>
      </c>
    </row>
    <row r="29">
      <c r="A29" s="259" t="n"/>
      <c r="B29" s="259" t="n"/>
      <c r="C29" s="258" t="inlineStr">
        <is>
          <t>Итого основное оборудование</t>
        </is>
      </c>
      <c r="D29" s="259" t="n"/>
      <c r="E29" s="336" t="n"/>
      <c r="F29" s="261" t="n"/>
      <c r="G29" s="27">
        <f>SUM(G28)</f>
        <v/>
      </c>
      <c r="H29" s="118">
        <f>SUM(H28)</f>
        <v/>
      </c>
      <c r="I29" s="117" t="n"/>
      <c r="J29" s="27">
        <f>SUM(J28)</f>
        <v/>
      </c>
    </row>
    <row r="30">
      <c r="A30" s="259" t="n"/>
      <c r="B30" s="259" t="n"/>
      <c r="C30" s="258" t="inlineStr">
        <is>
          <t>Итого прочее оборудование</t>
        </is>
      </c>
      <c r="D30" s="259" t="n"/>
      <c r="E30" s="336" t="n"/>
      <c r="F30" s="261" t="n"/>
      <c r="G30" s="27" t="n">
        <v>0</v>
      </c>
      <c r="H30" s="118" t="n">
        <v>0</v>
      </c>
      <c r="I30" s="117" t="n"/>
      <c r="J30" s="27" t="n">
        <v>0</v>
      </c>
    </row>
    <row r="31">
      <c r="A31" s="259" t="n"/>
      <c r="B31" s="259" t="n"/>
      <c r="C31" s="257" t="inlineStr">
        <is>
          <t>Итого по разделу «Оборудование»</t>
        </is>
      </c>
      <c r="D31" s="259" t="n"/>
      <c r="E31" s="260" t="n"/>
      <c r="F31" s="261" t="n"/>
      <c r="G31" s="27">
        <f>G29+G30</f>
        <v/>
      </c>
      <c r="H31" s="262">
        <f>H29+H30</f>
        <v/>
      </c>
      <c r="I31" s="117" t="n"/>
      <c r="J31" s="27">
        <f>J30+J29</f>
        <v/>
      </c>
    </row>
    <row r="32" ht="25.5" customHeight="1" s="210">
      <c r="A32" s="259" t="n"/>
      <c r="B32" s="259" t="n"/>
      <c r="C32" s="258" t="inlineStr">
        <is>
          <t>в том числе технологическое оборудование</t>
        </is>
      </c>
      <c r="D32" s="259" t="n"/>
      <c r="E32" s="337" t="n"/>
      <c r="F32" s="261" t="n"/>
      <c r="G32" s="27">
        <f>'Прил.6 Расчет ОБ'!G13</f>
        <v/>
      </c>
      <c r="H32" s="262" t="n"/>
      <c r="I32" s="117" t="n"/>
      <c r="J32" s="27">
        <f>ROUND(G32*Прил.10!D14,2)</f>
        <v/>
      </c>
    </row>
    <row r="33" ht="14.25" customFormat="1" customHeight="1" s="204">
      <c r="A33" s="259" t="n"/>
      <c r="B33" s="257" t="inlineStr">
        <is>
          <t>Материалы</t>
        </is>
      </c>
      <c r="C33" s="331" t="n"/>
      <c r="D33" s="331" t="n"/>
      <c r="E33" s="331" t="n"/>
      <c r="F33" s="331" t="n"/>
      <c r="G33" s="331" t="n"/>
      <c r="H33" s="332" t="n"/>
      <c r="I33" s="115" t="n"/>
      <c r="J33" s="115" t="n"/>
    </row>
    <row r="34" ht="14.25" customFormat="1" customHeight="1" s="204">
      <c r="A34" s="253" t="n"/>
      <c r="B34" s="252" t="inlineStr">
        <is>
          <t>Основные материалы</t>
        </is>
      </c>
      <c r="C34" s="338" t="n"/>
      <c r="D34" s="338" t="n"/>
      <c r="E34" s="338" t="n"/>
      <c r="F34" s="338" t="n"/>
      <c r="G34" s="338" t="n"/>
      <c r="H34" s="339" t="n"/>
      <c r="I34" s="125" t="n"/>
      <c r="J34" s="125" t="n"/>
    </row>
    <row r="35" ht="14.25" customFormat="1" customHeight="1" s="204">
      <c r="A35" s="259" t="n">
        <v>8</v>
      </c>
      <c r="B35" s="159" t="inlineStr">
        <is>
          <t>01.7.03.04-0001</t>
        </is>
      </c>
      <c r="C35" s="258" t="inlineStr">
        <is>
          <t>Электроэнергия</t>
        </is>
      </c>
      <c r="D35" s="259" t="inlineStr">
        <is>
          <t>кВт-ч</t>
        </is>
      </c>
      <c r="E35" s="159" t="n">
        <v>723.8</v>
      </c>
      <c r="F35" s="275" t="n">
        <v>0.4</v>
      </c>
      <c r="G35" s="27">
        <f>ROUND(E35*F35,2)</f>
        <v/>
      </c>
      <c r="H35" s="118">
        <f>G35/$G$44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204">
      <c r="A36" s="259" t="n">
        <v>9</v>
      </c>
      <c r="B36" s="159" t="inlineStr">
        <is>
          <t>14.4.02.09-0001</t>
        </is>
      </c>
      <c r="C36" s="258" t="inlineStr">
        <is>
          <t>Краска</t>
        </is>
      </c>
      <c r="D36" s="259" t="inlineStr">
        <is>
          <t>кг</t>
        </is>
      </c>
      <c r="E36" s="159" t="n">
        <v>7.6</v>
      </c>
      <c r="F36" s="275" t="n">
        <v>28.6</v>
      </c>
      <c r="G36" s="27">
        <f>ROUND(E36*F36,2)</f>
        <v/>
      </c>
      <c r="H36" s="118">
        <f>G36/$G$44</f>
        <v/>
      </c>
      <c r="I36" s="27">
        <f>ROUND(F36*Прил.10!$D$13,2)</f>
        <v/>
      </c>
      <c r="J36" s="27">
        <f>ROUND(I36*E36,2)</f>
        <v/>
      </c>
    </row>
    <row r="37" ht="14.25" customFormat="1" customHeight="1" s="204">
      <c r="A37" s="187" t="n"/>
      <c r="B37" s="188" t="n"/>
      <c r="C37" s="189" t="inlineStr">
        <is>
          <t>Итого основные материалы</t>
        </is>
      </c>
      <c r="D37" s="187" t="n"/>
      <c r="E37" s="340" t="n"/>
      <c r="F37" s="191" t="n"/>
      <c r="G37" s="191">
        <f>SUM(G35:G36)</f>
        <v/>
      </c>
      <c r="H37" s="192">
        <f>G37/$G$44</f>
        <v/>
      </c>
      <c r="I37" s="191" t="n"/>
      <c r="J37" s="191">
        <f>SUM(J35:J36)</f>
        <v/>
      </c>
      <c r="K37" s="24" t="n"/>
      <c r="L37" s="24" t="n"/>
    </row>
    <row r="38" hidden="1" outlineLevel="1" ht="38.25" customFormat="1" customHeight="1" s="204">
      <c r="A38" s="259" t="n">
        <v>10</v>
      </c>
      <c r="B38" s="159" t="inlineStr">
        <is>
          <t>08.3.07.01-0076</t>
        </is>
      </c>
      <c r="C38" s="258" t="inlineStr">
        <is>
          <t>Прокат полосовой, горячекатаный, марка стали Ст3сп, ширина 50-200 мм, толщина 4-5 мм</t>
        </is>
      </c>
      <c r="D38" s="259" t="inlineStr">
        <is>
          <t>т</t>
        </is>
      </c>
      <c r="E38" s="159" t="n">
        <v>0.006</v>
      </c>
      <c r="F38" s="275" t="n">
        <v>5000</v>
      </c>
      <c r="G38" s="27">
        <f>ROUND(E38*F38,2)</f>
        <v/>
      </c>
      <c r="H38" s="118">
        <f>G38/$G$44</f>
        <v/>
      </c>
      <c r="I38" s="27">
        <f>ROUND(F38*Прил.10!$D$13,2)</f>
        <v/>
      </c>
      <c r="J38" s="27">
        <f>ROUND(I38*E38,2)</f>
        <v/>
      </c>
      <c r="K38" s="24" t="n"/>
      <c r="L38" s="24" t="n"/>
    </row>
    <row r="39" hidden="1" outlineLevel="1" ht="25.5" customFormat="1" customHeight="1" s="204">
      <c r="A39" s="259" t="n">
        <v>11</v>
      </c>
      <c r="B39" s="159" t="inlineStr">
        <is>
          <t>01.3.01.06-0050</t>
        </is>
      </c>
      <c r="C39" s="258" t="inlineStr">
        <is>
          <t>Смазка универсальная тугоплавкая УТ (консталин жировой)</t>
        </is>
      </c>
      <c r="D39" s="259" t="inlineStr">
        <is>
          <t>т</t>
        </is>
      </c>
      <c r="E39" s="159" t="n">
        <v>0.001</v>
      </c>
      <c r="F39" s="275" t="n">
        <v>17500</v>
      </c>
      <c r="G39" s="27">
        <f>ROUND(E39*F39,2)</f>
        <v/>
      </c>
      <c r="H39" s="118">
        <f>G39/$G$44</f>
        <v/>
      </c>
      <c r="I39" s="27">
        <f>ROUND(F39*Прил.10!$D$13,2)</f>
        <v/>
      </c>
      <c r="J39" s="27">
        <f>ROUND(I39*E39,2)</f>
        <v/>
      </c>
      <c r="K39" s="24" t="n"/>
      <c r="L39" s="24" t="n"/>
    </row>
    <row r="40" hidden="1" outlineLevel="1" ht="14.25" customFormat="1" customHeight="1" s="204">
      <c r="A40" s="259" t="n">
        <v>12</v>
      </c>
      <c r="B40" s="159" t="inlineStr">
        <is>
          <t>01.7.20.08-0031</t>
        </is>
      </c>
      <c r="C40" s="258" t="inlineStr">
        <is>
          <t>Бязь суровая</t>
        </is>
      </c>
      <c r="D40" s="259" t="inlineStr">
        <is>
          <t>10 м2</t>
        </is>
      </c>
      <c r="E40" s="159" t="n">
        <v>0.22</v>
      </c>
      <c r="F40" s="275" t="n">
        <v>79.09999999999999</v>
      </c>
      <c r="G40" s="27">
        <f>ROUND(E40*F40,2)</f>
        <v/>
      </c>
      <c r="H40" s="118">
        <f>G40/$G$44</f>
        <v/>
      </c>
      <c r="I40" s="27">
        <f>ROUND(F40*Прил.10!$D$13,2)</f>
        <v/>
      </c>
      <c r="J40" s="27">
        <f>ROUND(I40*E40,2)</f>
        <v/>
      </c>
      <c r="K40" s="24" t="n"/>
      <c r="L40" s="24" t="n"/>
    </row>
    <row r="41" hidden="1" outlineLevel="1" ht="25.5" customFormat="1" customHeight="1" s="204">
      <c r="A41" s="259" t="n">
        <v>13</v>
      </c>
      <c r="B41" s="159" t="inlineStr">
        <is>
          <t>999-9950</t>
        </is>
      </c>
      <c r="C41" s="258" t="inlineStr">
        <is>
          <t>Вспомогательные ненормируемые ресурсы (2% от Оплаты труда рабочих)</t>
        </is>
      </c>
      <c r="D41" s="259" t="inlineStr">
        <is>
          <t>руб</t>
        </is>
      </c>
      <c r="E41" s="159" t="n">
        <v>17.04</v>
      </c>
      <c r="F41" s="275" t="n">
        <v>1</v>
      </c>
      <c r="G41" s="27">
        <f>ROUND(E41*F41,2)</f>
        <v/>
      </c>
      <c r="H41" s="118">
        <f>G41/$G$44</f>
        <v/>
      </c>
      <c r="I41" s="27">
        <f>ROUND(F41*Прил.10!$D$13,2)</f>
        <v/>
      </c>
      <c r="J41" s="27">
        <f>ROUND(I41*E41,2)</f>
        <v/>
      </c>
      <c r="K41" s="24" t="n"/>
      <c r="L41" s="24" t="n"/>
    </row>
    <row r="42" hidden="1" outlineLevel="1" ht="25.5" customFormat="1" customHeight="1" s="204">
      <c r="A42" s="259" t="n">
        <v>14</v>
      </c>
      <c r="B42" s="159" t="inlineStr">
        <is>
          <t>01.7.11.07-0034</t>
        </is>
      </c>
      <c r="C42" s="258" t="inlineStr">
        <is>
          <t>Электроды сварочные Э42А, диаметр 4 мм</t>
        </is>
      </c>
      <c r="D42" s="259" t="inlineStr">
        <is>
          <t>кг</t>
        </is>
      </c>
      <c r="E42" s="159" t="n">
        <v>0.1</v>
      </c>
      <c r="F42" s="275" t="n">
        <v>10.57</v>
      </c>
      <c r="G42" s="27">
        <f>ROUND(E42*F42,2)</f>
        <v/>
      </c>
      <c r="H42" s="118">
        <f>G42/$G$44</f>
        <v/>
      </c>
      <c r="I42" s="27">
        <f>ROUND(F42*Прил.10!$D$13,2)</f>
        <v/>
      </c>
      <c r="J42" s="27">
        <f>ROUND(I42*E42,2)</f>
        <v/>
      </c>
      <c r="K42" s="24" t="n"/>
      <c r="L42" s="24" t="n"/>
    </row>
    <row r="43" collapsed="1" ht="14.25" customFormat="1" customHeight="1" s="204">
      <c r="A43" s="270" t="n"/>
      <c r="B43" s="270" t="n"/>
      <c r="C43" s="193" t="inlineStr">
        <is>
          <t>Итого прочие материалы</t>
        </is>
      </c>
      <c r="D43" s="270" t="n"/>
      <c r="E43" s="194" t="n"/>
      <c r="F43" s="195" t="n"/>
      <c r="G43" s="121">
        <f>SUM(G38:G42)</f>
        <v/>
      </c>
      <c r="H43" s="184">
        <f>G43/$G$44</f>
        <v/>
      </c>
      <c r="I43" s="121" t="n"/>
      <c r="J43" s="121">
        <f>SUM(J38:J42)</f>
        <v/>
      </c>
    </row>
    <row r="44" ht="14.25" customFormat="1" customHeight="1" s="204">
      <c r="A44" s="259" t="n"/>
      <c r="B44" s="259" t="n"/>
      <c r="C44" s="257" t="inlineStr">
        <is>
          <t>Итого по разделу «Материалы»</t>
        </is>
      </c>
      <c r="D44" s="259" t="n"/>
      <c r="E44" s="260" t="n"/>
      <c r="F44" s="261" t="n"/>
      <c r="G44" s="27">
        <f>G37+G43</f>
        <v/>
      </c>
      <c r="H44" s="262">
        <f>G44/$G$44</f>
        <v/>
      </c>
      <c r="I44" s="27" t="n"/>
      <c r="J44" s="27">
        <f>J37+J43</f>
        <v/>
      </c>
    </row>
    <row r="45" ht="14.25" customFormat="1" customHeight="1" s="204">
      <c r="A45" s="259" t="n"/>
      <c r="B45" s="259" t="n"/>
      <c r="C45" s="258" t="inlineStr">
        <is>
          <t>ИТОГО ПО РМ</t>
        </is>
      </c>
      <c r="D45" s="259" t="n"/>
      <c r="E45" s="260" t="n"/>
      <c r="F45" s="261" t="n"/>
      <c r="G45" s="27">
        <f>G14+G25+G44</f>
        <v/>
      </c>
      <c r="H45" s="262" t="n"/>
      <c r="I45" s="27" t="n"/>
      <c r="J45" s="27">
        <f>J14+J25+J44</f>
        <v/>
      </c>
    </row>
    <row r="46" ht="14.25" customFormat="1" customHeight="1" s="204">
      <c r="A46" s="259" t="n"/>
      <c r="B46" s="259" t="n"/>
      <c r="C46" s="258" t="inlineStr">
        <is>
          <t>Накладные расходы</t>
        </is>
      </c>
      <c r="D46" s="123">
        <f>ROUND(G46/(G$16+$G$14),2)</f>
        <v/>
      </c>
      <c r="E46" s="260" t="n"/>
      <c r="F46" s="261" t="n"/>
      <c r="G46" s="27" t="n">
        <v>961.58</v>
      </c>
      <c r="H46" s="262" t="n"/>
      <c r="I46" s="27" t="n"/>
      <c r="J46" s="27">
        <f>ROUND(D46*(J14+J16),2)</f>
        <v/>
      </c>
    </row>
    <row r="47" ht="14.25" customFormat="1" customHeight="1" s="204">
      <c r="A47" s="259" t="n"/>
      <c r="B47" s="259" t="n"/>
      <c r="C47" s="258" t="inlineStr">
        <is>
          <t>Сметная прибыль</t>
        </is>
      </c>
      <c r="D47" s="123">
        <f>ROUND(G47/(G$14+G$16),2)</f>
        <v/>
      </c>
      <c r="E47" s="260" t="n"/>
      <c r="F47" s="261" t="n"/>
      <c r="G47" s="27" t="n">
        <v>505.57</v>
      </c>
      <c r="H47" s="262" t="n"/>
      <c r="I47" s="27" t="n"/>
      <c r="J47" s="27">
        <f>ROUND(D47*(J14+J16),2)</f>
        <v/>
      </c>
    </row>
    <row r="48" ht="14.25" customFormat="1" customHeight="1" s="204">
      <c r="A48" s="259" t="n"/>
      <c r="B48" s="259" t="n"/>
      <c r="C48" s="258" t="inlineStr">
        <is>
          <t>Итого СМР (с НР и СП)</t>
        </is>
      </c>
      <c r="D48" s="259" t="n"/>
      <c r="E48" s="260" t="n"/>
      <c r="F48" s="261" t="n"/>
      <c r="G48" s="27">
        <f>G14+G25+G44+G46+G47</f>
        <v/>
      </c>
      <c r="H48" s="262" t="n"/>
      <c r="I48" s="27" t="n"/>
      <c r="J48" s="27">
        <f>J14+J25+J44+J46+J47</f>
        <v/>
      </c>
    </row>
    <row r="49" ht="14.25" customFormat="1" customHeight="1" s="204">
      <c r="A49" s="259" t="n"/>
      <c r="B49" s="259" t="n"/>
      <c r="C49" s="258" t="inlineStr">
        <is>
          <t>ВСЕГО СМР + ОБОРУДОВАНИЕ</t>
        </is>
      </c>
      <c r="D49" s="259" t="n"/>
      <c r="E49" s="260" t="n"/>
      <c r="F49" s="261" t="n"/>
      <c r="G49" s="27">
        <f>G48+G31</f>
        <v/>
      </c>
      <c r="H49" s="262" t="n"/>
      <c r="I49" s="27" t="n"/>
      <c r="J49" s="27">
        <f>J48+J31</f>
        <v/>
      </c>
    </row>
    <row r="50" ht="34.5" customFormat="1" customHeight="1" s="204">
      <c r="A50" s="259" t="n"/>
      <c r="B50" s="259" t="n"/>
      <c r="C50" s="258" t="inlineStr">
        <is>
          <t>ИТОГО ПОКАЗАТЕЛЬ НА ЕД. ИЗМ.</t>
        </is>
      </c>
      <c r="D50" s="259" t="inlineStr">
        <is>
          <t>ед.</t>
        </is>
      </c>
      <c r="E50" s="341" t="n">
        <v>2</v>
      </c>
      <c r="F50" s="261" t="n"/>
      <c r="G50" s="27">
        <f>G49/E50</f>
        <v/>
      </c>
      <c r="H50" s="262" t="n"/>
      <c r="I50" s="27" t="n"/>
      <c r="J50" s="27">
        <f>J49/E50</f>
        <v/>
      </c>
    </row>
    <row r="52" ht="14.25" customFormat="1" customHeight="1" s="204">
      <c r="A52" s="203" t="inlineStr">
        <is>
          <t>Составил ______________________    Д.А. Самуйленко</t>
        </is>
      </c>
    </row>
    <row r="53" ht="14.25" customFormat="1" customHeight="1" s="204">
      <c r="A53" s="206" t="inlineStr">
        <is>
          <t xml:space="preserve">                         (подпись, инициалы, фамилия)</t>
        </is>
      </c>
    </row>
    <row r="54" ht="14.25" customFormat="1" customHeight="1" s="204">
      <c r="A54" s="203" t="n"/>
    </row>
    <row r="55" ht="14.25" customFormat="1" customHeight="1" s="204">
      <c r="A55" s="203" t="inlineStr">
        <is>
          <t>Проверил ______________________        А.В. Костянецкая</t>
        </is>
      </c>
    </row>
    <row r="56" ht="14.25" customFormat="1" customHeight="1" s="204">
      <c r="A56" s="2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1" t="inlineStr">
        <is>
          <t>Приложение №6</t>
        </is>
      </c>
    </row>
    <row r="2" ht="21.75" customHeight="1" s="210">
      <c r="A2" s="271" t="n"/>
      <c r="B2" s="271" t="n"/>
      <c r="C2" s="271" t="n"/>
      <c r="D2" s="271" t="n"/>
      <c r="E2" s="271" t="n"/>
      <c r="F2" s="271" t="n"/>
      <c r="G2" s="271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Баковый выключатель 35 кВ без устройства фундамента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" customHeight="1" s="21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9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0">
      <c r="A9" s="99" t="n"/>
      <c r="B9" s="258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0">
      <c r="A10" s="259" t="n"/>
      <c r="B10" s="257" t="n"/>
      <c r="C10" s="258" t="inlineStr">
        <is>
          <t>ИТОГО ИНЖЕНЕРНОЕ ОБОРУДОВАНИЕ</t>
        </is>
      </c>
      <c r="D10" s="257" t="n"/>
      <c r="E10" s="100" t="n"/>
      <c r="F10" s="261" t="n"/>
      <c r="G10" s="27" t="n">
        <v>0</v>
      </c>
    </row>
    <row r="11">
      <c r="A11" s="259" t="n"/>
      <c r="B11" s="258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38.25" customHeight="1" s="210">
      <c r="A12" s="259" t="n">
        <v>1</v>
      </c>
      <c r="B12" s="159">
        <f>'Прил.5 Расчет СМР и ОБ'!B28</f>
        <v/>
      </c>
      <c r="C12" s="258">
        <f>'Прил.5 Расчет СМР и ОБ'!C28</f>
        <v/>
      </c>
      <c r="D12" s="259">
        <f>'Прил.5 Расчет СМР и ОБ'!D28</f>
        <v/>
      </c>
      <c r="E12" s="159">
        <f>'Прил.5 Расчет СМР и ОБ'!E28</f>
        <v/>
      </c>
      <c r="F12" s="261">
        <f>'Прил.5 Расчет СМР и ОБ'!F28</f>
        <v/>
      </c>
      <c r="G12" s="261">
        <f>'Прил.5 Расчет СМР и ОБ'!G28</f>
        <v/>
      </c>
    </row>
    <row r="13" ht="25.5" customHeight="1" s="210">
      <c r="A13" s="259" t="n"/>
      <c r="B13" s="258" t="n"/>
      <c r="C13" s="258" t="inlineStr">
        <is>
          <t>ИТОГО ТЕХНОЛОГИЧЕСКОЕ ОБОРУДОВАНИЕ</t>
        </is>
      </c>
      <c r="D13" s="258" t="n"/>
      <c r="E13" s="275" t="n"/>
      <c r="F13" s="261" t="n"/>
      <c r="G13" s="27">
        <f>SUM(G12)</f>
        <v/>
      </c>
    </row>
    <row r="14" ht="19.5" customHeight="1" s="210">
      <c r="A14" s="259" t="n"/>
      <c r="B14" s="258" t="n"/>
      <c r="C14" s="258" t="inlineStr">
        <is>
          <t>Всего по разделу «Оборудование»</t>
        </is>
      </c>
      <c r="D14" s="258" t="n"/>
      <c r="E14" s="275" t="n"/>
      <c r="F14" s="261" t="n"/>
      <c r="G14" s="27">
        <f>G10+G13</f>
        <v/>
      </c>
    </row>
    <row r="15">
      <c r="A15" s="205" t="n"/>
      <c r="B15" s="145" t="n"/>
      <c r="C15" s="205" t="n"/>
      <c r="D15" s="205" t="n"/>
      <c r="E15" s="205" t="n"/>
      <c r="F15" s="205" t="n"/>
      <c r="G15" s="205" t="n"/>
    </row>
    <row r="16">
      <c r="A16" s="203" t="inlineStr">
        <is>
          <t>Составил ______________________    Д.А. Самуйленко</t>
        </is>
      </c>
      <c r="B16" s="204" t="n"/>
      <c r="C16" s="204" t="n"/>
      <c r="D16" s="205" t="n"/>
      <c r="E16" s="205" t="n"/>
      <c r="F16" s="205" t="n"/>
      <c r="G16" s="205" t="n"/>
    </row>
    <row r="17">
      <c r="A17" s="206" t="inlineStr">
        <is>
          <t xml:space="preserve">                         (подпись, инициалы, фамилия)</t>
        </is>
      </c>
      <c r="B17" s="204" t="n"/>
      <c r="C17" s="204" t="n"/>
      <c r="D17" s="205" t="n"/>
      <c r="E17" s="205" t="n"/>
      <c r="F17" s="205" t="n"/>
      <c r="G17" s="205" t="n"/>
    </row>
    <row r="18">
      <c r="A18" s="203" t="n"/>
      <c r="B18" s="204" t="n"/>
      <c r="C18" s="204" t="n"/>
      <c r="D18" s="205" t="n"/>
      <c r="E18" s="205" t="n"/>
      <c r="F18" s="205" t="n"/>
      <c r="G18" s="205" t="n"/>
    </row>
    <row r="19">
      <c r="A19" s="203" t="inlineStr">
        <is>
          <t>Проверил ______________________        А.В. Костянецкая</t>
        </is>
      </c>
      <c r="B19" s="204" t="n"/>
      <c r="C19" s="204" t="n"/>
      <c r="D19" s="205" t="n"/>
      <c r="E19" s="205" t="n"/>
      <c r="F19" s="205" t="n"/>
      <c r="G19" s="205" t="n"/>
    </row>
    <row r="20">
      <c r="A20" s="206" t="inlineStr">
        <is>
          <t xml:space="preserve">                        (подпись, инициалы, фамилия)</t>
        </is>
      </c>
      <c r="B20" s="204" t="n"/>
      <c r="C20" s="204" t="n"/>
      <c r="D20" s="205" t="n"/>
      <c r="E20" s="205" t="n"/>
      <c r="F20" s="205" t="n"/>
      <c r="G20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0" min="1" max="1"/>
    <col width="22.42578125" customWidth="1" style="210" min="2" max="2"/>
    <col width="37.140625" customWidth="1" style="210" min="3" max="3"/>
    <col width="49" customWidth="1" style="210" min="4" max="4"/>
    <col width="9.140625" customWidth="1" style="210" min="5" max="5"/>
  </cols>
  <sheetData>
    <row r="1" ht="15.75" customHeight="1" s="210">
      <c r="A1" s="212" t="n"/>
      <c r="B1" s="212" t="n"/>
      <c r="C1" s="212" t="n"/>
      <c r="D1" s="212" t="inlineStr">
        <is>
          <t>Приложение №7</t>
        </is>
      </c>
    </row>
    <row r="2" ht="15.75" customHeight="1" s="210">
      <c r="A2" s="212" t="n"/>
      <c r="B2" s="212" t="n"/>
      <c r="C2" s="212" t="n"/>
      <c r="D2" s="212" t="n"/>
    </row>
    <row r="3" ht="15.75" customHeight="1" s="210">
      <c r="A3" s="212" t="n"/>
      <c r="B3" s="198" t="inlineStr">
        <is>
          <t>Расчет показателя УНЦ</t>
        </is>
      </c>
      <c r="C3" s="212" t="n"/>
      <c r="D3" s="212" t="n"/>
    </row>
    <row r="4" ht="15.75" customHeight="1" s="210">
      <c r="A4" s="212" t="n"/>
      <c r="B4" s="212" t="n"/>
      <c r="C4" s="212" t="n"/>
      <c r="D4" s="212" t="n"/>
    </row>
    <row r="5" ht="31.5" customHeight="1" s="210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0">
      <c r="A6" s="212" t="inlineStr">
        <is>
          <t>Единица измерения  — 1 ед</t>
        </is>
      </c>
      <c r="B6" s="212" t="n"/>
      <c r="C6" s="212" t="n"/>
      <c r="D6" s="212" t="n"/>
    </row>
    <row r="7" ht="15.75" customHeight="1" s="210">
      <c r="A7" s="212" t="n"/>
      <c r="B7" s="212" t="n"/>
      <c r="C7" s="212" t="n"/>
      <c r="D7" s="212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0">
      <c r="A10" s="240" t="n">
        <v>1</v>
      </c>
      <c r="B10" s="240" t="n">
        <v>2</v>
      </c>
      <c r="C10" s="240" t="n">
        <v>3</v>
      </c>
      <c r="D10" s="240" t="n">
        <v>4</v>
      </c>
    </row>
    <row r="11" ht="63" customHeight="1" s="210">
      <c r="A11" s="240" t="inlineStr">
        <is>
          <t>И9-01</t>
        </is>
      </c>
      <c r="B11" s="240" t="inlineStr">
        <is>
          <t xml:space="preserve">УНЦ бакового выключателя 35 кВ без устройства фундаментов </t>
        </is>
      </c>
      <c r="C11" s="201">
        <f>D5</f>
        <v/>
      </c>
      <c r="D11" s="218">
        <f>'Прил.4 РМ'!C41/1000</f>
        <v/>
      </c>
    </row>
    <row r="13">
      <c r="A13" s="203" t="inlineStr">
        <is>
          <t>Составил ______________________        Д.А. Самуйленко</t>
        </is>
      </c>
      <c r="B13" s="204" t="n"/>
      <c r="C13" s="204" t="n"/>
      <c r="D13" s="205" t="n"/>
    </row>
    <row r="14">
      <c r="A14" s="206" t="inlineStr">
        <is>
          <t xml:space="preserve">                         (подпись, инициалы, фамилия)</t>
        </is>
      </c>
      <c r="B14" s="204" t="n"/>
      <c r="C14" s="204" t="n"/>
      <c r="D14" s="205" t="n"/>
    </row>
    <row r="15">
      <c r="A15" s="203" t="n"/>
      <c r="B15" s="204" t="n"/>
      <c r="C15" s="204" t="n"/>
      <c r="D15" s="205" t="n"/>
    </row>
    <row r="16">
      <c r="A16" s="203" t="inlineStr">
        <is>
          <t>Проверил ______________________        А.В. Костянецкая</t>
        </is>
      </c>
      <c r="B16" s="204" t="n"/>
      <c r="C16" s="204" t="n"/>
      <c r="D16" s="205" t="n"/>
    </row>
    <row r="17" ht="20.25" customHeight="1" s="210">
      <c r="A17" s="206" t="inlineStr">
        <is>
          <t xml:space="preserve">                        (подпись, инициалы, фамилия)</t>
        </is>
      </c>
      <c r="B17" s="204" t="n"/>
      <c r="C17" s="204" t="n"/>
      <c r="D17" s="2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2" zoomScale="60" zoomScaleNormal="85" workbookViewId="0">
      <selection activeCell="C23" sqref="C23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0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10">
      <c r="B10" s="240" t="n">
        <v>1</v>
      </c>
      <c r="C10" s="240" t="n">
        <v>2</v>
      </c>
      <c r="D10" s="240" t="n">
        <v>3</v>
      </c>
    </row>
    <row r="11" ht="45" customHeight="1" s="21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31.5" customHeight="1" s="21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31.5" customHeight="1" s="21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10">
      <c r="B14" s="240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10">
      <c r="B15" s="240" t="inlineStr">
        <is>
          <t>Временные здания и сооружения</t>
        </is>
      </c>
      <c r="C15" s="240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5" s="209" t="n">
        <v>0.039</v>
      </c>
    </row>
    <row r="16" ht="78.75" customHeight="1" s="21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09" t="n">
        <v>0.021</v>
      </c>
    </row>
    <row r="17" ht="34.5" customHeight="1" s="210">
      <c r="B17" s="240" t="inlineStr">
        <is>
          <t>Пусконаладочные работы</t>
        </is>
      </c>
      <c r="C17" s="240" t="n"/>
      <c r="D17" s="240" t="inlineStr">
        <is>
          <t>расчет</t>
        </is>
      </c>
    </row>
    <row r="18" ht="31.5" customHeight="1" s="21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209" t="n">
        <v>0.0214</v>
      </c>
    </row>
    <row r="19" ht="31.5" customHeight="1" s="210">
      <c r="B19" s="240" t="inlineStr">
        <is>
          <t>Авторский надзор</t>
        </is>
      </c>
      <c r="C19" s="240" t="inlineStr">
        <is>
          <t>Приказ от 4.08.2020 № 421/пр п.173</t>
        </is>
      </c>
      <c r="D19" s="209" t="n">
        <v>0.002</v>
      </c>
    </row>
    <row r="20" ht="24" customHeight="1" s="21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209" t="n">
        <v>0.03</v>
      </c>
    </row>
    <row r="21" ht="18.75" customHeight="1" s="210">
      <c r="B21" s="146" t="n"/>
    </row>
    <row r="22" ht="18.75" customHeight="1" s="210">
      <c r="B22" s="146" t="n"/>
    </row>
    <row r="23" ht="18.75" customHeight="1" s="210">
      <c r="B23" s="146" t="n"/>
    </row>
    <row r="24" ht="18.75" customHeight="1" s="210">
      <c r="B24" s="146" t="n"/>
    </row>
    <row r="27">
      <c r="B27" s="203" t="inlineStr">
        <is>
          <t>Составил ______________________        Д.А. Самуйленко</t>
        </is>
      </c>
      <c r="C27" s="204" t="n"/>
    </row>
    <row r="28">
      <c r="B28" s="206" t="inlineStr">
        <is>
          <t xml:space="preserve">                         (подпись, инициалы, фамилия)</t>
        </is>
      </c>
      <c r="C28" s="204" t="n"/>
    </row>
    <row r="29">
      <c r="B29" s="203" t="n"/>
      <c r="C29" s="204" t="n"/>
    </row>
    <row r="30">
      <c r="B30" s="203" t="inlineStr">
        <is>
          <t>Проверил ______________________        А.В. Костянецкая</t>
        </is>
      </c>
      <c r="C30" s="204" t="n"/>
    </row>
    <row r="31">
      <c r="B31" s="206" t="inlineStr">
        <is>
          <t xml:space="preserve">                        (подпись, инициалы, фамилия)</t>
        </is>
      </c>
      <c r="C31" s="2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topLeftCell="A2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53.7109375" bestFit="1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0" t="n"/>
      <c r="D10" s="240" t="n"/>
      <c r="E10" s="342" t="n">
        <v>3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43" t="n">
        <v>1.19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44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0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2025-01-24T12:02:39Z</dcterms:modified>
  <cp:lastModifiedBy>Николай Трофименко</cp:lastModifiedBy>
  <cp:lastPrinted>2023-11-29T14:50:17Z</cp:lastPrinted>
</cp:coreProperties>
</file>