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8472" tabRatio="924" firstSheet="4" activeTab="6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ОБ'!$A$1:$J$56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0" fontId="16" fillId="0" borderId="0" pivotButton="0" quotePrefix="0" xfId="0"/>
    <xf numFmtId="4" fontId="16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2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167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20" fillId="0" borderId="0" pivotButton="0" quotePrefix="0" xfId="0"/>
    <xf numFmtId="0" fontId="1" fillId="4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9" fontId="16" fillId="0" borderId="1" applyAlignment="1" pivotButton="0" quotePrefix="0" xfId="0">
      <alignment vertical="center" wrapText="1"/>
    </xf>
    <xf numFmtId="2" fontId="16" fillId="0" borderId="1" applyAlignment="1" pivotButton="0" quotePrefix="0" xfId="0">
      <alignment vertical="center" wrapText="1"/>
    </xf>
    <xf numFmtId="0" fontId="20" fillId="0" borderId="4" applyAlignment="1" pivotButton="0" quotePrefix="0" xfId="0">
      <alignment vertical="center" wrapText="1"/>
    </xf>
    <xf numFmtId="2" fontId="20" fillId="0" borderId="4" applyAlignment="1" pivotButton="0" quotePrefix="0" xfId="0">
      <alignment vertical="center" wrapText="1"/>
    </xf>
    <xf numFmtId="0" fontId="20" fillId="0" borderId="1" applyAlignment="1" pivotButton="0" quotePrefix="0" xfId="0">
      <alignment vertical="center" wrapText="1"/>
    </xf>
    <xf numFmtId="2" fontId="20" fillId="0" borderId="1" applyAlignment="1" pivotButton="0" quotePrefix="0" xfId="0">
      <alignment vertical="center" wrapText="1"/>
    </xf>
    <xf numFmtId="14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5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23" zoomScale="85" zoomScaleNormal="55" workbookViewId="0">
      <selection activeCell="D45" sqref="D45"/>
    </sheetView>
  </sheetViews>
  <sheetFormatPr baseColWidth="8" defaultColWidth="9.109375" defaultRowHeight="15.6"/>
  <cols>
    <col width="9.109375" customWidth="1" style="324" min="1" max="2"/>
    <col width="51.6640625" customWidth="1" style="324" min="3" max="3"/>
    <col width="47" customWidth="1" style="324" min="4" max="4"/>
    <col width="37.44140625" customWidth="1" style="324" min="5" max="5"/>
    <col width="9.109375" customWidth="1" style="324" min="6" max="6"/>
  </cols>
  <sheetData>
    <row r="3">
      <c r="B3" s="354" t="inlineStr">
        <is>
          <t>Приложение № 1</t>
        </is>
      </c>
    </row>
    <row r="4">
      <c r="B4" s="355" t="inlineStr">
        <is>
          <t>Сравнительная таблица отбора объекта-представителя</t>
        </is>
      </c>
    </row>
    <row r="5" ht="84.15000000000001" customHeight="1" s="322">
      <c r="B5" s="35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22">
      <c r="B6" s="258" t="n"/>
      <c r="C6" s="258" t="n"/>
      <c r="D6" s="258" t="n"/>
    </row>
    <row r="7" ht="64.5" customHeight="1" s="322">
      <c r="B7" s="356" t="inlineStr">
        <is>
          <t>Наименование разрабатываемого показателя УНЦ - Муфта соединительная 20 кВ сечением до 120 мм2</t>
        </is>
      </c>
    </row>
    <row r="8" ht="31.65" customHeight="1" s="322">
      <c r="B8" s="356" t="inlineStr">
        <is>
          <t>Сопоставимый уровень цен: 3 кв. 2011 г.</t>
        </is>
      </c>
    </row>
    <row r="9" ht="15.75" customHeight="1" s="322">
      <c r="B9" s="356" t="inlineStr">
        <is>
          <t>Единица измерения  — 1 ед</t>
        </is>
      </c>
    </row>
    <row r="10">
      <c r="B10" s="356" t="n"/>
    </row>
    <row r="11">
      <c r="B11" s="360" t="inlineStr">
        <is>
          <t>№ п/п</t>
        </is>
      </c>
      <c r="C11" s="360" t="inlineStr">
        <is>
          <t>Параметр</t>
        </is>
      </c>
      <c r="D11" s="360" t="inlineStr">
        <is>
          <t xml:space="preserve">Объект-представитель </t>
        </is>
      </c>
      <c r="E11" s="234" t="n"/>
    </row>
    <row r="12" ht="96.75" customHeight="1" s="322">
      <c r="B12" s="360" t="n">
        <v>1</v>
      </c>
      <c r="C12" s="336" t="inlineStr">
        <is>
          <t>Наименование объекта-представителя</t>
        </is>
      </c>
      <c r="D12" s="360" t="inlineStr">
        <is>
          <t>Комплексная реконструкция и техническое перевооружение ПС №20 Чесменская СПб</t>
        </is>
      </c>
    </row>
    <row r="13">
      <c r="B13" s="360" t="n">
        <v>2</v>
      </c>
      <c r="C13" s="336" t="inlineStr">
        <is>
          <t>Наименование субъекта Российской Федерации</t>
        </is>
      </c>
      <c r="D13" s="360" t="inlineStr">
        <is>
          <t>Ленинградская область</t>
        </is>
      </c>
    </row>
    <row r="14">
      <c r="B14" s="360" t="n">
        <v>3</v>
      </c>
      <c r="C14" s="336" t="inlineStr">
        <is>
          <t>Климатический район и подрайон</t>
        </is>
      </c>
      <c r="D14" s="360" t="inlineStr">
        <is>
          <t>IIВ</t>
        </is>
      </c>
    </row>
    <row r="15">
      <c r="B15" s="360" t="n">
        <v>4</v>
      </c>
      <c r="C15" s="336" t="inlineStr">
        <is>
          <t>Мощность объекта</t>
        </is>
      </c>
      <c r="D15" s="360" t="n">
        <v>1</v>
      </c>
    </row>
    <row r="16" ht="116.4" customHeight="1" s="322">
      <c r="B16" s="360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60" t="inlineStr">
        <is>
          <t>Муфта соединительная 20 кВ сечением до 120 мм2</t>
        </is>
      </c>
    </row>
    <row r="17" ht="79.5" customHeight="1" s="322">
      <c r="B17" s="360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73">
        <f>SUM(D18:D21)</f>
        <v/>
      </c>
      <c r="E17" s="257" t="n"/>
    </row>
    <row r="18">
      <c r="B18" s="233" t="inlineStr">
        <is>
          <t>6.1</t>
        </is>
      </c>
      <c r="C18" s="336" t="inlineStr">
        <is>
          <t>строительно-монтажные работы</t>
        </is>
      </c>
      <c r="D18" s="273" t="n">
        <v>41.51</v>
      </c>
    </row>
    <row r="19" ht="15.75" customHeight="1" s="322">
      <c r="B19" s="233" t="inlineStr">
        <is>
          <t>6.2</t>
        </is>
      </c>
      <c r="C19" s="336" t="inlineStr">
        <is>
          <t>оборудование и инвентарь</t>
        </is>
      </c>
      <c r="D19" s="273" t="n">
        <v>0</v>
      </c>
    </row>
    <row r="20" ht="16.5" customHeight="1" s="322">
      <c r="B20" s="233" t="inlineStr">
        <is>
          <t>6.3</t>
        </is>
      </c>
      <c r="C20" s="336" t="inlineStr">
        <is>
          <t>пусконаладочные работы</t>
        </is>
      </c>
      <c r="D20" s="273" t="n">
        <v>0</v>
      </c>
    </row>
    <row r="21" ht="35.4" customHeight="1" s="322">
      <c r="B21" s="233" t="inlineStr">
        <is>
          <t>6.4</t>
        </is>
      </c>
      <c r="C21" s="232" t="inlineStr">
        <is>
          <t>прочие и лимитированные затраты</t>
        </is>
      </c>
      <c r="D21" s="273">
        <f>D18*3.9%*0.8+(D18+D18*3.9%*0.8)*2.1%</f>
        <v/>
      </c>
    </row>
    <row r="22">
      <c r="B22" s="360" t="n">
        <v>7</v>
      </c>
      <c r="C22" s="232" t="inlineStr">
        <is>
          <t>Сопоставимый уровень цен</t>
        </is>
      </c>
      <c r="D22" s="321" t="inlineStr">
        <is>
          <t>3 кв. 2011 г.</t>
        </is>
      </c>
      <c r="E22" s="230" t="n"/>
    </row>
    <row r="23" ht="123" customHeight="1" s="322">
      <c r="B23" s="360" t="n">
        <v>8</v>
      </c>
      <c r="C23" s="23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73">
        <f>D17</f>
        <v/>
      </c>
      <c r="E23" s="257" t="n"/>
    </row>
    <row r="24" ht="60.75" customHeight="1" s="322">
      <c r="B24" s="360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273">
        <f>D23/D15</f>
        <v/>
      </c>
      <c r="E24" s="230" t="n"/>
    </row>
    <row r="25" ht="48.15" customHeight="1" s="322">
      <c r="B25" s="360" t="n">
        <v>10</v>
      </c>
      <c r="C25" s="336" t="inlineStr">
        <is>
          <t>Примечание</t>
        </is>
      </c>
      <c r="D25" s="360" t="n"/>
    </row>
    <row r="26">
      <c r="B26" s="228" t="n"/>
      <c r="C26" s="227" t="n"/>
      <c r="D26" s="227" t="n"/>
    </row>
    <row r="27" ht="37.5" customHeight="1" s="322">
      <c r="B27" s="226" t="n"/>
    </row>
    <row r="28">
      <c r="B28" s="324" t="inlineStr">
        <is>
          <t>Составил ______________________    А.Р. Маркова</t>
        </is>
      </c>
    </row>
    <row r="29">
      <c r="B29" s="226" t="inlineStr">
        <is>
          <t xml:space="preserve">                         (подпись, инициалы, фамилия)</t>
        </is>
      </c>
    </row>
    <row r="31">
      <c r="B31" s="324" t="inlineStr">
        <is>
          <t>Проверил ______________________        А.В. Костянецкая</t>
        </is>
      </c>
    </row>
    <row r="32">
      <c r="B32" s="226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8"/>
  <sheetViews>
    <sheetView view="pageBreakPreview" topLeftCell="A4" zoomScale="70" zoomScaleNormal="70" workbookViewId="0">
      <selection activeCell="D45" sqref="D45"/>
    </sheetView>
  </sheetViews>
  <sheetFormatPr baseColWidth="8" defaultColWidth="9.109375" defaultRowHeight="15.6"/>
  <cols>
    <col width="5.5546875" customWidth="1" style="324" min="1" max="1"/>
    <col width="9.109375" customWidth="1" style="324" min="2" max="2"/>
    <col width="35.33203125" customWidth="1" style="324" min="3" max="3"/>
    <col width="13.88671875" customWidth="1" style="324" min="4" max="4"/>
    <col width="24.88671875" customWidth="1" style="324" min="5" max="5"/>
    <col width="15.5546875" customWidth="1" style="324" min="6" max="6"/>
    <col width="14.88671875" customWidth="1" style="324" min="7" max="7"/>
    <col width="16.6640625" customWidth="1" style="324" min="8" max="8"/>
    <col width="13" customWidth="1" style="324" min="9" max="10"/>
    <col width="18" customWidth="1" style="324" min="11" max="11"/>
    <col width="9.109375" customWidth="1" style="324" min="12" max="12"/>
  </cols>
  <sheetData>
    <row r="3">
      <c r="B3" s="354" t="inlineStr">
        <is>
          <t>Приложение № 2</t>
        </is>
      </c>
      <c r="K3" s="226" t="n"/>
    </row>
    <row r="4">
      <c r="B4" s="355" t="inlineStr">
        <is>
          <t>Расчет стоимости основных видов работ для выбора объекта-представителя</t>
        </is>
      </c>
    </row>
    <row r="5">
      <c r="B5" s="235" t="n"/>
      <c r="C5" s="235" t="n"/>
      <c r="D5" s="235" t="n"/>
      <c r="E5" s="235" t="n"/>
      <c r="F5" s="235" t="n"/>
      <c r="G5" s="235" t="n"/>
      <c r="H5" s="235" t="n"/>
      <c r="I5" s="235" t="n"/>
      <c r="J5" s="235" t="n"/>
      <c r="K5" s="235" t="n"/>
    </row>
    <row r="6" ht="29.25" customHeight="1" s="322">
      <c r="B6" s="356">
        <f>'Прил.1 Сравнит табл'!B7:D7</f>
        <v/>
      </c>
    </row>
    <row r="7">
      <c r="B7" s="356">
        <f>'Прил.1 Сравнит табл'!B9:D9</f>
        <v/>
      </c>
    </row>
    <row r="8" ht="18.75" customHeight="1" s="322">
      <c r="B8" s="259" t="n"/>
    </row>
    <row r="9" ht="15.75" customHeight="1" s="322">
      <c r="A9" s="324" t="n"/>
      <c r="B9" s="360" t="inlineStr">
        <is>
          <t>№ п/п</t>
        </is>
      </c>
      <c r="C9" s="36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60" t="inlineStr">
        <is>
          <t>Объект-представитель 1</t>
        </is>
      </c>
      <c r="E9" s="439" t="n"/>
      <c r="F9" s="439" t="n"/>
      <c r="G9" s="439" t="n"/>
      <c r="H9" s="439" t="n"/>
      <c r="I9" s="439" t="n"/>
      <c r="J9" s="440" t="n"/>
      <c r="K9" s="324" t="n"/>
      <c r="L9" s="324" t="n"/>
    </row>
    <row r="10" ht="15.75" customHeight="1" s="322">
      <c r="A10" s="324" t="n"/>
      <c r="B10" s="441" t="n"/>
      <c r="C10" s="441" t="n"/>
      <c r="D10" s="360" t="inlineStr">
        <is>
          <t>Номер сметы</t>
        </is>
      </c>
      <c r="E10" s="360" t="inlineStr">
        <is>
          <t>Наименование сметы</t>
        </is>
      </c>
      <c r="F10" s="360" t="inlineStr">
        <is>
          <t>Сметная стоимость в уровне цен 3 кв. 2011г., тыс. руб.</t>
        </is>
      </c>
      <c r="G10" s="439" t="n"/>
      <c r="H10" s="439" t="n"/>
      <c r="I10" s="439" t="n"/>
      <c r="J10" s="440" t="n"/>
      <c r="K10" s="324" t="n"/>
      <c r="L10" s="324" t="n"/>
    </row>
    <row r="11" ht="31.5" customHeight="1" s="322">
      <c r="A11" s="324" t="n"/>
      <c r="B11" s="442" t="n"/>
      <c r="C11" s="442" t="n"/>
      <c r="D11" s="442" t="n"/>
      <c r="E11" s="442" t="n"/>
      <c r="F11" s="361" t="inlineStr">
        <is>
          <t>Строительные работы</t>
        </is>
      </c>
      <c r="G11" s="361" t="inlineStr">
        <is>
          <t>Монтажные работы</t>
        </is>
      </c>
      <c r="H11" s="361" t="inlineStr">
        <is>
          <t>Оборудование</t>
        </is>
      </c>
      <c r="I11" s="361" t="inlineStr">
        <is>
          <t>Прочее</t>
        </is>
      </c>
      <c r="J11" s="361" t="inlineStr">
        <is>
          <t>Всего</t>
        </is>
      </c>
      <c r="K11" s="324" t="n"/>
      <c r="L11" s="324" t="n"/>
    </row>
    <row r="12" ht="53.4" customHeight="1" s="322">
      <c r="A12" s="324" t="n"/>
      <c r="B12" s="360" t="n">
        <v>1</v>
      </c>
      <c r="C12" s="336" t="inlineStr">
        <is>
          <t>Муфта соединительная 20 кВ сечением до 120 мм2</t>
        </is>
      </c>
      <c r="D12" s="315" t="inlineStr">
        <is>
          <t>02-17-01</t>
        </is>
      </c>
      <c r="E12" s="336" t="inlineStr">
        <is>
          <t>Заходы КЛ-35 кВ</t>
        </is>
      </c>
      <c r="F12" s="336" t="n"/>
      <c r="G12" s="316">
        <f>41511.75/1000</f>
        <v/>
      </c>
      <c r="H12" s="316" t="n"/>
      <c r="I12" s="316" t="n"/>
      <c r="J12" s="316">
        <f>SUM(F12:I12)</f>
        <v/>
      </c>
      <c r="K12" s="324" t="n"/>
      <c r="L12" s="324" t="n"/>
    </row>
    <row r="13" ht="15.75" customHeight="1" s="322">
      <c r="A13" s="324" t="n"/>
      <c r="B13" s="358" t="inlineStr">
        <is>
          <t>Всего по объекту:</t>
        </is>
      </c>
      <c r="C13" s="443" t="n"/>
      <c r="D13" s="443" t="n"/>
      <c r="E13" s="444" t="n"/>
      <c r="F13" s="317" t="n"/>
      <c r="G13" s="318">
        <f>G12</f>
        <v/>
      </c>
      <c r="H13" s="318" t="n"/>
      <c r="I13" s="318" t="n"/>
      <c r="J13" s="316">
        <f>SUM(F13:I13)</f>
        <v/>
      </c>
      <c r="K13" s="324" t="n"/>
      <c r="L13" s="324" t="n"/>
    </row>
    <row r="14" s="322">
      <c r="A14" s="324" t="n"/>
      <c r="B14" s="359" t="inlineStr">
        <is>
          <t>Всего по объекту в сопоставимом уровне цен 3кв. 2011г:</t>
        </is>
      </c>
      <c r="C14" s="439" t="n"/>
      <c r="D14" s="439" t="n"/>
      <c r="E14" s="440" t="n"/>
      <c r="F14" s="319" t="n"/>
      <c r="G14" s="320">
        <f>G13</f>
        <v/>
      </c>
      <c r="H14" s="320" t="n"/>
      <c r="I14" s="320" t="n"/>
      <c r="J14" s="316">
        <f>SUM(F14:I14)</f>
        <v/>
      </c>
      <c r="K14" s="324" t="n"/>
      <c r="L14" s="324" t="n"/>
    </row>
    <row r="15" ht="15" customHeight="1" s="322">
      <c r="A15" s="324" t="n"/>
      <c r="B15" s="324" t="n"/>
      <c r="C15" s="324" t="n"/>
      <c r="D15" s="324" t="n"/>
      <c r="E15" s="324" t="n"/>
      <c r="F15" s="324" t="n"/>
      <c r="G15" s="324" t="n"/>
      <c r="H15" s="324" t="n"/>
      <c r="I15" s="324" t="n"/>
      <c r="J15" s="324" t="n"/>
      <c r="K15" s="324" t="n"/>
      <c r="L15" s="324" t="n"/>
    </row>
    <row r="16" ht="15" customHeight="1" s="322">
      <c r="A16" s="324" t="n"/>
      <c r="B16" s="324" t="n"/>
      <c r="C16" s="324" t="n"/>
      <c r="D16" s="324" t="n"/>
      <c r="E16" s="324" t="n"/>
      <c r="F16" s="324" t="n"/>
      <c r="G16" s="324" t="n"/>
      <c r="H16" s="324" t="n"/>
      <c r="I16" s="324" t="n"/>
      <c r="J16" s="324" t="n"/>
      <c r="K16" s="324" t="n"/>
      <c r="L16" s="324" t="n"/>
    </row>
    <row r="17" ht="15" customHeight="1" s="322">
      <c r="A17" s="324" t="n"/>
      <c r="B17" s="324" t="n"/>
      <c r="C17" s="324" t="n"/>
      <c r="D17" s="324" t="n"/>
      <c r="E17" s="324" t="n"/>
      <c r="F17" s="324" t="n"/>
      <c r="G17" s="324" t="n"/>
      <c r="H17" s="324" t="n"/>
      <c r="I17" s="324" t="n"/>
      <c r="J17" s="324" t="n"/>
      <c r="K17" s="324" t="n"/>
      <c r="L17" s="324" t="n"/>
    </row>
    <row r="18" ht="15" customHeight="1" s="322">
      <c r="A18" s="324" t="n"/>
      <c r="B18" s="324" t="n"/>
      <c r="C18" s="308" t="inlineStr">
        <is>
          <t>Составил ______________________     А.Р. Маркова</t>
        </is>
      </c>
      <c r="D18" s="309" t="n"/>
      <c r="E18" s="309" t="n"/>
      <c r="F18" s="324" t="n"/>
      <c r="G18" s="324" t="n"/>
      <c r="H18" s="324" t="n"/>
      <c r="I18" s="324" t="n"/>
      <c r="J18" s="324" t="n"/>
      <c r="K18" s="324" t="n"/>
      <c r="L18" s="324" t="n"/>
    </row>
    <row r="19" ht="15" customHeight="1" s="322">
      <c r="A19" s="324" t="n"/>
      <c r="B19" s="324" t="n"/>
      <c r="C19" s="311" t="inlineStr">
        <is>
          <t xml:space="preserve">                         (подпись, инициалы, фамилия)</t>
        </is>
      </c>
      <c r="D19" s="309" t="n"/>
      <c r="E19" s="309" t="n"/>
      <c r="F19" s="324" t="n"/>
      <c r="G19" s="324" t="n"/>
      <c r="H19" s="324" t="n"/>
      <c r="I19" s="324" t="n"/>
      <c r="J19" s="324" t="n"/>
      <c r="K19" s="324" t="n"/>
      <c r="L19" s="324" t="n"/>
    </row>
    <row r="20" ht="15" customHeight="1" s="322">
      <c r="A20" s="324" t="n"/>
      <c r="B20" s="324" t="n"/>
      <c r="C20" s="308" t="n"/>
      <c r="D20" s="309" t="n"/>
      <c r="E20" s="309" t="n"/>
      <c r="F20" s="324" t="n"/>
      <c r="G20" s="324" t="n"/>
      <c r="H20" s="324" t="n"/>
      <c r="I20" s="324" t="n"/>
      <c r="J20" s="324" t="n"/>
      <c r="K20" s="324" t="n"/>
      <c r="L20" s="324" t="n"/>
    </row>
    <row r="21" ht="15" customHeight="1" s="322">
      <c r="A21" s="324" t="n"/>
      <c r="B21" s="324" t="n"/>
      <c r="C21" s="308" t="inlineStr">
        <is>
          <t>Проверил ______________________        А.В. Костянецкая</t>
        </is>
      </c>
      <c r="D21" s="309" t="n"/>
      <c r="E21" s="309" t="n"/>
      <c r="F21" s="324" t="n"/>
      <c r="G21" s="324" t="n"/>
      <c r="H21" s="324" t="n"/>
      <c r="I21" s="324" t="n"/>
      <c r="J21" s="324" t="n"/>
      <c r="K21" s="324" t="n"/>
      <c r="L21" s="324" t="n"/>
    </row>
    <row r="22" ht="15" customHeight="1" s="322">
      <c r="A22" s="324" t="n"/>
      <c r="B22" s="324" t="n"/>
      <c r="C22" s="311" t="inlineStr">
        <is>
          <t xml:space="preserve">                        (подпись, инициалы, фамилия)</t>
        </is>
      </c>
      <c r="D22" s="309" t="n"/>
      <c r="E22" s="309" t="n"/>
      <c r="F22" s="324" t="n"/>
      <c r="G22" s="324" t="n"/>
      <c r="H22" s="324" t="n"/>
      <c r="I22" s="324" t="n"/>
      <c r="J22" s="324" t="n"/>
      <c r="K22" s="324" t="n"/>
      <c r="L22" s="324" t="n"/>
    </row>
    <row r="23" ht="15" customHeight="1" s="322">
      <c r="A23" s="324" t="n"/>
      <c r="B23" s="324" t="n"/>
      <c r="C23" s="324" t="n"/>
      <c r="D23" s="324" t="n"/>
      <c r="E23" s="324" t="n"/>
      <c r="F23" s="324" t="n"/>
      <c r="G23" s="324" t="n"/>
      <c r="H23" s="324" t="n"/>
      <c r="I23" s="324" t="n"/>
      <c r="J23" s="324" t="n"/>
      <c r="K23" s="324" t="n"/>
      <c r="L23" s="324" t="n"/>
    </row>
    <row r="24" ht="15" customHeight="1" s="322">
      <c r="A24" s="324" t="n"/>
      <c r="B24" s="324" t="n"/>
      <c r="C24" s="324" t="n"/>
      <c r="D24" s="324" t="n"/>
      <c r="E24" s="324" t="n"/>
      <c r="F24" s="324" t="n"/>
      <c r="G24" s="324" t="n"/>
      <c r="H24" s="324" t="n"/>
      <c r="I24" s="324" t="n"/>
      <c r="J24" s="324" t="n"/>
      <c r="K24" s="324" t="n"/>
      <c r="L24" s="324" t="n"/>
    </row>
    <row r="25" ht="15" customHeight="1" s="322">
      <c r="A25" s="324" t="n"/>
      <c r="B25" s="324" t="n"/>
      <c r="C25" s="324" t="n"/>
      <c r="D25" s="324" t="n"/>
      <c r="E25" s="324" t="n"/>
      <c r="F25" s="324" t="n"/>
      <c r="G25" s="324" t="n"/>
      <c r="H25" s="324" t="n"/>
      <c r="I25" s="324" t="n"/>
      <c r="J25" s="324" t="n"/>
      <c r="K25" s="324" t="n"/>
      <c r="L25" s="324" t="n"/>
    </row>
    <row r="26" ht="15" customHeight="1" s="322">
      <c r="A26" s="324" t="n"/>
      <c r="B26" s="324" t="n"/>
      <c r="C26" s="324" t="n"/>
      <c r="D26" s="324" t="n"/>
      <c r="E26" s="324" t="n"/>
      <c r="F26" s="324" t="n"/>
      <c r="G26" s="324" t="n"/>
      <c r="H26" s="324" t="n"/>
      <c r="I26" s="324" t="n"/>
      <c r="J26" s="324" t="n"/>
      <c r="K26" s="324" t="n"/>
      <c r="L26" s="324" t="n"/>
    </row>
    <row r="27" ht="15" customHeight="1" s="322">
      <c r="A27" s="324" t="n"/>
      <c r="B27" s="324" t="n"/>
      <c r="C27" s="324" t="n"/>
      <c r="D27" s="324" t="n"/>
      <c r="E27" s="324" t="n"/>
      <c r="F27" s="324" t="n"/>
      <c r="G27" s="324" t="n"/>
      <c r="H27" s="324" t="n"/>
      <c r="I27" s="324" t="n"/>
      <c r="J27" s="324" t="n"/>
      <c r="K27" s="324" t="n"/>
      <c r="L27" s="324" t="n"/>
    </row>
    <row r="28" ht="15" customHeight="1" s="322">
      <c r="A28" s="324" t="n"/>
      <c r="B28" s="324" t="n"/>
      <c r="C28" s="324" t="n"/>
      <c r="D28" s="324" t="n"/>
      <c r="E28" s="324" t="n"/>
      <c r="F28" s="324" t="n"/>
      <c r="G28" s="324" t="n"/>
      <c r="H28" s="324" t="n"/>
      <c r="I28" s="324" t="n"/>
      <c r="J28" s="324" t="n"/>
      <c r="K28" s="324" t="n"/>
      <c r="L28" s="324" t="n"/>
    </row>
    <row r="29" ht="15" customHeight="1" s="322"/>
    <row r="30" ht="15" customHeight="1" s="322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33"/>
  <sheetViews>
    <sheetView tabSelected="1" view="pageBreakPreview" topLeftCell="A10" workbookViewId="0">
      <selection activeCell="C16" sqref="C16"/>
    </sheetView>
  </sheetViews>
  <sheetFormatPr baseColWidth="8" defaultColWidth="9.109375" defaultRowHeight="15.6"/>
  <cols>
    <col width="9.109375" customWidth="1" style="324" min="1" max="1"/>
    <col width="12.5546875" customWidth="1" style="324" min="2" max="2"/>
    <col width="22.44140625" customWidth="1" style="324" min="3" max="3"/>
    <col width="49.6640625" customWidth="1" style="324" min="4" max="4"/>
    <col width="10.109375" customWidth="1" style="324" min="5" max="5"/>
    <col width="20.6640625" customWidth="1" style="324" min="6" max="6"/>
    <col width="20" customWidth="1" style="324" min="7" max="7"/>
    <col width="16.6640625" customWidth="1" style="324" min="8" max="8"/>
    <col width="9.109375" customWidth="1" style="324" min="9" max="10"/>
    <col width="15" customWidth="1" style="324" min="11" max="11"/>
    <col width="9.109375" customWidth="1" style="324" min="12" max="12"/>
  </cols>
  <sheetData>
    <row r="2">
      <c r="A2" s="354" t="inlineStr">
        <is>
          <t xml:space="preserve">Приложение № 3 </t>
        </is>
      </c>
    </row>
    <row r="3">
      <c r="A3" s="355" t="inlineStr">
        <is>
          <t>Объектная ресурсная ведомость</t>
        </is>
      </c>
    </row>
    <row r="4" ht="18.75" customHeight="1" s="322">
      <c r="A4" s="271" t="n"/>
      <c r="B4" s="271" t="n"/>
      <c r="C4" s="367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56" t="n"/>
    </row>
    <row r="6">
      <c r="A6" s="366" t="inlineStr">
        <is>
          <t>Наименование разрабатываемого показателя УНЦ -  Муфта соединительная 20 кВ сечением до 120 мм2</t>
        </is>
      </c>
    </row>
    <row r="7">
      <c r="A7" s="366" t="n"/>
      <c r="B7" s="366" t="n"/>
      <c r="C7" s="366" t="n"/>
      <c r="D7" s="366" t="n"/>
      <c r="E7" s="366" t="n"/>
      <c r="F7" s="366" t="n"/>
      <c r="G7" s="366" t="n"/>
      <c r="H7" s="366" t="n"/>
    </row>
    <row r="8" ht="38.25" customHeight="1" s="322">
      <c r="A8" s="360" t="inlineStr">
        <is>
          <t>п/п</t>
        </is>
      </c>
      <c r="B8" s="360" t="inlineStr">
        <is>
          <t>№ЛСР</t>
        </is>
      </c>
      <c r="C8" s="360" t="inlineStr">
        <is>
          <t>Код ресурса</t>
        </is>
      </c>
      <c r="D8" s="360" t="inlineStr">
        <is>
          <t>Наименование ресурса</t>
        </is>
      </c>
      <c r="E8" s="360" t="inlineStr">
        <is>
          <t>Ед. изм.</t>
        </is>
      </c>
      <c r="F8" s="360" t="inlineStr">
        <is>
          <t>Кол-во единиц по данным объекта-представителя</t>
        </is>
      </c>
      <c r="G8" s="360" t="inlineStr">
        <is>
          <t>Сметная стоимость в ценах на 01.01.2000 (руб.)</t>
        </is>
      </c>
      <c r="H8" s="440" t="n"/>
    </row>
    <row r="9" ht="40.65" customHeight="1" s="322">
      <c r="A9" s="442" t="n"/>
      <c r="B9" s="442" t="n"/>
      <c r="C9" s="442" t="n"/>
      <c r="D9" s="442" t="n"/>
      <c r="E9" s="442" t="n"/>
      <c r="F9" s="442" t="n"/>
      <c r="G9" s="360" t="inlineStr">
        <is>
          <t>на ед.изм.</t>
        </is>
      </c>
      <c r="H9" s="360" t="inlineStr">
        <is>
          <t>общая</t>
        </is>
      </c>
    </row>
    <row r="10">
      <c r="A10" s="361" t="n">
        <v>1</v>
      </c>
      <c r="B10" s="361" t="n"/>
      <c r="C10" s="361" t="n">
        <v>2</v>
      </c>
      <c r="D10" s="361" t="inlineStr">
        <is>
          <t>З</t>
        </is>
      </c>
      <c r="E10" s="361" t="n">
        <v>4</v>
      </c>
      <c r="F10" s="361" t="n">
        <v>5</v>
      </c>
      <c r="G10" s="361" t="n">
        <v>6</v>
      </c>
      <c r="H10" s="361" t="n">
        <v>7</v>
      </c>
    </row>
    <row r="11" customFormat="1" s="302">
      <c r="A11" s="363" t="inlineStr">
        <is>
          <t>Затраты труда рабочих</t>
        </is>
      </c>
      <c r="B11" s="439" t="n"/>
      <c r="C11" s="439" t="n"/>
      <c r="D11" s="439" t="n"/>
      <c r="E11" s="440" t="n"/>
      <c r="F11" s="445">
        <f>SUM(F12:F12)</f>
        <v/>
      </c>
      <c r="G11" s="267" t="n"/>
      <c r="H11" s="445">
        <f>SUM(H12:H12)</f>
        <v/>
      </c>
    </row>
    <row r="12">
      <c r="A12" s="393" t="n">
        <v>1</v>
      </c>
      <c r="B12" s="241" t="n"/>
      <c r="C12" s="277" t="inlineStr">
        <is>
          <t>1-4-0</t>
        </is>
      </c>
      <c r="D12" s="262" t="inlineStr">
        <is>
          <t>Затраты труда рабочих (средний разряд работы 4,0)</t>
        </is>
      </c>
      <c r="E12" s="393" t="inlineStr">
        <is>
          <t>чел.-ч</t>
        </is>
      </c>
      <c r="F12" s="372" t="n">
        <v>113.28</v>
      </c>
      <c r="G12" s="446" t="n">
        <v>9.619999999999999</v>
      </c>
      <c r="H12" s="260">
        <f>ROUND(F12*G12,2)</f>
        <v/>
      </c>
      <c r="M12" s="447" t="n"/>
    </row>
    <row r="13">
      <c r="A13" s="362" t="inlineStr">
        <is>
          <t>Затраты труда машинистов</t>
        </is>
      </c>
      <c r="B13" s="439" t="n"/>
      <c r="C13" s="439" t="n"/>
      <c r="D13" s="439" t="n"/>
      <c r="E13" s="440" t="n"/>
      <c r="F13" s="363" t="n"/>
      <c r="G13" s="239" t="n"/>
      <c r="H13" s="445">
        <f>H14</f>
        <v/>
      </c>
    </row>
    <row r="14">
      <c r="A14" s="393" t="n">
        <v>2</v>
      </c>
      <c r="B14" s="364" t="n"/>
      <c r="C14" s="279" t="n">
        <v>2</v>
      </c>
      <c r="D14" s="262" t="inlineStr">
        <is>
          <t>Затраты труда машинистов</t>
        </is>
      </c>
      <c r="E14" s="393" t="inlineStr">
        <is>
          <t>чел.-ч</t>
        </is>
      </c>
      <c r="F14" s="393" t="n">
        <v>0.48</v>
      </c>
      <c r="G14" s="260" t="n"/>
      <c r="H14" s="282" t="n">
        <v>6.03</v>
      </c>
    </row>
    <row r="15" customFormat="1" s="302">
      <c r="A15" s="363" t="inlineStr">
        <is>
          <t>Машины и механизмы</t>
        </is>
      </c>
      <c r="B15" s="439" t="n"/>
      <c r="C15" s="439" t="n"/>
      <c r="D15" s="439" t="n"/>
      <c r="E15" s="440" t="n"/>
      <c r="F15" s="363" t="n"/>
      <c r="G15" s="239" t="n"/>
      <c r="H15" s="445">
        <f>SUM(H16:H17)</f>
        <v/>
      </c>
    </row>
    <row r="16" ht="25.5" customHeight="1" s="322">
      <c r="A16" s="393" t="n">
        <v>3</v>
      </c>
      <c r="B16" s="364" t="n"/>
      <c r="C16" s="277" t="inlineStr">
        <is>
          <t>91.05.05-015</t>
        </is>
      </c>
      <c r="D16" s="380" t="inlineStr">
        <is>
          <t>Краны на автомобильном ходу, грузоподъемность 16 т</t>
        </is>
      </c>
      <c r="E16" s="372" t="inlineStr">
        <is>
          <t>маш.час</t>
        </is>
      </c>
      <c r="F16" s="372" t="n">
        <v>0.24</v>
      </c>
      <c r="G16" s="382" t="n">
        <v>115.4</v>
      </c>
      <c r="H16" s="260">
        <f>ROUND(F16*G16,2)</f>
        <v/>
      </c>
      <c r="I16" s="294" t="n"/>
      <c r="J16" s="294" t="n"/>
      <c r="L16" s="294" t="n"/>
    </row>
    <row r="17" customFormat="1" s="302">
      <c r="A17" s="393" t="n">
        <v>4</v>
      </c>
      <c r="B17" s="364" t="n"/>
      <c r="C17" s="277" t="inlineStr">
        <is>
          <t>91.14.02-001</t>
        </is>
      </c>
      <c r="D17" s="380" t="inlineStr">
        <is>
          <t>Автомобили бортовые, грузоподъемность: до 5 т</t>
        </is>
      </c>
      <c r="E17" s="372" t="inlineStr">
        <is>
          <t>маш.час</t>
        </is>
      </c>
      <c r="F17" s="372" t="n">
        <v>0.24</v>
      </c>
      <c r="G17" s="382" t="n">
        <v>65.70999999999999</v>
      </c>
      <c r="H17" s="260">
        <f>ROUND(F17*G17,2)</f>
        <v/>
      </c>
      <c r="I17" s="294" t="n"/>
      <c r="J17" s="294" t="n"/>
      <c r="K17" s="295" t="n"/>
      <c r="L17" s="294" t="n"/>
    </row>
    <row r="18">
      <c r="A18" s="363" t="inlineStr">
        <is>
          <t>Материалы</t>
        </is>
      </c>
      <c r="B18" s="439" t="n"/>
      <c r="C18" s="439" t="n"/>
      <c r="D18" s="439" t="n"/>
      <c r="E18" s="440" t="n"/>
      <c r="F18" s="363" t="n"/>
      <c r="G18" s="239" t="n"/>
      <c r="H18" s="445">
        <f>SUM(H19:H27)</f>
        <v/>
      </c>
    </row>
    <row r="19">
      <c r="A19" s="290" t="n">
        <v>5</v>
      </c>
      <c r="B19" s="290" t="n"/>
      <c r="C19" s="393" t="inlineStr">
        <is>
          <t>Прайс из СД ОП</t>
        </is>
      </c>
      <c r="D19" s="288" t="inlineStr">
        <is>
          <t>Муфта соединительная 20 кВ сечением до 120 мм2</t>
        </is>
      </c>
      <c r="E19" s="393" t="inlineStr">
        <is>
          <t>шт</t>
        </is>
      </c>
      <c r="F19" s="393" t="n">
        <v>6</v>
      </c>
      <c r="G19" s="288" t="n">
        <v>803.03</v>
      </c>
      <c r="H19" s="260">
        <f>ROUND(F19*G19,2)</f>
        <v/>
      </c>
    </row>
    <row r="20" ht="25.5" customHeight="1" s="322">
      <c r="A20" s="263" t="n">
        <v>6</v>
      </c>
      <c r="B20" s="364" t="n"/>
      <c r="C20" s="277" t="inlineStr">
        <is>
          <t>10.3.02.03-0011</t>
        </is>
      </c>
      <c r="D20" s="380" t="inlineStr">
        <is>
          <t>Припои оловянно-свинцовые бессурьмянистые, марка ПОС30</t>
        </is>
      </c>
      <c r="E20" s="372" t="inlineStr">
        <is>
          <t>т</t>
        </is>
      </c>
      <c r="F20" s="372" t="n">
        <v>0.0174</v>
      </c>
      <c r="G20" s="382" t="n">
        <v>68050</v>
      </c>
      <c r="H20" s="260">
        <f>ROUND(F20*G20,2)</f>
        <v/>
      </c>
      <c r="I20" s="265" t="n"/>
      <c r="J20" s="294" t="n"/>
      <c r="K20" s="294" t="n"/>
    </row>
    <row r="21" ht="25.5" customHeight="1" s="322">
      <c r="A21" s="290" t="n">
        <v>7</v>
      </c>
      <c r="B21" s="364" t="n"/>
      <c r="C21" s="277" t="inlineStr">
        <is>
          <t>10.2.02.08-0001</t>
        </is>
      </c>
      <c r="D21" s="380" t="inlineStr">
        <is>
          <t>Проволока медная, круглая, мягкая, электротехническая, диаметр 1,0-3,0 мм и выше</t>
        </is>
      </c>
      <c r="E21" s="372" t="inlineStr">
        <is>
          <t>т</t>
        </is>
      </c>
      <c r="F21" s="372" t="n">
        <v>0.0075</v>
      </c>
      <c r="G21" s="382" t="n">
        <v>37517</v>
      </c>
      <c r="H21" s="260">
        <f>ROUND(F21*G21,2)</f>
        <v/>
      </c>
      <c r="I21" s="265" t="n"/>
      <c r="J21" s="294" t="n"/>
      <c r="K21" s="294" t="n"/>
    </row>
    <row r="22">
      <c r="A22" s="263" t="n">
        <v>8</v>
      </c>
      <c r="B22" s="364" t="n"/>
      <c r="C22" s="277" t="inlineStr">
        <is>
          <t>01.1.02.01-0003</t>
        </is>
      </c>
      <c r="D22" s="380" t="inlineStr">
        <is>
          <t>Асботекстолит, марка Г</t>
        </is>
      </c>
      <c r="E22" s="372" t="inlineStr">
        <is>
          <t>т</t>
        </is>
      </c>
      <c r="F22" s="372" t="n">
        <v>0.00075</v>
      </c>
      <c r="G22" s="382" t="n">
        <v>161000</v>
      </c>
      <c r="H22" s="260">
        <f>ROUND(F22*G22,2)</f>
        <v/>
      </c>
      <c r="I22" s="265" t="n"/>
      <c r="J22" s="294" t="n"/>
      <c r="K22" s="294" t="n"/>
    </row>
    <row r="23">
      <c r="A23" s="290" t="n">
        <v>9</v>
      </c>
      <c r="B23" s="364" t="n"/>
      <c r="C23" s="277" t="inlineStr">
        <is>
          <t>01.3.02.09-0022</t>
        </is>
      </c>
      <c r="D23" s="380" t="inlineStr">
        <is>
          <t>Пропан-бутан смесь техническая</t>
        </is>
      </c>
      <c r="E23" s="372" t="inlineStr">
        <is>
          <t>кг</t>
        </is>
      </c>
      <c r="F23" s="372" t="n">
        <v>15</v>
      </c>
      <c r="G23" s="382" t="n">
        <v>6.09</v>
      </c>
      <c r="H23" s="260">
        <f>ROUND(F23*G23,2)</f>
        <v/>
      </c>
      <c r="I23" s="265" t="n"/>
      <c r="J23" s="294" t="n"/>
      <c r="K23" s="294" t="n"/>
    </row>
    <row r="24">
      <c r="A24" s="263" t="n">
        <v>10</v>
      </c>
      <c r="B24" s="364" t="n"/>
      <c r="C24" s="277" t="inlineStr">
        <is>
          <t>14.4.02.09-0001</t>
        </is>
      </c>
      <c r="D24" s="380" t="inlineStr">
        <is>
          <t>Краска</t>
        </is>
      </c>
      <c r="E24" s="372" t="inlineStr">
        <is>
          <t>кг</t>
        </is>
      </c>
      <c r="F24" s="372" t="n">
        <v>2.61</v>
      </c>
      <c r="G24" s="382" t="n">
        <v>28.6</v>
      </c>
      <c r="H24" s="260">
        <f>ROUND(F24*G24,2)</f>
        <v/>
      </c>
      <c r="I24" s="265" t="n"/>
      <c r="J24" s="294" t="n"/>
      <c r="K24" s="294" t="n"/>
    </row>
    <row r="25">
      <c r="A25" s="263" t="n">
        <v>11</v>
      </c>
      <c r="B25" s="364" t="n"/>
      <c r="C25" s="277" t="inlineStr">
        <is>
          <t>20.1.02.06-0001</t>
        </is>
      </c>
      <c r="D25" s="380" t="inlineStr">
        <is>
          <t>Жир паяльный</t>
        </is>
      </c>
      <c r="E25" s="372" t="inlineStr">
        <is>
          <t>кг</t>
        </is>
      </c>
      <c r="F25" s="372" t="n">
        <v>0.18</v>
      </c>
      <c r="G25" s="382" t="n">
        <v>100.8</v>
      </c>
      <c r="H25" s="260">
        <f>ROUND(F25*G25,2)</f>
        <v/>
      </c>
      <c r="I25" s="265" t="n"/>
      <c r="J25" s="294" t="n"/>
      <c r="K25" s="294" t="n"/>
    </row>
    <row r="26">
      <c r="A26" s="290" t="n">
        <v>12</v>
      </c>
      <c r="B26" s="364" t="n"/>
      <c r="C26" s="277" t="inlineStr">
        <is>
          <t>01.3.01.05-0009</t>
        </is>
      </c>
      <c r="D26" s="380" t="inlineStr">
        <is>
          <t>Парафины нефтяные твердые марки Т-1</t>
        </is>
      </c>
      <c r="E26" s="372" t="inlineStr">
        <is>
          <t>т</t>
        </is>
      </c>
      <c r="F26" s="372" t="n">
        <v>0.0018</v>
      </c>
      <c r="G26" s="382" t="n">
        <v>8105.71</v>
      </c>
      <c r="H26" s="260">
        <f>ROUND(F26*G26,2)</f>
        <v/>
      </c>
      <c r="I26" s="265" t="n"/>
      <c r="J26" s="294" t="n"/>
      <c r="K26" s="294" t="n"/>
    </row>
    <row r="27">
      <c r="A27" s="263" t="n">
        <v>13</v>
      </c>
      <c r="B27" s="364" t="n"/>
      <c r="C27" s="277" t="inlineStr">
        <is>
          <t>01.7.20.08-0031</t>
        </is>
      </c>
      <c r="D27" s="380" t="inlineStr">
        <is>
          <t>Бязь суровая</t>
        </is>
      </c>
      <c r="E27" s="372" t="inlineStr">
        <is>
          <t>10 м2</t>
        </is>
      </c>
      <c r="F27" s="372" t="n">
        <v>0.03</v>
      </c>
      <c r="G27" s="382" t="n">
        <v>79.09999999999999</v>
      </c>
      <c r="H27" s="260">
        <f>ROUND(F27*G27,2)</f>
        <v/>
      </c>
      <c r="I27" s="265" t="n"/>
      <c r="J27" s="294" t="n"/>
      <c r="K27" s="294" t="n"/>
    </row>
    <row r="29">
      <c r="B29" s="324" t="inlineStr">
        <is>
          <t>Составил ______________________     А.Р. Маркова</t>
        </is>
      </c>
    </row>
    <row r="30">
      <c r="B30" s="226" t="inlineStr">
        <is>
          <t xml:space="preserve">                         (подпись, инициалы, фамилия)</t>
        </is>
      </c>
    </row>
    <row r="32">
      <c r="B32" s="324" t="inlineStr">
        <is>
          <t>Проверил ______________________        А.В. Костянецкая</t>
        </is>
      </c>
    </row>
    <row r="33">
      <c r="B33" s="226" t="inlineStr">
        <is>
          <t xml:space="preserve">                        (подпись, инициалы, фамилия)</t>
        </is>
      </c>
    </row>
  </sheetData>
  <mergeCells count="15"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18:E18"/>
    <mergeCell ref="A6:H6"/>
  </mergeCells>
  <pageMargins left="0.7" right="0.7" top="0.75" bottom="0.75" header="0.3" footer="0.3"/>
  <pageSetup orientation="landscape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1" workbookViewId="0">
      <selection activeCell="D45" sqref="D45"/>
    </sheetView>
  </sheetViews>
  <sheetFormatPr baseColWidth="8" defaultColWidth="9.109375" defaultRowHeight="14.4"/>
  <cols>
    <col width="4.109375" customWidth="1" style="322" min="1" max="1"/>
    <col width="36.33203125" customWidth="1" style="322" min="2" max="2"/>
    <col width="18.88671875" customWidth="1" style="322" min="3" max="3"/>
    <col width="18.33203125" customWidth="1" style="322" min="4" max="4"/>
    <col width="18.88671875" customWidth="1" style="322" min="5" max="5"/>
    <col width="11.44140625" customWidth="1" style="322" min="6" max="6"/>
    <col width="14.44140625" customWidth="1" style="322" min="7" max="7"/>
    <col width="9.109375" customWidth="1" style="322" min="8" max="11"/>
    <col width="13.5546875" customWidth="1" style="322" min="12" max="12"/>
    <col width="9.109375" customWidth="1" style="322" min="13" max="13"/>
  </cols>
  <sheetData>
    <row r="1">
      <c r="B1" s="308" t="n"/>
      <c r="C1" s="308" t="n"/>
      <c r="D1" s="308" t="n"/>
      <c r="E1" s="308" t="n"/>
    </row>
    <row r="2">
      <c r="B2" s="308" t="n"/>
      <c r="C2" s="308" t="n"/>
      <c r="D2" s="308" t="n"/>
      <c r="E2" s="388" t="inlineStr">
        <is>
          <t>Приложение № 4</t>
        </is>
      </c>
    </row>
    <row r="3">
      <c r="B3" s="308" t="n"/>
      <c r="C3" s="308" t="n"/>
      <c r="D3" s="308" t="n"/>
      <c r="E3" s="308" t="n"/>
    </row>
    <row r="4">
      <c r="B4" s="308" t="n"/>
      <c r="C4" s="308" t="n"/>
      <c r="D4" s="308" t="n"/>
      <c r="E4" s="308" t="n"/>
    </row>
    <row r="5">
      <c r="B5" s="344" t="inlineStr">
        <is>
          <t>Ресурсная модель</t>
        </is>
      </c>
    </row>
    <row r="6">
      <c r="B6" s="253" t="n"/>
      <c r="C6" s="308" t="n"/>
      <c r="D6" s="308" t="n"/>
      <c r="E6" s="308" t="n"/>
    </row>
    <row r="7" ht="25.5" customHeight="1" s="322">
      <c r="B7" s="353" t="inlineStr">
        <is>
          <t>Наименование разрабатываемого показателя УНЦ — Муфта соединительная 20 кВ сечением до 120 мм2</t>
        </is>
      </c>
    </row>
    <row r="8">
      <c r="B8" s="368" t="inlineStr">
        <is>
          <t>Единица измерения  — 1 ед</t>
        </is>
      </c>
    </row>
    <row r="9">
      <c r="B9" s="253" t="n"/>
      <c r="C9" s="308" t="n"/>
      <c r="D9" s="308" t="n"/>
      <c r="E9" s="308" t="n"/>
    </row>
    <row r="10" ht="51" customHeight="1" s="322">
      <c r="B10" s="372" t="inlineStr">
        <is>
          <t>Наименование</t>
        </is>
      </c>
      <c r="C10" s="372" t="inlineStr">
        <is>
          <t>Сметная стоимость в ценах на 01.01.2023
 (руб.)</t>
        </is>
      </c>
      <c r="D10" s="372" t="inlineStr">
        <is>
          <t>Удельный вес, 
(в СМР)</t>
        </is>
      </c>
      <c r="E10" s="372" t="inlineStr">
        <is>
          <t>Удельный вес, % 
(от всего по РМ)</t>
        </is>
      </c>
    </row>
    <row r="11">
      <c r="B11" s="245" t="inlineStr">
        <is>
          <t>Оплата труда рабочих</t>
        </is>
      </c>
      <c r="C11" s="246">
        <f>'Прил.5 Расчет СМР и ОБ'!J15</f>
        <v/>
      </c>
      <c r="D11" s="247">
        <f>C11/$C$24</f>
        <v/>
      </c>
      <c r="E11" s="247">
        <f>C11/$C$40</f>
        <v/>
      </c>
    </row>
    <row r="12">
      <c r="B12" s="245" t="inlineStr">
        <is>
          <t>Эксплуатация машин основных</t>
        </is>
      </c>
      <c r="C12" s="246">
        <f>'Прил.5 Расчет СМР и ОБ'!J22</f>
        <v/>
      </c>
      <c r="D12" s="247">
        <f>C12/$C$24</f>
        <v/>
      </c>
      <c r="E12" s="247">
        <f>C12/$C$40</f>
        <v/>
      </c>
    </row>
    <row r="13">
      <c r="B13" s="245" t="inlineStr">
        <is>
          <t>Эксплуатация машин прочих</t>
        </is>
      </c>
      <c r="C13" s="246">
        <f>'Прил.5 Расчет СМР и ОБ'!J23</f>
        <v/>
      </c>
      <c r="D13" s="247">
        <f>C13/$C$24</f>
        <v/>
      </c>
      <c r="E13" s="247">
        <f>C13/$C$40</f>
        <v/>
      </c>
    </row>
    <row r="14">
      <c r="B14" s="245" t="inlineStr">
        <is>
          <t>ЭКСПЛУАТАЦИЯ МАШИН, ВСЕГО:</t>
        </is>
      </c>
      <c r="C14" s="246">
        <f>C13+C12</f>
        <v/>
      </c>
      <c r="D14" s="247">
        <f>C14/$C$24</f>
        <v/>
      </c>
      <c r="E14" s="247">
        <f>C14/$C$40</f>
        <v/>
      </c>
    </row>
    <row r="15">
      <c r="B15" s="245" t="inlineStr">
        <is>
          <t>в том числе зарплата машинистов</t>
        </is>
      </c>
      <c r="C15" s="246">
        <f>'Прил.5 Расчет СМР и ОБ'!J17</f>
        <v/>
      </c>
      <c r="D15" s="247">
        <f>C15/$C$24</f>
        <v/>
      </c>
      <c r="E15" s="247">
        <f>C15/$C$40</f>
        <v/>
      </c>
    </row>
    <row r="16">
      <c r="B16" s="245" t="inlineStr">
        <is>
          <t>Материалы основные</t>
        </is>
      </c>
      <c r="C16" s="246">
        <f>'Прил.5 Расчет СМР и ОБ'!J34</f>
        <v/>
      </c>
      <c r="D16" s="247">
        <f>C16/$C$24</f>
        <v/>
      </c>
      <c r="E16" s="247">
        <f>C16/$C$40</f>
        <v/>
      </c>
    </row>
    <row r="17">
      <c r="B17" s="245" t="inlineStr">
        <is>
          <t>Материалы прочие</t>
        </is>
      </c>
      <c r="C17" s="246">
        <f>'Прил.5 Расчет СМР и ОБ'!J43</f>
        <v/>
      </c>
      <c r="D17" s="247">
        <f>C17/$C$24</f>
        <v/>
      </c>
      <c r="E17" s="247">
        <f>C17/$C$40</f>
        <v/>
      </c>
      <c r="G17" s="448" t="n"/>
    </row>
    <row r="18">
      <c r="B18" s="245" t="inlineStr">
        <is>
          <t>МАТЕРИАЛЫ, ВСЕГО:</t>
        </is>
      </c>
      <c r="C18" s="246">
        <f>C17+C16</f>
        <v/>
      </c>
      <c r="D18" s="247">
        <f>C18/$C$24</f>
        <v/>
      </c>
      <c r="E18" s="247">
        <f>C18/$C$40</f>
        <v/>
      </c>
    </row>
    <row r="19">
      <c r="B19" s="245" t="inlineStr">
        <is>
          <t>ИТОГО</t>
        </is>
      </c>
      <c r="C19" s="246">
        <f>C18+C14+C11</f>
        <v/>
      </c>
      <c r="D19" s="247" t="n"/>
      <c r="E19" s="245" t="n"/>
    </row>
    <row r="20">
      <c r="B20" s="245" t="inlineStr">
        <is>
          <t>Сметная прибыль, руб.</t>
        </is>
      </c>
      <c r="C20" s="246">
        <f>ROUND(C21*(C11+C15),2)</f>
        <v/>
      </c>
      <c r="D20" s="247">
        <f>C20/$C$24</f>
        <v/>
      </c>
      <c r="E20" s="247">
        <f>C20/$C$40</f>
        <v/>
      </c>
    </row>
    <row r="21">
      <c r="B21" s="245" t="inlineStr">
        <is>
          <t>Сметная прибыль, %</t>
        </is>
      </c>
      <c r="C21" s="250">
        <f>'Прил.5 Расчет СМР и ОБ'!D47</f>
        <v/>
      </c>
      <c r="D21" s="247" t="n"/>
      <c r="E21" s="245" t="n"/>
    </row>
    <row r="22">
      <c r="B22" s="245" t="inlineStr">
        <is>
          <t>Накладные расходы, руб.</t>
        </is>
      </c>
      <c r="C22" s="246">
        <f>ROUND(C23*(C11+C15),2)</f>
        <v/>
      </c>
      <c r="D22" s="247">
        <f>C22/$C$24</f>
        <v/>
      </c>
      <c r="E22" s="247">
        <f>C22/$C$40</f>
        <v/>
      </c>
    </row>
    <row r="23">
      <c r="B23" s="245" t="inlineStr">
        <is>
          <t>Накладные расходы, %</t>
        </is>
      </c>
      <c r="C23" s="250">
        <f>'Прил.5 Расчет СМР и ОБ'!D46</f>
        <v/>
      </c>
      <c r="D23" s="247" t="n"/>
      <c r="E23" s="245" t="n"/>
    </row>
    <row r="24">
      <c r="B24" s="245" t="inlineStr">
        <is>
          <t>ВСЕГО СМР с НР и СП</t>
        </is>
      </c>
      <c r="C24" s="246">
        <f>C19+C20+C22</f>
        <v/>
      </c>
      <c r="D24" s="247">
        <f>C24/$C$24</f>
        <v/>
      </c>
      <c r="E24" s="247">
        <f>C24/$C$40</f>
        <v/>
      </c>
    </row>
    <row r="25" ht="25.5" customHeight="1" s="322">
      <c r="B25" s="245" t="inlineStr">
        <is>
          <t>ВСЕГО стоимость оборудования, в том числе</t>
        </is>
      </c>
      <c r="C25" s="246">
        <f>'Прил.5 Расчет СМР и ОБ'!J29</f>
        <v/>
      </c>
      <c r="D25" s="247" t="n"/>
      <c r="E25" s="247">
        <f>C25/$C$40</f>
        <v/>
      </c>
    </row>
    <row r="26" ht="25.5" customHeight="1" s="322">
      <c r="B26" s="245" t="inlineStr">
        <is>
          <t>стоимость оборудования технологического</t>
        </is>
      </c>
      <c r="C26" s="246">
        <f>'Прил.5 Расчет СМР и ОБ'!J30</f>
        <v/>
      </c>
      <c r="D26" s="247" t="n"/>
      <c r="E26" s="247">
        <f>C26/$C$40</f>
        <v/>
      </c>
    </row>
    <row r="27">
      <c r="B27" s="245" t="inlineStr">
        <is>
          <t>ИТОГО (СМР + ОБОРУДОВАНИЕ)</t>
        </is>
      </c>
      <c r="C27" s="249">
        <f>C24+C25</f>
        <v/>
      </c>
      <c r="D27" s="247" t="n"/>
      <c r="E27" s="247">
        <f>C27/$C$40</f>
        <v/>
      </c>
    </row>
    <row r="28" ht="33" customHeight="1" s="322">
      <c r="B28" s="245" t="inlineStr">
        <is>
          <t>ПРОЧ. ЗАТР., УЧТЕННЫЕ ПОКАЗАТЕЛЕМ,  в том числе</t>
        </is>
      </c>
      <c r="C28" s="245" t="n"/>
      <c r="D28" s="245" t="n"/>
      <c r="E28" s="245" t="n"/>
      <c r="F28" s="248" t="n"/>
    </row>
    <row r="29" ht="25.5" customHeight="1" s="322">
      <c r="B29" s="245" t="inlineStr">
        <is>
          <t>Временные здания и сооружения - 2,5%</t>
        </is>
      </c>
      <c r="C29" s="249">
        <f>ROUND(C24*2.5%,2)</f>
        <v/>
      </c>
      <c r="D29" s="245" t="n"/>
      <c r="E29" s="247">
        <f>C29/$C$40</f>
        <v/>
      </c>
    </row>
    <row r="30" ht="38.25" customHeight="1" s="322">
      <c r="B30" s="245" t="inlineStr">
        <is>
          <t>Дополнительные затраты при производстве строительно-монтажных работ в зимнее время - 2,1%</t>
        </is>
      </c>
      <c r="C30" s="249">
        <f>ROUND((C24+C29)*2.1%,2)</f>
        <v/>
      </c>
      <c r="D30" s="245" t="n"/>
      <c r="E30" s="247">
        <f>C30/$C$40</f>
        <v/>
      </c>
      <c r="F30" s="248" t="n"/>
    </row>
    <row r="31">
      <c r="B31" s="245" t="inlineStr">
        <is>
          <t>Пусконаладочные работы</t>
        </is>
      </c>
      <c r="C31" s="280" t="n">
        <v>0</v>
      </c>
      <c r="D31" s="245" t="n"/>
      <c r="E31" s="247">
        <f>C31/$C$40</f>
        <v/>
      </c>
    </row>
    <row r="32" ht="25.5" customHeight="1" s="322">
      <c r="B32" s="245" t="inlineStr">
        <is>
          <t>Затраты по перевозке работников к месту работы и обратно</t>
        </is>
      </c>
      <c r="C32" s="249">
        <f>ROUND(C27*0%,2)</f>
        <v/>
      </c>
      <c r="D32" s="245" t="n"/>
      <c r="E32" s="247">
        <f>C32/$C$40</f>
        <v/>
      </c>
    </row>
    <row r="33" ht="25.5" customHeight="1" s="322">
      <c r="B33" s="245" t="inlineStr">
        <is>
          <t>Затраты, связанные с осуществлением работ вахтовым методом</t>
        </is>
      </c>
      <c r="C33" s="249">
        <f>ROUND(C28*0%,2)</f>
        <v/>
      </c>
      <c r="D33" s="245" t="n"/>
      <c r="E33" s="247">
        <f>C33/$C$40</f>
        <v/>
      </c>
    </row>
    <row r="34" ht="51" customHeight="1" s="322">
      <c r="B34" s="24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9">
        <f>ROUND(C29*0%,2)</f>
        <v/>
      </c>
      <c r="D34" s="245" t="n"/>
      <c r="E34" s="247">
        <f>C34/$C$40</f>
        <v/>
      </c>
      <c r="H34" s="265" t="n"/>
    </row>
    <row r="35" ht="76.5" customHeight="1" s="322">
      <c r="B35" s="24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9">
        <f>ROUND(C30*0%,2)</f>
        <v/>
      </c>
      <c r="D35" s="245" t="n"/>
      <c r="E35" s="247">
        <f>C35/$C$40</f>
        <v/>
      </c>
    </row>
    <row r="36" ht="25.5" customHeight="1" s="322">
      <c r="B36" s="245" t="inlineStr">
        <is>
          <t>Строительный контроль и содержание службы заказчика - 2,14%</t>
        </is>
      </c>
      <c r="C36" s="249">
        <f>ROUND((C27+C32+C33+C34+C35+C29+C31+C30)*2.14%,2)</f>
        <v/>
      </c>
      <c r="D36" s="245" t="n"/>
      <c r="E36" s="247">
        <f>C36/$C$40</f>
        <v/>
      </c>
      <c r="G36" s="256" t="n"/>
      <c r="L36" s="248" t="n"/>
    </row>
    <row r="37">
      <c r="B37" s="245" t="inlineStr">
        <is>
          <t>Авторский надзор - 0,2%</t>
        </is>
      </c>
      <c r="C37" s="249">
        <f>ROUND((C27+C32+C33+C34+C35+C29+C31+C30)*0.2%,2)</f>
        <v/>
      </c>
      <c r="D37" s="245" t="n"/>
      <c r="E37" s="247">
        <f>C37/$C$40</f>
        <v/>
      </c>
      <c r="G37" s="169" t="n"/>
      <c r="L37" s="248" t="n"/>
    </row>
    <row r="38" ht="38.25" customHeight="1" s="322">
      <c r="B38" s="245" t="inlineStr">
        <is>
          <t>ИТОГО (СМР+ОБОРУДОВАНИЕ+ПРОЧ. ЗАТР., УЧТЕННЫЕ ПОКАЗАТЕЛЕМ)</t>
        </is>
      </c>
      <c r="C38" s="246">
        <f>C27+C32+C33+C34+C35+C29+C31+C30+C36+C37</f>
        <v/>
      </c>
      <c r="D38" s="245" t="n"/>
      <c r="E38" s="247">
        <f>C38/$C$40</f>
        <v/>
      </c>
    </row>
    <row r="39" ht="13.65" customHeight="1" s="322">
      <c r="B39" s="245" t="inlineStr">
        <is>
          <t>Непредвиденные расходы</t>
        </is>
      </c>
      <c r="C39" s="246">
        <f>ROUND(C38*3%,2)</f>
        <v/>
      </c>
      <c r="D39" s="245" t="n"/>
      <c r="E39" s="247">
        <f>C39/$C$38</f>
        <v/>
      </c>
    </row>
    <row r="40">
      <c r="B40" s="245" t="inlineStr">
        <is>
          <t>ВСЕГО:</t>
        </is>
      </c>
      <c r="C40" s="246">
        <f>C39+C38</f>
        <v/>
      </c>
      <c r="D40" s="245" t="n"/>
      <c r="E40" s="247">
        <f>C40/$C$40</f>
        <v/>
      </c>
    </row>
    <row r="41">
      <c r="B41" s="245" t="inlineStr">
        <is>
          <t>ИТОГО ПОКАЗАТЕЛЬ НА ЕД. ИЗМ.</t>
        </is>
      </c>
      <c r="C41" s="246">
        <f>C40/'Прил.5 Расчет СМР и ОБ'!E50</f>
        <v/>
      </c>
      <c r="D41" s="245" t="n"/>
      <c r="E41" s="245" t="n"/>
    </row>
    <row r="42">
      <c r="B42" s="244" t="n"/>
      <c r="C42" s="308" t="n"/>
      <c r="D42" s="308" t="n"/>
      <c r="E42" s="308" t="n"/>
    </row>
    <row r="43">
      <c r="B43" s="244" t="inlineStr">
        <is>
          <t>Составил ____________________________ А.Р. Маркова</t>
        </is>
      </c>
      <c r="C43" s="308" t="n"/>
      <c r="D43" s="308" t="n"/>
      <c r="E43" s="308" t="n"/>
    </row>
    <row r="44">
      <c r="B44" s="244" t="inlineStr">
        <is>
          <t xml:space="preserve">(должность, подпись, инициалы, фамилия) </t>
        </is>
      </c>
      <c r="C44" s="308" t="n"/>
      <c r="D44" s="308" t="n"/>
      <c r="E44" s="308" t="n"/>
    </row>
    <row r="45">
      <c r="B45" s="244" t="n"/>
      <c r="C45" s="308" t="n"/>
      <c r="D45" s="308" t="n"/>
      <c r="E45" s="308" t="n"/>
    </row>
    <row r="46">
      <c r="B46" s="244" t="inlineStr">
        <is>
          <t>Проверил ____________________________ А.В. Костянецкая</t>
        </is>
      </c>
      <c r="C46" s="308" t="n"/>
      <c r="D46" s="308" t="n"/>
      <c r="E46" s="308" t="n"/>
    </row>
    <row r="47">
      <c r="B47" s="368" t="inlineStr">
        <is>
          <t>(должность, подпись, инициалы, фамилия)</t>
        </is>
      </c>
      <c r="D47" s="308" t="n"/>
      <c r="E47" s="308" t="n"/>
    </row>
    <row r="49">
      <c r="B49" s="308" t="n"/>
      <c r="C49" s="308" t="n"/>
      <c r="D49" s="308" t="n"/>
      <c r="E49" s="308" t="n"/>
    </row>
    <row r="50">
      <c r="B50" s="308" t="n"/>
      <c r="C50" s="308" t="n"/>
      <c r="D50" s="308" t="n"/>
      <c r="E50" s="308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6"/>
  <sheetViews>
    <sheetView tabSelected="1" view="pageBreakPreview" topLeftCell="A28" workbookViewId="0">
      <selection activeCell="C16" sqref="C16"/>
    </sheetView>
  </sheetViews>
  <sheetFormatPr baseColWidth="8" defaultColWidth="9.109375" defaultRowHeight="14.4" outlineLevelRow="1"/>
  <cols>
    <col width="5.6640625" customWidth="1" style="309" min="1" max="1"/>
    <col width="22.5546875" customWidth="1" style="309" min="2" max="2"/>
    <col width="39.109375" customWidth="1" style="309" min="3" max="3"/>
    <col width="10.6640625" customWidth="1" style="309" min="4" max="4"/>
    <col width="12.6640625" customWidth="1" style="309" min="5" max="5"/>
    <col width="15" customWidth="1" style="309" min="6" max="6"/>
    <col width="13.44140625" customWidth="1" style="309" min="7" max="7"/>
    <col width="12.6640625" customWidth="1" style="309" min="8" max="8"/>
    <col width="13.88671875" customWidth="1" style="309" min="9" max="9"/>
    <col width="17.5546875" customWidth="1" style="309" min="10" max="10"/>
    <col width="10.88671875" customWidth="1" style="309" min="11" max="11"/>
    <col width="9.109375" customWidth="1" style="309" min="12" max="12"/>
    <col width="9.109375" customWidth="1" style="322" min="13" max="13"/>
  </cols>
  <sheetData>
    <row r="1" s="322">
      <c r="A1" s="309" t="n"/>
      <c r="B1" s="309" t="n"/>
      <c r="C1" s="309" t="n"/>
      <c r="D1" s="309" t="n"/>
      <c r="E1" s="309" t="n"/>
      <c r="F1" s="309" t="n"/>
      <c r="G1" s="309" t="n"/>
      <c r="H1" s="309" t="n"/>
      <c r="I1" s="309" t="n"/>
      <c r="J1" s="309" t="n"/>
      <c r="K1" s="309" t="n"/>
      <c r="L1" s="309" t="n"/>
      <c r="M1" s="309" t="n"/>
      <c r="N1" s="309" t="n"/>
    </row>
    <row r="2" ht="15.75" customHeight="1" s="322">
      <c r="A2" s="309" t="n"/>
      <c r="B2" s="309" t="n"/>
      <c r="C2" s="309" t="n"/>
      <c r="D2" s="309" t="n"/>
      <c r="E2" s="309" t="n"/>
      <c r="F2" s="309" t="n"/>
      <c r="G2" s="309" t="n"/>
      <c r="H2" s="369" t="inlineStr">
        <is>
          <t>Приложение №5</t>
        </is>
      </c>
      <c r="K2" s="309" t="n"/>
      <c r="L2" s="309" t="n"/>
      <c r="M2" s="309" t="n"/>
      <c r="N2" s="309" t="n"/>
    </row>
    <row r="3" s="322">
      <c r="A3" s="309" t="n"/>
      <c r="B3" s="309" t="n"/>
      <c r="C3" s="309" t="n"/>
      <c r="D3" s="309" t="n"/>
      <c r="E3" s="309" t="n"/>
      <c r="F3" s="309" t="n"/>
      <c r="G3" s="309" t="n"/>
      <c r="H3" s="309" t="n"/>
      <c r="I3" s="309" t="n"/>
      <c r="J3" s="309" t="n"/>
      <c r="K3" s="309" t="n"/>
      <c r="L3" s="309" t="n"/>
      <c r="M3" s="309" t="n"/>
      <c r="N3" s="309" t="n"/>
    </row>
    <row r="4" ht="12.75" customFormat="1" customHeight="1" s="308">
      <c r="A4" s="344" t="inlineStr">
        <is>
          <t>Расчет стоимости СМР и оборудования</t>
        </is>
      </c>
    </row>
    <row r="5" ht="12.75" customFormat="1" customHeight="1" s="308">
      <c r="A5" s="344" t="n"/>
      <c r="B5" s="344" t="n"/>
      <c r="C5" s="396" t="n"/>
      <c r="D5" s="344" t="n"/>
      <c r="E5" s="344" t="n"/>
      <c r="F5" s="344" t="n"/>
      <c r="G5" s="344" t="n"/>
      <c r="H5" s="344" t="n"/>
      <c r="I5" s="344" t="n"/>
      <c r="J5" s="344" t="n"/>
    </row>
    <row r="6" ht="12.75" customFormat="1" customHeight="1" s="308">
      <c r="A6" s="213" t="inlineStr">
        <is>
          <t>Наименование разрабатываемого показателя УНЦ</t>
        </is>
      </c>
      <c r="B6" s="212" t="n"/>
      <c r="C6" s="212" t="n"/>
      <c r="D6" s="375" t="inlineStr">
        <is>
          <t>Муфта соединительная 20 кВ сечением до 120 мм2</t>
        </is>
      </c>
    </row>
    <row r="7" ht="12.75" customFormat="1" customHeight="1" s="308">
      <c r="A7" s="347" t="inlineStr">
        <is>
          <t>Единица измерения  — 1 ед</t>
        </is>
      </c>
      <c r="I7" s="353" t="n"/>
      <c r="J7" s="353" t="n"/>
    </row>
    <row r="8" ht="13.65" customFormat="1" customHeight="1" s="308">
      <c r="A8" s="347" t="n"/>
    </row>
    <row r="9" ht="13.2" customFormat="1" customHeight="1" s="308"/>
    <row r="10" ht="27" customHeight="1" s="322">
      <c r="A10" s="372" t="inlineStr">
        <is>
          <t>№ пп.</t>
        </is>
      </c>
      <c r="B10" s="372" t="inlineStr">
        <is>
          <t>Код ресурса</t>
        </is>
      </c>
      <c r="C10" s="372" t="inlineStr">
        <is>
          <t>Наименование</t>
        </is>
      </c>
      <c r="D10" s="372" t="inlineStr">
        <is>
          <t>Ед. изм.</t>
        </is>
      </c>
      <c r="E10" s="372" t="inlineStr">
        <is>
          <t>Кол-во единиц по проектным данным</t>
        </is>
      </c>
      <c r="F10" s="372" t="inlineStr">
        <is>
          <t>Сметная стоимость в ценах на 01.01.2000 (руб.)</t>
        </is>
      </c>
      <c r="G10" s="440" t="n"/>
      <c r="H10" s="372" t="inlineStr">
        <is>
          <t>Удельный вес, %</t>
        </is>
      </c>
      <c r="I10" s="372" t="inlineStr">
        <is>
          <t>Сметная стоимость в ценах на 01.01.2023 (руб.)</t>
        </is>
      </c>
      <c r="J10" s="440" t="n"/>
      <c r="K10" s="309" t="n"/>
      <c r="L10" s="309" t="n"/>
      <c r="M10" s="309" t="n"/>
      <c r="N10" s="309" t="n"/>
    </row>
    <row r="11" ht="28.5" customHeight="1" s="322">
      <c r="A11" s="442" t="n"/>
      <c r="B11" s="442" t="n"/>
      <c r="C11" s="442" t="n"/>
      <c r="D11" s="442" t="n"/>
      <c r="E11" s="442" t="n"/>
      <c r="F11" s="372" t="inlineStr">
        <is>
          <t>на ед. изм.</t>
        </is>
      </c>
      <c r="G11" s="372" t="inlineStr">
        <is>
          <t>общая</t>
        </is>
      </c>
      <c r="H11" s="442" t="n"/>
      <c r="I11" s="372" t="inlineStr">
        <is>
          <t>на ед. изм.</t>
        </is>
      </c>
      <c r="J11" s="372" t="inlineStr">
        <is>
          <t>общая</t>
        </is>
      </c>
      <c r="K11" s="309" t="n"/>
      <c r="L11" s="309" t="n"/>
      <c r="M11" s="309" t="n"/>
      <c r="N11" s="309" t="n"/>
    </row>
    <row r="12" s="322">
      <c r="A12" s="372" t="n">
        <v>1</v>
      </c>
      <c r="B12" s="372" t="n">
        <v>2</v>
      </c>
      <c r="C12" s="372" t="n">
        <v>3</v>
      </c>
      <c r="D12" s="372" t="n">
        <v>4</v>
      </c>
      <c r="E12" s="372" t="n">
        <v>5</v>
      </c>
      <c r="F12" s="372" t="n">
        <v>6</v>
      </c>
      <c r="G12" s="372" t="n">
        <v>7</v>
      </c>
      <c r="H12" s="372" t="n">
        <v>8</v>
      </c>
      <c r="I12" s="373" t="n">
        <v>9</v>
      </c>
      <c r="J12" s="373" t="n">
        <v>10</v>
      </c>
      <c r="K12" s="309" t="n"/>
      <c r="L12" s="309" t="n"/>
      <c r="M12" s="309" t="n"/>
      <c r="N12" s="309" t="n"/>
    </row>
    <row r="13">
      <c r="A13" s="372" t="n"/>
      <c r="B13" s="362" t="inlineStr">
        <is>
          <t>Затраты труда рабочих-строителей</t>
        </is>
      </c>
      <c r="C13" s="439" t="n"/>
      <c r="D13" s="439" t="n"/>
      <c r="E13" s="439" t="n"/>
      <c r="F13" s="439" t="n"/>
      <c r="G13" s="439" t="n"/>
      <c r="H13" s="440" t="n"/>
      <c r="I13" s="200" t="n"/>
      <c r="J13" s="200" t="n"/>
    </row>
    <row r="14" ht="25.5" customHeight="1" s="322">
      <c r="A14" s="372" t="n">
        <v>1</v>
      </c>
      <c r="B14" s="277" t="inlineStr">
        <is>
          <t>1-4-0</t>
        </is>
      </c>
      <c r="C14" s="380" t="inlineStr">
        <is>
          <t>Затраты труда рабочих-строителей среднего разряда (4,0)</t>
        </is>
      </c>
      <c r="D14" s="372" t="inlineStr">
        <is>
          <t>чел.-ч.</t>
        </is>
      </c>
      <c r="E14" s="449">
        <f>G14/F14</f>
        <v/>
      </c>
      <c r="F14" s="207" t="n">
        <v>9.619999999999999</v>
      </c>
      <c r="G14" s="207">
        <f>'Прил. 3'!H11</f>
        <v/>
      </c>
      <c r="H14" s="209">
        <f>G14/G15</f>
        <v/>
      </c>
      <c r="I14" s="207">
        <f>ФОТр.тек.!E13</f>
        <v/>
      </c>
      <c r="J14" s="207">
        <f>ROUND(I14*E14,2)</f>
        <v/>
      </c>
    </row>
    <row r="15" ht="25.5" customFormat="1" customHeight="1" s="309">
      <c r="A15" s="372" t="n"/>
      <c r="B15" s="372" t="n"/>
      <c r="C15" s="362" t="inlineStr">
        <is>
          <t>Итого по разделу "Затраты труда рабочих-строителей"</t>
        </is>
      </c>
      <c r="D15" s="372" t="inlineStr">
        <is>
          <t>чел.-ч.</t>
        </is>
      </c>
      <c r="E15" s="449">
        <f>SUM(E14:E14)</f>
        <v/>
      </c>
      <c r="F15" s="207" t="n"/>
      <c r="G15" s="207">
        <f>SUM(G14:G14)</f>
        <v/>
      </c>
      <c r="H15" s="383" t="n">
        <v>1</v>
      </c>
      <c r="I15" s="200" t="n"/>
      <c r="J15" s="207">
        <f>SUM(J14:J14)</f>
        <v/>
      </c>
    </row>
    <row r="16" ht="14.25" customFormat="1" customHeight="1" s="309">
      <c r="A16" s="372" t="n"/>
      <c r="B16" s="380" t="inlineStr">
        <is>
          <t>Затраты труда машинистов</t>
        </is>
      </c>
      <c r="C16" s="439" t="n"/>
      <c r="D16" s="439" t="n"/>
      <c r="E16" s="439" t="n"/>
      <c r="F16" s="439" t="n"/>
      <c r="G16" s="439" t="n"/>
      <c r="H16" s="440" t="n"/>
      <c r="I16" s="200" t="n"/>
      <c r="J16" s="200" t="n"/>
    </row>
    <row r="17" ht="14.25" customFormat="1" customHeight="1" s="309">
      <c r="A17" s="372" t="n">
        <v>2</v>
      </c>
      <c r="B17" s="372" t="n">
        <v>2</v>
      </c>
      <c r="C17" s="380" t="inlineStr">
        <is>
          <t>Затраты труда машинистов</t>
        </is>
      </c>
      <c r="D17" s="372" t="inlineStr">
        <is>
          <t>чел.-ч.</t>
        </is>
      </c>
      <c r="E17" s="449" t="n">
        <v>0.06</v>
      </c>
      <c r="F17" s="207">
        <f>G17/E17</f>
        <v/>
      </c>
      <c r="G17" s="207">
        <f>'Прил. 3'!H13</f>
        <v/>
      </c>
      <c r="H17" s="383" t="n">
        <v>1</v>
      </c>
      <c r="I17" s="207">
        <f>ROUND(F17*'Прил. 10'!D11,2)</f>
        <v/>
      </c>
      <c r="J17" s="207">
        <f>ROUND(I17*E17,2)</f>
        <v/>
      </c>
    </row>
    <row r="18" ht="14.25" customFormat="1" customHeight="1" s="309">
      <c r="A18" s="372" t="n"/>
      <c r="B18" s="362" t="inlineStr">
        <is>
          <t>Машины и механизмы</t>
        </is>
      </c>
      <c r="C18" s="439" t="n"/>
      <c r="D18" s="439" t="n"/>
      <c r="E18" s="439" t="n"/>
      <c r="F18" s="439" t="n"/>
      <c r="G18" s="439" t="n"/>
      <c r="H18" s="440" t="n"/>
      <c r="I18" s="200" t="n"/>
      <c r="J18" s="200" t="n"/>
    </row>
    <row r="19" ht="14.25" customFormat="1" customHeight="1" s="309">
      <c r="A19" s="372" t="n"/>
      <c r="B19" s="380" t="inlineStr">
        <is>
          <t>Основные машины и механизмы</t>
        </is>
      </c>
      <c r="C19" s="439" t="n"/>
      <c r="D19" s="439" t="n"/>
      <c r="E19" s="439" t="n"/>
      <c r="F19" s="439" t="n"/>
      <c r="G19" s="439" t="n"/>
      <c r="H19" s="440" t="n"/>
      <c r="I19" s="200" t="n"/>
      <c r="J19" s="200" t="n"/>
    </row>
    <row r="20" ht="25.5" customFormat="1" customHeight="1" s="309">
      <c r="A20" s="372" t="n">
        <v>3</v>
      </c>
      <c r="B20" s="277" t="inlineStr">
        <is>
          <t>91.05.05-015</t>
        </is>
      </c>
      <c r="C20" s="380" t="inlineStr">
        <is>
          <t>Краны на автомобильном ходу, грузоподъемность 16 т</t>
        </is>
      </c>
      <c r="D20" s="372" t="inlineStr">
        <is>
          <t>маш.час</t>
        </is>
      </c>
      <c r="E20" s="450" t="n">
        <v>0.24</v>
      </c>
      <c r="F20" s="382" t="n">
        <v>115.4</v>
      </c>
      <c r="G20" s="207">
        <f>ROUND(E20*F20,2)</f>
        <v/>
      </c>
      <c r="H20" s="209">
        <f>G20/$G$24</f>
        <v/>
      </c>
      <c r="I20" s="207">
        <f>ROUND(F20*'Прил. 10'!$D$12,2)</f>
        <v/>
      </c>
      <c r="J20" s="207">
        <f>ROUND(I20*E20,2)</f>
        <v/>
      </c>
    </row>
    <row r="21" ht="25.5" customFormat="1" customHeight="1" s="309">
      <c r="A21" s="372" t="n">
        <v>4</v>
      </c>
      <c r="B21" s="277" t="inlineStr">
        <is>
          <t>91.14.02-001</t>
        </is>
      </c>
      <c r="C21" s="380" t="inlineStr">
        <is>
          <t>Автомобили бортовые, грузоподъемность: до 5 т</t>
        </is>
      </c>
      <c r="D21" s="372" t="inlineStr">
        <is>
          <t>маш.час</t>
        </is>
      </c>
      <c r="E21" s="450" t="n">
        <v>0.24</v>
      </c>
      <c r="F21" s="382" t="n">
        <v>65.70999999999999</v>
      </c>
      <c r="G21" s="207">
        <f>ROUND(E21*F21,2)</f>
        <v/>
      </c>
      <c r="H21" s="209">
        <f>G21/$G$24</f>
        <v/>
      </c>
      <c r="I21" s="207">
        <f>ROUND(F21*'Прил. 10'!$D$12,2)</f>
        <v/>
      </c>
      <c r="J21" s="207">
        <f>ROUND(I21*E21,2)</f>
        <v/>
      </c>
    </row>
    <row r="22" ht="14.25" customFormat="1" customHeight="1" s="309">
      <c r="A22" s="372" t="n"/>
      <c r="B22" s="372" t="n"/>
      <c r="C22" s="380" t="inlineStr">
        <is>
          <t>Итого основные машины и механизмы</t>
        </is>
      </c>
      <c r="D22" s="372" t="n"/>
      <c r="E22" s="449" t="n"/>
      <c r="F22" s="207" t="n"/>
      <c r="G22" s="207">
        <f>SUM(G20:G21)</f>
        <v/>
      </c>
      <c r="H22" s="383">
        <f>G22/G24</f>
        <v/>
      </c>
      <c r="I22" s="201" t="n"/>
      <c r="J22" s="207">
        <f>SUM(J20:J21)</f>
        <v/>
      </c>
    </row>
    <row r="23" ht="14.25" customFormat="1" customHeight="1" s="309">
      <c r="A23" s="372" t="n"/>
      <c r="B23" s="372" t="n"/>
      <c r="C23" s="380" t="inlineStr">
        <is>
          <t>Итого прочие машины и механизмы</t>
        </is>
      </c>
      <c r="D23" s="372" t="n"/>
      <c r="E23" s="381" t="n"/>
      <c r="F23" s="207" t="n"/>
      <c r="G23" s="201" t="n">
        <v>0</v>
      </c>
      <c r="H23" s="209">
        <f>G23/G24</f>
        <v/>
      </c>
      <c r="I23" s="207" t="n"/>
      <c r="J23" s="207" t="n">
        <v>0</v>
      </c>
    </row>
    <row r="24" ht="25.5" customFormat="1" customHeight="1" s="309">
      <c r="A24" s="372" t="n"/>
      <c r="B24" s="372" t="n"/>
      <c r="C24" s="362" t="inlineStr">
        <is>
          <t>Итого по разделу «Машины и механизмы»</t>
        </is>
      </c>
      <c r="D24" s="372" t="n"/>
      <c r="E24" s="381" t="n"/>
      <c r="F24" s="207" t="n"/>
      <c r="G24" s="207">
        <f>G23+G22</f>
        <v/>
      </c>
      <c r="H24" s="194" t="n">
        <v>1</v>
      </c>
      <c r="I24" s="195" t="n"/>
      <c r="J24" s="221">
        <f>J23+J22</f>
        <v/>
      </c>
    </row>
    <row r="25" ht="14.25" customFormat="1" customHeight="1" s="309">
      <c r="A25" s="372" t="n"/>
      <c r="B25" s="362" t="inlineStr">
        <is>
          <t>Оборудование</t>
        </is>
      </c>
      <c r="C25" s="439" t="n"/>
      <c r="D25" s="439" t="n"/>
      <c r="E25" s="439" t="n"/>
      <c r="F25" s="439" t="n"/>
      <c r="G25" s="439" t="n"/>
      <c r="H25" s="440" t="n"/>
      <c r="I25" s="200" t="n"/>
      <c r="J25" s="200" t="n"/>
    </row>
    <row r="26">
      <c r="A26" s="372" t="n"/>
      <c r="B26" s="380" t="inlineStr">
        <is>
          <t>Основное оборудование</t>
        </is>
      </c>
      <c r="C26" s="439" t="n"/>
      <c r="D26" s="439" t="n"/>
      <c r="E26" s="439" t="n"/>
      <c r="F26" s="439" t="n"/>
      <c r="G26" s="439" t="n"/>
      <c r="H26" s="440" t="n"/>
      <c r="I26" s="200" t="n"/>
      <c r="J26" s="200" t="n"/>
      <c r="K26" s="309" t="n"/>
      <c r="L26" s="309" t="n"/>
    </row>
    <row r="27">
      <c r="A27" s="372" t="n"/>
      <c r="B27" s="372" t="n"/>
      <c r="C27" s="380" t="inlineStr">
        <is>
          <t>Итого основное оборудование</t>
        </is>
      </c>
      <c r="D27" s="372" t="n"/>
      <c r="E27" s="450" t="n"/>
      <c r="F27" s="382" t="n"/>
      <c r="G27" s="207" t="n">
        <v>0</v>
      </c>
      <c r="H27" s="209" t="n">
        <v>0</v>
      </c>
      <c r="I27" s="201" t="n"/>
      <c r="J27" s="207" t="n">
        <v>0</v>
      </c>
      <c r="K27" s="309" t="n"/>
      <c r="L27" s="309" t="n"/>
    </row>
    <row r="28">
      <c r="A28" s="372" t="n"/>
      <c r="B28" s="372" t="n"/>
      <c r="C28" s="380" t="inlineStr">
        <is>
          <t>Итого прочее оборудование</t>
        </is>
      </c>
      <c r="D28" s="372" t="n"/>
      <c r="E28" s="449" t="n"/>
      <c r="F28" s="382" t="n"/>
      <c r="G28" s="207" t="n">
        <v>0</v>
      </c>
      <c r="H28" s="209" t="n">
        <v>0</v>
      </c>
      <c r="I28" s="201" t="n"/>
      <c r="J28" s="207" t="n">
        <v>0</v>
      </c>
      <c r="K28" s="309" t="n"/>
      <c r="L28" s="309" t="n"/>
    </row>
    <row r="29">
      <c r="A29" s="372" t="n"/>
      <c r="B29" s="372" t="n"/>
      <c r="C29" s="362" t="inlineStr">
        <is>
          <t>Итого по разделу «Оборудование»</t>
        </is>
      </c>
      <c r="D29" s="372" t="n"/>
      <c r="E29" s="381" t="n"/>
      <c r="F29" s="382" t="n"/>
      <c r="G29" s="207">
        <f>G27+G28</f>
        <v/>
      </c>
      <c r="H29" s="209" t="n">
        <v>0</v>
      </c>
      <c r="I29" s="201" t="n"/>
      <c r="J29" s="207">
        <f>J28+J27</f>
        <v/>
      </c>
      <c r="K29" s="309" t="n"/>
      <c r="L29" s="309" t="n"/>
    </row>
    <row r="30" ht="25.5" customHeight="1" s="322">
      <c r="A30" s="372" t="n"/>
      <c r="B30" s="372" t="n"/>
      <c r="C30" s="380" t="inlineStr">
        <is>
          <t>в том числе технологическое оборудование</t>
        </is>
      </c>
      <c r="D30" s="372" t="n"/>
      <c r="E30" s="450" t="n"/>
      <c r="F30" s="382" t="n"/>
      <c r="G30" s="207">
        <f>'Прил.6 Расчет ОБ'!G12</f>
        <v/>
      </c>
      <c r="H30" s="383" t="n"/>
      <c r="I30" s="201" t="n"/>
      <c r="J30" s="207">
        <f>J29</f>
        <v/>
      </c>
      <c r="K30" s="309" t="n"/>
      <c r="L30" s="309" t="n"/>
    </row>
    <row r="31" ht="14.25" customFormat="1" customHeight="1" s="309">
      <c r="A31" s="372" t="n"/>
      <c r="B31" s="362" t="inlineStr">
        <is>
          <t>Материалы</t>
        </is>
      </c>
      <c r="C31" s="439" t="n"/>
      <c r="D31" s="439" t="n"/>
      <c r="E31" s="439" t="n"/>
      <c r="F31" s="439" t="n"/>
      <c r="G31" s="439" t="n"/>
      <c r="H31" s="440" t="n"/>
      <c r="I31" s="200" t="n"/>
      <c r="J31" s="200" t="n"/>
    </row>
    <row r="32" ht="14.25" customFormat="1" customHeight="1" s="309">
      <c r="A32" s="373" t="n"/>
      <c r="B32" s="376" t="inlineStr">
        <is>
          <t>Основные материалы</t>
        </is>
      </c>
      <c r="C32" s="451" t="n"/>
      <c r="D32" s="451" t="n"/>
      <c r="E32" s="451" t="n"/>
      <c r="F32" s="451" t="n"/>
      <c r="G32" s="451" t="n"/>
      <c r="H32" s="452" t="n"/>
      <c r="I32" s="215" t="n"/>
      <c r="J32" s="215" t="n"/>
    </row>
    <row r="33" ht="25.5" customFormat="1" customHeight="1" s="309">
      <c r="A33" s="372" t="n">
        <v>5</v>
      </c>
      <c r="B33" s="296" t="inlineStr">
        <is>
          <t>БЦ.91.158</t>
        </is>
      </c>
      <c r="C33" s="262" t="inlineStr">
        <is>
          <t>Муфта соединительная 20 кВ сечением до 120 мм2</t>
        </is>
      </c>
      <c r="D33" s="372" t="inlineStr">
        <is>
          <t>шт</t>
        </is>
      </c>
      <c r="E33" s="450" t="n">
        <v>6</v>
      </c>
      <c r="F33" s="382">
        <f>ROUND(I33/'Прил. 10'!$D$13,2)</f>
        <v/>
      </c>
      <c r="G33" s="207">
        <f>ROUND(E33*F33,2)</f>
        <v/>
      </c>
      <c r="H33" s="209">
        <f>G33/$G$44</f>
        <v/>
      </c>
      <c r="I33" s="207" t="n">
        <v>3695.3</v>
      </c>
      <c r="J33" s="207">
        <f>ROUND(I33*E33,2)</f>
        <v/>
      </c>
    </row>
    <row r="34" ht="14.25" customFormat="1" customHeight="1" s="309">
      <c r="A34" s="374" t="n"/>
      <c r="B34" s="217" t="n"/>
      <c r="C34" s="286" t="inlineStr">
        <is>
          <t>Итого основные материалы</t>
        </is>
      </c>
      <c r="D34" s="374" t="n"/>
      <c r="E34" s="453" t="n"/>
      <c r="F34" s="221" t="n"/>
      <c r="G34" s="221">
        <f>SUM(G33:G33)</f>
        <v/>
      </c>
      <c r="H34" s="209">
        <f>G34/$G$44</f>
        <v/>
      </c>
      <c r="I34" s="207" t="n"/>
      <c r="J34" s="221">
        <f>SUM(J33:J33)</f>
        <v/>
      </c>
    </row>
    <row r="35" outlineLevel="1" ht="25.5" customFormat="1" customHeight="1" s="309">
      <c r="A35" s="372" t="n">
        <v>6</v>
      </c>
      <c r="B35" s="277" t="inlineStr">
        <is>
          <t>10.3.02.03-0011</t>
        </is>
      </c>
      <c r="C35" s="380" t="inlineStr">
        <is>
          <t>Припои оловянно-свинцовые бессурьмянистые, марка ПОС30</t>
        </is>
      </c>
      <c r="D35" s="372" t="inlineStr">
        <is>
          <t>т</t>
        </is>
      </c>
      <c r="E35" s="450" t="n">
        <v>0.0174</v>
      </c>
      <c r="F35" s="382" t="n">
        <v>68050</v>
      </c>
      <c r="G35" s="207">
        <f>ROUND(E35*F35,2)</f>
        <v/>
      </c>
      <c r="H35" s="209">
        <f>G35/$G$44</f>
        <v/>
      </c>
      <c r="I35" s="207">
        <f>ROUND(F35*'Прил. 10'!$D$13,2)</f>
        <v/>
      </c>
      <c r="J35" s="207">
        <f>ROUND(I35*E35,2)</f>
        <v/>
      </c>
    </row>
    <row r="36" outlineLevel="1" ht="38.25" customFormat="1" customHeight="1" s="309">
      <c r="A36" s="372" t="n">
        <v>7</v>
      </c>
      <c r="B36" s="277" t="inlineStr">
        <is>
          <t>10.2.02.08-0001</t>
        </is>
      </c>
      <c r="C36" s="380" t="inlineStr">
        <is>
          <t>Проволока медная, круглая, мягкая, электротехническая, диаметр 1,0-3,0 мм и выше</t>
        </is>
      </c>
      <c r="D36" s="372" t="inlineStr">
        <is>
          <t>т</t>
        </is>
      </c>
      <c r="E36" s="450" t="n">
        <v>0.0075</v>
      </c>
      <c r="F36" s="382" t="n">
        <v>37517</v>
      </c>
      <c r="G36" s="207">
        <f>ROUND(E36*F36,2)</f>
        <v/>
      </c>
      <c r="H36" s="209">
        <f>G36/$G$44</f>
        <v/>
      </c>
      <c r="I36" s="207">
        <f>ROUND(F36*'Прил. 10'!$D$13,2)</f>
        <v/>
      </c>
      <c r="J36" s="207">
        <f>ROUND(I36*E36,2)</f>
        <v/>
      </c>
    </row>
    <row r="37" outlineLevel="1" ht="14.25" customFormat="1" customHeight="1" s="309">
      <c r="A37" s="372" t="n">
        <v>8</v>
      </c>
      <c r="B37" s="277" t="inlineStr">
        <is>
          <t>01.1.02.01-0003</t>
        </is>
      </c>
      <c r="C37" s="380" t="inlineStr">
        <is>
          <t>Асботекстолит, марка Г</t>
        </is>
      </c>
      <c r="D37" s="372" t="inlineStr">
        <is>
          <t>т</t>
        </is>
      </c>
      <c r="E37" s="450" t="n">
        <v>0.00075</v>
      </c>
      <c r="F37" s="382" t="n">
        <v>161000</v>
      </c>
      <c r="G37" s="207">
        <f>ROUND(E37*F37,2)</f>
        <v/>
      </c>
      <c r="H37" s="209">
        <f>G37/$G$44</f>
        <v/>
      </c>
      <c r="I37" s="207">
        <f>ROUND(F37*'Прил. 10'!$D$13,2)</f>
        <v/>
      </c>
      <c r="J37" s="207">
        <f>ROUND(I37*E37,2)</f>
        <v/>
      </c>
    </row>
    <row r="38" outlineLevel="1" ht="14.25" customFormat="1" customHeight="1" s="309">
      <c r="A38" s="372" t="n">
        <v>9</v>
      </c>
      <c r="B38" s="277" t="inlineStr">
        <is>
          <t>01.3.02.09-0022</t>
        </is>
      </c>
      <c r="C38" s="380" t="inlineStr">
        <is>
          <t>Пропан-бутан смесь техническая</t>
        </is>
      </c>
      <c r="D38" s="372" t="inlineStr">
        <is>
          <t>кг</t>
        </is>
      </c>
      <c r="E38" s="450" t="n">
        <v>15</v>
      </c>
      <c r="F38" s="382" t="n">
        <v>6.09</v>
      </c>
      <c r="G38" s="207">
        <f>ROUND(E38*F38,2)</f>
        <v/>
      </c>
      <c r="H38" s="209">
        <f>G38/$G$44</f>
        <v/>
      </c>
      <c r="I38" s="207">
        <f>ROUND(F38*'Прил. 10'!$D$13,2)</f>
        <v/>
      </c>
      <c r="J38" s="207">
        <f>ROUND(I38*E38,2)</f>
        <v/>
      </c>
    </row>
    <row r="39" outlineLevel="1" ht="14.25" customFormat="1" customHeight="1" s="309">
      <c r="A39" s="372" t="n">
        <v>10</v>
      </c>
      <c r="B39" s="277" t="inlineStr">
        <is>
          <t>14.4.02.09-0001</t>
        </is>
      </c>
      <c r="C39" s="380" t="inlineStr">
        <is>
          <t>Краска</t>
        </is>
      </c>
      <c r="D39" s="372" t="inlineStr">
        <is>
          <t>кг</t>
        </is>
      </c>
      <c r="E39" s="450" t="n">
        <v>2.61</v>
      </c>
      <c r="F39" s="382" t="n">
        <v>28.6</v>
      </c>
      <c r="G39" s="207">
        <f>ROUND(E39*F39,2)</f>
        <v/>
      </c>
      <c r="H39" s="209">
        <f>G39/$G$44</f>
        <v/>
      </c>
      <c r="I39" s="207">
        <f>ROUND(F39*'Прил. 10'!$D$13,2)</f>
        <v/>
      </c>
      <c r="J39" s="207">
        <f>ROUND(I39*E39,2)</f>
        <v/>
      </c>
    </row>
    <row r="40" outlineLevel="1" ht="14.25" customFormat="1" customHeight="1" s="309">
      <c r="A40" s="372" t="n">
        <v>11</v>
      </c>
      <c r="B40" s="277" t="inlineStr">
        <is>
          <t>20.1.02.06-0001</t>
        </is>
      </c>
      <c r="C40" s="380" t="inlineStr">
        <is>
          <t>Жир паяльный</t>
        </is>
      </c>
      <c r="D40" s="372" t="inlineStr">
        <is>
          <t>кг</t>
        </is>
      </c>
      <c r="E40" s="450" t="n">
        <v>0.18</v>
      </c>
      <c r="F40" s="382" t="n">
        <v>100.8</v>
      </c>
      <c r="G40" s="207">
        <f>ROUND(E40*F40,2)</f>
        <v/>
      </c>
      <c r="H40" s="209">
        <f>G40/$G$44</f>
        <v/>
      </c>
      <c r="I40" s="207">
        <f>ROUND(F40*'Прил. 10'!$D$13,2)</f>
        <v/>
      </c>
      <c r="J40" s="207">
        <f>ROUND(I40*E40,2)</f>
        <v/>
      </c>
    </row>
    <row r="41" outlineLevel="1" ht="14.25" customFormat="1" customHeight="1" s="309">
      <c r="A41" s="372" t="n">
        <v>12</v>
      </c>
      <c r="B41" s="277" t="inlineStr">
        <is>
          <t>01.3.01.05-0009</t>
        </is>
      </c>
      <c r="C41" s="380" t="inlineStr">
        <is>
          <t>Парафины нефтяные твердые марки Т-1</t>
        </is>
      </c>
      <c r="D41" s="372" t="inlineStr">
        <is>
          <t>т</t>
        </is>
      </c>
      <c r="E41" s="450" t="n">
        <v>0.0018</v>
      </c>
      <c r="F41" s="382" t="n">
        <v>8105.71</v>
      </c>
      <c r="G41" s="207">
        <f>ROUND(E41*F41,2)</f>
        <v/>
      </c>
      <c r="H41" s="209">
        <f>G41/$G$44</f>
        <v/>
      </c>
      <c r="I41" s="207">
        <f>ROUND(F41*'Прил. 10'!$D$13,2)</f>
        <v/>
      </c>
      <c r="J41" s="207">
        <f>ROUND(I41*E41,2)</f>
        <v/>
      </c>
    </row>
    <row r="42" outlineLevel="1" ht="14.25" customFormat="1" customHeight="1" s="309">
      <c r="A42" s="372" t="n">
        <v>13</v>
      </c>
      <c r="B42" s="277" t="inlineStr">
        <is>
          <t>01.7.20.08-0031</t>
        </is>
      </c>
      <c r="C42" s="380" t="inlineStr">
        <is>
          <t>Бязь суровая</t>
        </is>
      </c>
      <c r="D42" s="372" t="inlineStr">
        <is>
          <t>10 м2</t>
        </is>
      </c>
      <c r="E42" s="450" t="n">
        <v>0.03</v>
      </c>
      <c r="F42" s="382" t="n">
        <v>79.09999999999999</v>
      </c>
      <c r="G42" s="207">
        <f>ROUND(E42*F42,2)</f>
        <v/>
      </c>
      <c r="H42" s="209">
        <f>G42/$G$44</f>
        <v/>
      </c>
      <c r="I42" s="207">
        <f>ROUND(F42*'Прил. 10'!$D$13,2)</f>
        <v/>
      </c>
      <c r="J42" s="207">
        <f>ROUND(I42*E42,2)</f>
        <v/>
      </c>
    </row>
    <row r="43" ht="14.25" customFormat="1" customHeight="1" s="309">
      <c r="A43" s="374" t="n"/>
      <c r="B43" s="374" t="n"/>
      <c r="C43" s="286" t="inlineStr">
        <is>
          <t>Итого прочие материалы</t>
        </is>
      </c>
      <c r="D43" s="374" t="n"/>
      <c r="E43" s="453" t="n"/>
      <c r="F43" s="287" t="n"/>
      <c r="G43" s="221">
        <f>SUM(G35:G42)</f>
        <v/>
      </c>
      <c r="H43" s="209">
        <f>G43/$G$44</f>
        <v/>
      </c>
      <c r="I43" s="207" t="n"/>
      <c r="J43" s="207">
        <f>SUM(J35:J42)</f>
        <v/>
      </c>
    </row>
    <row r="44" ht="14.25" customFormat="1" customHeight="1" s="309">
      <c r="A44" s="372" t="n"/>
      <c r="B44" s="372" t="n"/>
      <c r="C44" s="362" t="inlineStr">
        <is>
          <t>Итого по разделу «Материалы»</t>
        </is>
      </c>
      <c r="D44" s="372" t="n"/>
      <c r="E44" s="381" t="n"/>
      <c r="F44" s="382" t="n"/>
      <c r="G44" s="207">
        <f>G34+G43</f>
        <v/>
      </c>
      <c r="H44" s="383">
        <f>G44/$G$44</f>
        <v/>
      </c>
      <c r="I44" s="207" t="n"/>
      <c r="J44" s="207">
        <f>J34+J43</f>
        <v/>
      </c>
    </row>
    <row r="45" ht="14.25" customFormat="1" customHeight="1" s="309">
      <c r="A45" s="372" t="n"/>
      <c r="B45" s="372" t="n"/>
      <c r="C45" s="380" t="inlineStr">
        <is>
          <t>ИТОГО ПО РМ</t>
        </is>
      </c>
      <c r="D45" s="372" t="n"/>
      <c r="E45" s="381" t="n"/>
      <c r="F45" s="382" t="n"/>
      <c r="G45" s="207">
        <f>G15+G24+G44</f>
        <v/>
      </c>
      <c r="H45" s="383" t="n"/>
      <c r="I45" s="207" t="n"/>
      <c r="J45" s="207">
        <f>J15+J24+J44</f>
        <v/>
      </c>
    </row>
    <row r="46" ht="14.25" customFormat="1" customHeight="1" s="309">
      <c r="A46" s="372" t="n"/>
      <c r="B46" s="372" t="n"/>
      <c r="C46" s="380" t="inlineStr">
        <is>
          <t>Накладные расходы</t>
        </is>
      </c>
      <c r="D46" s="203">
        <f>ROUND(G46/(G$17+$G$15),2)</f>
        <v/>
      </c>
      <c r="E46" s="381" t="n"/>
      <c r="F46" s="382" t="n"/>
      <c r="G46" s="207" t="n">
        <v>1062.91</v>
      </c>
      <c r="H46" s="383" t="n"/>
      <c r="I46" s="207" t="n"/>
      <c r="J46" s="207">
        <f>ROUND(D46*(J15+J17),2)</f>
        <v/>
      </c>
    </row>
    <row r="47" ht="14.25" customFormat="1" customHeight="1" s="309">
      <c r="A47" s="372" t="n"/>
      <c r="B47" s="372" t="n"/>
      <c r="C47" s="380" t="inlineStr">
        <is>
          <t>Сметная прибыль</t>
        </is>
      </c>
      <c r="D47" s="203">
        <f>ROUND(G47/(G$15+G$17),2)</f>
        <v/>
      </c>
      <c r="E47" s="381" t="n"/>
      <c r="F47" s="382" t="n"/>
      <c r="G47" s="207" t="n">
        <v>558.85</v>
      </c>
      <c r="H47" s="383" t="n"/>
      <c r="I47" s="207" t="n"/>
      <c r="J47" s="207">
        <f>ROUND(D47*(J15+J17),2)</f>
        <v/>
      </c>
    </row>
    <row r="48" ht="14.25" customFormat="1" customHeight="1" s="309">
      <c r="A48" s="372" t="n"/>
      <c r="B48" s="372" t="n"/>
      <c r="C48" s="380" t="inlineStr">
        <is>
          <t>Итого СМР (с НР и СП)</t>
        </is>
      </c>
      <c r="D48" s="372" t="n"/>
      <c r="E48" s="381" t="n"/>
      <c r="F48" s="382" t="n"/>
      <c r="G48" s="207">
        <f>G15+G24+G44+G46+G47</f>
        <v/>
      </c>
      <c r="H48" s="383" t="n"/>
      <c r="I48" s="207" t="n"/>
      <c r="J48" s="207">
        <f>J15+J24+J44+J46+J47</f>
        <v/>
      </c>
    </row>
    <row r="49" ht="14.25" customFormat="1" customHeight="1" s="309">
      <c r="A49" s="372" t="n"/>
      <c r="B49" s="372" t="n"/>
      <c r="C49" s="380" t="inlineStr">
        <is>
          <t>ВСЕГО СМР + ОБОРУДОВАНИЕ</t>
        </is>
      </c>
      <c r="D49" s="372" t="n"/>
      <c r="E49" s="381" t="n"/>
      <c r="F49" s="382" t="n"/>
      <c r="G49" s="207">
        <f>G48+G29</f>
        <v/>
      </c>
      <c r="H49" s="383" t="n"/>
      <c r="I49" s="207" t="n"/>
      <c r="J49" s="207">
        <f>J48+J29</f>
        <v/>
      </c>
    </row>
    <row r="50" ht="34.5" customFormat="1" customHeight="1" s="309">
      <c r="A50" s="372" t="n"/>
      <c r="B50" s="372" t="n"/>
      <c r="C50" s="380" t="inlineStr">
        <is>
          <t>ИТОГО ПОКАЗАТЕЛЬ НА ЕД. ИЗМ.</t>
        </is>
      </c>
      <c r="D50" s="372" t="inlineStr">
        <is>
          <t>1 ед</t>
        </is>
      </c>
      <c r="E50" s="450" t="n">
        <v>1</v>
      </c>
      <c r="F50" s="382" t="n"/>
      <c r="G50" s="207">
        <f>G49/E50</f>
        <v/>
      </c>
      <c r="H50" s="383" t="n"/>
      <c r="I50" s="207" t="n"/>
      <c r="J50" s="207">
        <f>J49/E50</f>
        <v/>
      </c>
    </row>
    <row r="52" ht="14.25" customFormat="1" customHeight="1" s="309">
      <c r="A52" s="308" t="inlineStr">
        <is>
          <t>Составил ______________________    А.Р. Маркова</t>
        </is>
      </c>
    </row>
    <row r="53" ht="14.25" customFormat="1" customHeight="1" s="309">
      <c r="A53" s="311" t="inlineStr">
        <is>
          <t xml:space="preserve">                         (подпись, инициалы, фамилия)</t>
        </is>
      </c>
    </row>
    <row r="54" ht="14.25" customFormat="1" customHeight="1" s="309">
      <c r="A54" s="308" t="n"/>
    </row>
    <row r="55" ht="14.25" customFormat="1" customHeight="1" s="309">
      <c r="A55" s="308" t="inlineStr">
        <is>
          <t>Проверил ______________________        А.В. Костянецкая</t>
        </is>
      </c>
    </row>
    <row r="56" ht="14.25" customFormat="1" customHeight="1" s="309">
      <c r="A56" s="311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H2:J2"/>
    <mergeCell ref="C10:C11"/>
    <mergeCell ref="E10:E11"/>
    <mergeCell ref="B32:H32"/>
    <mergeCell ref="B26:H26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7" right="0.7" top="0.75" bottom="0.75" header="0.3" footer="0.3"/>
  <pageSetup orientation="landscape" paperSize="9" scale="5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D45" sqref="D45"/>
    </sheetView>
  </sheetViews>
  <sheetFormatPr baseColWidth="8" defaultRowHeight="14.4"/>
  <cols>
    <col width="5.6640625" customWidth="1" style="322" min="1" max="1"/>
    <col width="17.5546875" customWidth="1" style="322" min="2" max="2"/>
    <col width="39.109375" customWidth="1" style="322" min="3" max="3"/>
    <col width="10.6640625" customWidth="1" style="322" min="4" max="4"/>
    <col width="13.88671875" customWidth="1" style="322" min="5" max="5"/>
    <col width="13.33203125" customWidth="1" style="322" min="6" max="6"/>
    <col width="14.109375" customWidth="1" style="322" min="7" max="7"/>
  </cols>
  <sheetData>
    <row r="1">
      <c r="A1" s="388" t="inlineStr">
        <is>
          <t>Приложение №6</t>
        </is>
      </c>
    </row>
    <row r="2" ht="21.75" customHeight="1" s="322">
      <c r="A2" s="388" t="n"/>
      <c r="B2" s="388" t="n"/>
      <c r="C2" s="388" t="n"/>
      <c r="D2" s="388" t="n"/>
      <c r="E2" s="388" t="n"/>
      <c r="F2" s="388" t="n"/>
      <c r="G2" s="388" t="n"/>
    </row>
    <row r="3">
      <c r="A3" s="344" t="inlineStr">
        <is>
          <t>Расчет стоимости оборудования</t>
        </is>
      </c>
    </row>
    <row r="4" ht="25.5" customHeight="1" s="322">
      <c r="A4" s="347" t="inlineStr">
        <is>
          <t>Наименование разрабатываемого показателя УНЦ — Муфта соединительная 20 кВ сечением до 120 мм2</t>
        </is>
      </c>
    </row>
    <row r="5">
      <c r="A5" s="308" t="n"/>
      <c r="B5" s="308" t="n"/>
      <c r="C5" s="308" t="n"/>
      <c r="D5" s="308" t="n"/>
      <c r="E5" s="308" t="n"/>
      <c r="F5" s="308" t="n"/>
      <c r="G5" s="308" t="n"/>
    </row>
    <row r="6" ht="30.15" customHeight="1" s="322">
      <c r="A6" s="393" t="inlineStr">
        <is>
          <t>№ пп.</t>
        </is>
      </c>
      <c r="B6" s="393" t="inlineStr">
        <is>
          <t>Код ресурса</t>
        </is>
      </c>
      <c r="C6" s="393" t="inlineStr">
        <is>
          <t>Наименование</t>
        </is>
      </c>
      <c r="D6" s="393" t="inlineStr">
        <is>
          <t>Ед. изм.</t>
        </is>
      </c>
      <c r="E6" s="372" t="inlineStr">
        <is>
          <t>Кол-во единиц по проектным данным</t>
        </is>
      </c>
      <c r="F6" s="393" t="inlineStr">
        <is>
          <t>Сметная стоимость в ценах на 01.01.2000 (руб.)</t>
        </is>
      </c>
      <c r="G6" s="440" t="n"/>
    </row>
    <row r="7">
      <c r="A7" s="442" t="n"/>
      <c r="B7" s="442" t="n"/>
      <c r="C7" s="442" t="n"/>
      <c r="D7" s="442" t="n"/>
      <c r="E7" s="442" t="n"/>
      <c r="F7" s="372" t="inlineStr">
        <is>
          <t>на ед. изм.</t>
        </is>
      </c>
      <c r="G7" s="372" t="inlineStr">
        <is>
          <t>общая</t>
        </is>
      </c>
    </row>
    <row r="8">
      <c r="A8" s="372" t="n">
        <v>1</v>
      </c>
      <c r="B8" s="372" t="n">
        <v>2</v>
      </c>
      <c r="C8" s="372" t="n">
        <v>3</v>
      </c>
      <c r="D8" s="372" t="n">
        <v>4</v>
      </c>
      <c r="E8" s="372" t="n">
        <v>5</v>
      </c>
      <c r="F8" s="372" t="n">
        <v>6</v>
      </c>
      <c r="G8" s="372" t="n">
        <v>7</v>
      </c>
    </row>
    <row r="9" ht="15" customHeight="1" s="322">
      <c r="A9" s="245" t="n"/>
      <c r="B9" s="380" t="inlineStr">
        <is>
          <t>ИНЖЕНЕРНОЕ ОБОРУДОВАНИЕ</t>
        </is>
      </c>
      <c r="C9" s="439" t="n"/>
      <c r="D9" s="439" t="n"/>
      <c r="E9" s="439" t="n"/>
      <c r="F9" s="439" t="n"/>
      <c r="G9" s="440" t="n"/>
    </row>
    <row r="10" ht="27" customHeight="1" s="322">
      <c r="A10" s="372" t="n"/>
      <c r="B10" s="362" t="n"/>
      <c r="C10" s="380" t="inlineStr">
        <is>
          <t>ИТОГО ИНЖЕНЕРНОЕ ОБОРУДОВАНИЕ</t>
        </is>
      </c>
      <c r="D10" s="362" t="n"/>
      <c r="E10" s="148" t="n"/>
      <c r="F10" s="382" t="n"/>
      <c r="G10" s="382" t="n">
        <v>0</v>
      </c>
    </row>
    <row r="11">
      <c r="A11" s="372" t="n"/>
      <c r="B11" s="380" t="inlineStr">
        <is>
          <t>ТЕХНОЛОГИЧЕСКОЕ ОБОРУДОВАНИЕ</t>
        </is>
      </c>
      <c r="C11" s="439" t="n"/>
      <c r="D11" s="439" t="n"/>
      <c r="E11" s="439" t="n"/>
      <c r="F11" s="439" t="n"/>
      <c r="G11" s="440" t="n"/>
    </row>
    <row r="12" ht="25.5" customHeight="1" s="322">
      <c r="A12" s="372" t="n"/>
      <c r="B12" s="380" t="n"/>
      <c r="C12" s="380" t="inlineStr">
        <is>
          <t>ИТОГО ТЕХНОЛОГИЧЕСКОЕ ОБОРУДОВАНИЕ</t>
        </is>
      </c>
      <c r="D12" s="380" t="n"/>
      <c r="E12" s="392" t="n"/>
      <c r="F12" s="382" t="n"/>
      <c r="G12" s="207" t="n">
        <v>0</v>
      </c>
    </row>
    <row r="13" ht="19.5" customHeight="1" s="322">
      <c r="A13" s="372" t="n"/>
      <c r="B13" s="380" t="n"/>
      <c r="C13" s="380" t="inlineStr">
        <is>
          <t>Всего по разделу «Оборудование»</t>
        </is>
      </c>
      <c r="D13" s="380" t="n"/>
      <c r="E13" s="392" t="n"/>
      <c r="F13" s="382" t="n"/>
      <c r="G13" s="207">
        <f>G10+G12</f>
        <v/>
      </c>
    </row>
    <row r="14">
      <c r="A14" s="310" t="n"/>
      <c r="B14" s="151" t="n"/>
      <c r="C14" s="310" t="n"/>
      <c r="D14" s="310" t="n"/>
      <c r="E14" s="310" t="n"/>
      <c r="F14" s="310" t="n"/>
      <c r="G14" s="310" t="n"/>
    </row>
    <row r="15">
      <c r="A15" s="308" t="inlineStr">
        <is>
          <t>Составил ______________________    А.Р. Маркова</t>
        </is>
      </c>
      <c r="B15" s="309" t="n"/>
      <c r="C15" s="309" t="n"/>
      <c r="D15" s="310" t="n"/>
      <c r="E15" s="310" t="n"/>
      <c r="F15" s="310" t="n"/>
      <c r="G15" s="310" t="n"/>
    </row>
    <row r="16">
      <c r="A16" s="311" t="inlineStr">
        <is>
          <t xml:space="preserve">                         (подпись, инициалы, фамилия)</t>
        </is>
      </c>
      <c r="B16" s="309" t="n"/>
      <c r="C16" s="309" t="n"/>
      <c r="D16" s="310" t="n"/>
      <c r="E16" s="310" t="n"/>
      <c r="F16" s="310" t="n"/>
      <c r="G16" s="310" t="n"/>
    </row>
    <row r="17">
      <c r="A17" s="308" t="n"/>
      <c r="B17" s="309" t="n"/>
      <c r="C17" s="309" t="n"/>
      <c r="D17" s="310" t="n"/>
      <c r="E17" s="310" t="n"/>
      <c r="F17" s="310" t="n"/>
      <c r="G17" s="310" t="n"/>
    </row>
    <row r="18">
      <c r="A18" s="308" t="inlineStr">
        <is>
          <t>Проверил ______________________        А.В. Костянецкая</t>
        </is>
      </c>
      <c r="B18" s="309" t="n"/>
      <c r="C18" s="309" t="n"/>
      <c r="D18" s="310" t="n"/>
      <c r="E18" s="310" t="n"/>
      <c r="F18" s="310" t="n"/>
      <c r="G18" s="310" t="n"/>
    </row>
    <row r="19">
      <c r="A19" s="311" t="inlineStr">
        <is>
          <t xml:space="preserve">                        (подпись, инициалы, фамилия)</t>
        </is>
      </c>
      <c r="B19" s="309" t="n"/>
      <c r="C19" s="309" t="n"/>
      <c r="D19" s="310" t="n"/>
      <c r="E19" s="310" t="n"/>
      <c r="F19" s="310" t="n"/>
      <c r="G19" s="31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45" sqref="D45"/>
    </sheetView>
  </sheetViews>
  <sheetFormatPr baseColWidth="8" defaultColWidth="9.109375" defaultRowHeight="14.4"/>
  <cols>
    <col width="12.6640625" customWidth="1" style="322" min="1" max="1"/>
    <col width="22.44140625" customWidth="1" style="322" min="2" max="2"/>
    <col width="37.109375" customWidth="1" style="322" min="3" max="3"/>
    <col width="49" customWidth="1" style="322" min="4" max="4"/>
    <col width="9.109375" customWidth="1" style="322" min="5" max="5"/>
  </cols>
  <sheetData>
    <row r="1" ht="15.75" customHeight="1" s="322">
      <c r="A1" s="324" t="n"/>
      <c r="B1" s="324" t="n"/>
      <c r="C1" s="324" t="n"/>
      <c r="D1" s="324" t="inlineStr">
        <is>
          <t>Приложение №7</t>
        </is>
      </c>
    </row>
    <row r="2" ht="15.75" customHeight="1" s="322">
      <c r="A2" s="324" t="n"/>
      <c r="B2" s="324" t="n"/>
      <c r="C2" s="324" t="n"/>
      <c r="D2" s="324" t="n"/>
    </row>
    <row r="3" ht="15.75" customHeight="1" s="322">
      <c r="A3" s="324" t="n"/>
      <c r="B3" s="302" t="inlineStr">
        <is>
          <t>Расчет показателя УНЦ</t>
        </is>
      </c>
      <c r="C3" s="324" t="n"/>
      <c r="D3" s="324" t="n"/>
    </row>
    <row r="4" ht="15.75" customHeight="1" s="322">
      <c r="A4" s="324" t="n"/>
      <c r="B4" s="324" t="n"/>
      <c r="C4" s="324" t="n"/>
      <c r="D4" s="324" t="n"/>
    </row>
    <row r="5" ht="31.5" customHeight="1" s="322">
      <c r="A5" s="394" t="inlineStr">
        <is>
          <t xml:space="preserve">Наименование разрабатываемого показателя УНЦ - </t>
        </is>
      </c>
      <c r="D5" s="394">
        <f>'Прил.5 Расчет СМР и ОБ'!D6:J6</f>
        <v/>
      </c>
    </row>
    <row r="6" ht="15.75" customHeight="1" s="322">
      <c r="A6" s="324" t="inlineStr">
        <is>
          <t>Единица измерения  — 1 ед</t>
        </is>
      </c>
      <c r="B6" s="324" t="n"/>
      <c r="C6" s="324" t="n"/>
      <c r="D6" s="324" t="n"/>
    </row>
    <row r="7" ht="15.75" customHeight="1" s="322">
      <c r="A7" s="324" t="n"/>
      <c r="B7" s="324" t="n"/>
      <c r="C7" s="324" t="n"/>
      <c r="D7" s="324" t="n"/>
    </row>
    <row r="8">
      <c r="A8" s="360" t="inlineStr">
        <is>
          <t>Код показателя</t>
        </is>
      </c>
      <c r="B8" s="360" t="inlineStr">
        <is>
          <t>Наименование показателя</t>
        </is>
      </c>
      <c r="C8" s="360" t="inlineStr">
        <is>
          <t>Наименование РМ, входящих в состав показателя</t>
        </is>
      </c>
      <c r="D8" s="360" t="inlineStr">
        <is>
          <t>Норматив цены на 01.01.2023, тыс.руб.</t>
        </is>
      </c>
    </row>
    <row r="9">
      <c r="A9" s="442" t="n"/>
      <c r="B9" s="442" t="n"/>
      <c r="C9" s="442" t="n"/>
      <c r="D9" s="442" t="n"/>
    </row>
    <row r="10" ht="15.75" customHeight="1" s="322">
      <c r="A10" s="360" t="n">
        <v>1</v>
      </c>
      <c r="B10" s="360" t="n">
        <v>2</v>
      </c>
      <c r="C10" s="360" t="n">
        <v>3</v>
      </c>
      <c r="D10" s="360" t="n">
        <v>4</v>
      </c>
    </row>
    <row r="11" ht="47.25" customHeight="1" s="322">
      <c r="A11" s="360" t="inlineStr">
        <is>
          <t>К1-05-3</t>
        </is>
      </c>
      <c r="B11" s="360" t="inlineStr">
        <is>
          <t xml:space="preserve">УНЦ КЛ 6 - 500 кВ (с алюминиевой жилой) </t>
        </is>
      </c>
      <c r="C11" s="306">
        <f>D5</f>
        <v/>
      </c>
      <c r="D11" s="330">
        <f>'Прил.4 РМ'!C41/1000</f>
        <v/>
      </c>
    </row>
    <row r="13">
      <c r="A13" s="308" t="inlineStr">
        <is>
          <t>Составил ______________________    А.Р. Маркова</t>
        </is>
      </c>
      <c r="B13" s="309" t="n"/>
      <c r="C13" s="309" t="n"/>
      <c r="D13" s="310" t="n"/>
    </row>
    <row r="14">
      <c r="A14" s="311" t="inlineStr">
        <is>
          <t xml:space="preserve">                         (подпись, инициалы, фамилия)</t>
        </is>
      </c>
      <c r="B14" s="309" t="n"/>
      <c r="C14" s="309" t="n"/>
      <c r="D14" s="310" t="n"/>
    </row>
    <row r="15">
      <c r="A15" s="308" t="n"/>
      <c r="B15" s="309" t="n"/>
      <c r="C15" s="309" t="n"/>
      <c r="D15" s="310" t="n"/>
    </row>
    <row r="16">
      <c r="A16" s="308" t="inlineStr">
        <is>
          <t>Проверил ______________________        А.В. Костянецкая</t>
        </is>
      </c>
      <c r="B16" s="309" t="n"/>
      <c r="C16" s="309" t="n"/>
      <c r="D16" s="310" t="n"/>
    </row>
    <row r="17" ht="20.25" customHeight="1" s="322">
      <c r="A17" s="311" t="inlineStr">
        <is>
          <t xml:space="preserve">                        (подпись, инициалы, фамилия)</t>
        </is>
      </c>
      <c r="B17" s="309" t="n"/>
      <c r="C17" s="309" t="n"/>
      <c r="D17" s="31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6" zoomScale="60" zoomScaleNormal="85" workbookViewId="0">
      <selection activeCell="D45" sqref="D45"/>
    </sheetView>
  </sheetViews>
  <sheetFormatPr baseColWidth="8" defaultColWidth="9.109375" defaultRowHeight="14.4"/>
  <cols>
    <col width="9.109375" customWidth="1" style="322" min="1" max="1"/>
    <col width="40.6640625" customWidth="1" style="322" min="2" max="2"/>
    <col width="37" customWidth="1" style="322" min="3" max="3"/>
    <col width="32" customWidth="1" style="322" min="4" max="4"/>
    <col width="9.109375" customWidth="1" style="322" min="5" max="5"/>
  </cols>
  <sheetData>
    <row r="4" ht="15.75" customHeight="1" s="322">
      <c r="B4" s="354" t="inlineStr">
        <is>
          <t>Приложение № 10</t>
        </is>
      </c>
    </row>
    <row r="5" ht="18.75" customHeight="1" s="322">
      <c r="B5" s="172" t="n"/>
    </row>
    <row r="6" ht="15.75" customHeight="1" s="322">
      <c r="B6" s="355" t="inlineStr">
        <is>
          <t>Используемые индексы изменений сметной стоимости и нормы сопутствующих затрат</t>
        </is>
      </c>
    </row>
    <row r="7">
      <c r="B7" s="395" t="n"/>
    </row>
    <row r="8">
      <c r="B8" s="395" t="n"/>
      <c r="C8" s="395" t="n"/>
      <c r="D8" s="395" t="n"/>
      <c r="E8" s="395" t="n"/>
    </row>
    <row r="9" ht="47.25" customHeight="1" s="322">
      <c r="B9" s="360" t="inlineStr">
        <is>
          <t>Наименование индекса / норм сопутствующих затрат</t>
        </is>
      </c>
      <c r="C9" s="360" t="inlineStr">
        <is>
          <t>Дата применения и обоснование индекса / норм сопутствующих затрат</t>
        </is>
      </c>
      <c r="D9" s="360" t="inlineStr">
        <is>
          <t>Размер индекса / норма сопутствующих затрат</t>
        </is>
      </c>
    </row>
    <row r="10" ht="15.75" customHeight="1" s="322">
      <c r="B10" s="360" t="n">
        <v>1</v>
      </c>
      <c r="C10" s="360" t="n">
        <v>2</v>
      </c>
      <c r="D10" s="360" t="n">
        <v>3</v>
      </c>
    </row>
    <row r="11" ht="45" customHeight="1" s="322">
      <c r="B11" s="360" t="inlineStr">
        <is>
          <t xml:space="preserve">Индекс изменения сметной стоимости на 1 квартал 2023 года. ОЗП </t>
        </is>
      </c>
      <c r="C11" s="360" t="inlineStr">
        <is>
          <t>Письмо Минстроя России от 30.03.2023г. №17106-ИФ/09  прил.1</t>
        </is>
      </c>
      <c r="D11" s="360" t="n">
        <v>44.29</v>
      </c>
    </row>
    <row r="12" ht="29.25" customHeight="1" s="322">
      <c r="B12" s="360" t="inlineStr">
        <is>
          <t>Индекс изменения сметной стоимости на 1 квартал 2023 года. ЭМ</t>
        </is>
      </c>
      <c r="C12" s="360" t="inlineStr">
        <is>
          <t>Письмо Минстроя России от 30.03.2023г. №17106-ИФ/09  прил.1</t>
        </is>
      </c>
      <c r="D12" s="360" t="n">
        <v>10.77</v>
      </c>
    </row>
    <row r="13" ht="29.25" customHeight="1" s="322">
      <c r="B13" s="360" t="inlineStr">
        <is>
          <t>Индекс изменения сметной стоимости на 1 квартал 2023 года. МАТ</t>
        </is>
      </c>
      <c r="C13" s="360" t="inlineStr">
        <is>
          <t>Письмо Минстроя России от 30.03.2023г. №17106-ИФ/09  прил.1</t>
        </is>
      </c>
      <c r="D13" s="360" t="n">
        <v>4.39</v>
      </c>
    </row>
    <row r="14" ht="30.75" customHeight="1" s="322">
      <c r="B14" s="360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60" t="n">
        <v>6.26</v>
      </c>
    </row>
    <row r="15" ht="89.40000000000001" customHeight="1" s="322">
      <c r="B15" s="360" t="inlineStr">
        <is>
          <t>Временные здания и сооружения</t>
        </is>
      </c>
      <c r="C15" s="360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313" t="n">
        <v>0.025</v>
      </c>
    </row>
    <row r="16" ht="78.75" customHeight="1" s="322">
      <c r="B16" s="360" t="inlineStr">
        <is>
          <t>Дополнительные затраты при производстве строительно-монтажных работ в зимнее время</t>
        </is>
      </c>
      <c r="C16" s="360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313" t="n">
        <v>0.021</v>
      </c>
    </row>
    <row r="17" ht="29.4" customHeight="1" s="322">
      <c r="B17" s="360" t="inlineStr">
        <is>
          <t>Пусконаладочные работы*</t>
        </is>
      </c>
      <c r="C17" s="360" t="n"/>
      <c r="D17" s="313" t="inlineStr">
        <is>
          <t>Расчет</t>
        </is>
      </c>
    </row>
    <row r="18" ht="31.65" customHeight="1" s="322">
      <c r="B18" s="360" t="inlineStr">
        <is>
          <t>Строительный контроль</t>
        </is>
      </c>
      <c r="C18" s="360" t="inlineStr">
        <is>
          <t>Постановление Правительства РФ от 21.06.10 г. № 468</t>
        </is>
      </c>
      <c r="D18" s="313" t="n">
        <v>0.0214</v>
      </c>
    </row>
    <row r="19" ht="31.65" customHeight="1" s="322">
      <c r="B19" s="360" t="inlineStr">
        <is>
          <t>Авторский надзор - 0,2%</t>
        </is>
      </c>
      <c r="C19" s="360" t="inlineStr">
        <is>
          <t>Приказ от 4.08.2020 № 421/пр п.173</t>
        </is>
      </c>
      <c r="D19" s="313" t="n">
        <v>0.002</v>
      </c>
    </row>
    <row r="20" ht="24" customHeight="1" s="322">
      <c r="B20" s="360" t="inlineStr">
        <is>
          <t>Непредвиденные расходы</t>
        </is>
      </c>
      <c r="C20" s="360" t="inlineStr">
        <is>
          <t>Приказ от 4.08.2020 № 421/пр п.179</t>
        </is>
      </c>
      <c r="D20" s="313" t="n">
        <v>0.03</v>
      </c>
    </row>
    <row r="21" ht="18.75" customHeight="1" s="322">
      <c r="B21" s="259" t="n"/>
    </row>
    <row r="22" ht="18.75" customHeight="1" s="322">
      <c r="B22" s="259" t="n"/>
    </row>
    <row r="23" ht="18.75" customHeight="1" s="322">
      <c r="B23" s="259" t="n"/>
    </row>
    <row r="24" ht="18.75" customHeight="1" s="322">
      <c r="B24" s="259" t="n"/>
    </row>
    <row r="27">
      <c r="B27" s="308" t="inlineStr">
        <is>
          <t>Составил ______________________        Е.А. Князева</t>
        </is>
      </c>
      <c r="C27" s="309" t="n"/>
    </row>
    <row r="28">
      <c r="B28" s="311" t="inlineStr">
        <is>
          <t xml:space="preserve">                         (подпись, инициалы, фамилия)</t>
        </is>
      </c>
      <c r="C28" s="309" t="n"/>
    </row>
    <row r="29">
      <c r="B29" s="308" t="n"/>
      <c r="C29" s="309" t="n"/>
    </row>
    <row r="30">
      <c r="B30" s="308" t="inlineStr">
        <is>
          <t>Проверил ______________________        А.В. Костянецкая</t>
        </is>
      </c>
      <c r="C30" s="309" t="n"/>
    </row>
    <row r="31">
      <c r="B31" s="311" t="inlineStr">
        <is>
          <t xml:space="preserve">                        (подпись, инициалы, фамилия)</t>
        </is>
      </c>
      <c r="C31" s="309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45" sqref="D45"/>
    </sheetView>
  </sheetViews>
  <sheetFormatPr baseColWidth="8" defaultColWidth="9.109375" defaultRowHeight="14.4"/>
  <cols>
    <col width="44.88671875" customWidth="1" style="322" min="2" max="2"/>
    <col width="13" customWidth="1" style="322" min="3" max="3"/>
    <col width="22.88671875" customWidth="1" style="322" min="4" max="4"/>
    <col width="21.5546875" customWidth="1" style="322" min="5" max="5"/>
    <col width="43.88671875" customWidth="1" style="322" min="6" max="6"/>
  </cols>
  <sheetData>
    <row r="1" s="322"/>
    <row r="2" ht="17.25" customHeight="1" s="322">
      <c r="A2" s="355" t="inlineStr">
        <is>
          <t>Расчет размера средств на оплату труда рабочих-строителей в текущем уровне цен (ФОТр.тек.)</t>
        </is>
      </c>
    </row>
    <row r="3" s="322"/>
    <row r="4" ht="18" customHeight="1" s="322">
      <c r="A4" s="323" t="inlineStr">
        <is>
          <t>Составлен в уровне цен на 01.01.2023 г.</t>
        </is>
      </c>
      <c r="B4" s="324" t="n"/>
      <c r="C4" s="324" t="n"/>
      <c r="D4" s="324" t="n"/>
      <c r="E4" s="324" t="n"/>
      <c r="F4" s="324" t="n"/>
      <c r="G4" s="324" t="n"/>
    </row>
    <row r="5" ht="15.75" customHeight="1" s="322">
      <c r="A5" s="325" t="inlineStr">
        <is>
          <t>№ пп.</t>
        </is>
      </c>
      <c r="B5" s="325" t="inlineStr">
        <is>
          <t>Наименование элемента</t>
        </is>
      </c>
      <c r="C5" s="325" t="inlineStr">
        <is>
          <t>Обозначение</t>
        </is>
      </c>
      <c r="D5" s="325" t="inlineStr">
        <is>
          <t>Формула</t>
        </is>
      </c>
      <c r="E5" s="325" t="inlineStr">
        <is>
          <t>Величина элемента</t>
        </is>
      </c>
      <c r="F5" s="325" t="inlineStr">
        <is>
          <t>Наименования обосновывающих документов</t>
        </is>
      </c>
      <c r="G5" s="324" t="n"/>
    </row>
    <row r="6" ht="15.75" customHeight="1" s="322">
      <c r="A6" s="325" t="n">
        <v>1</v>
      </c>
      <c r="B6" s="325" t="n">
        <v>2</v>
      </c>
      <c r="C6" s="325" t="n">
        <v>3</v>
      </c>
      <c r="D6" s="325" t="n">
        <v>4</v>
      </c>
      <c r="E6" s="325" t="n">
        <v>5</v>
      </c>
      <c r="F6" s="325" t="n">
        <v>6</v>
      </c>
      <c r="G6" s="324" t="n"/>
    </row>
    <row r="7" ht="110.25" customHeight="1" s="322">
      <c r="A7" s="326" t="inlineStr">
        <is>
          <t>1.1</t>
        </is>
      </c>
      <c r="B7" s="33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60" t="inlineStr">
        <is>
          <t>С1ср</t>
        </is>
      </c>
      <c r="D7" s="360" t="inlineStr">
        <is>
          <t>-</t>
        </is>
      </c>
      <c r="E7" s="329" t="n">
        <v>47872.94</v>
      </c>
      <c r="F7" s="33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24" t="n"/>
    </row>
    <row r="8" ht="31.5" customHeight="1" s="322">
      <c r="A8" s="326" t="inlineStr">
        <is>
          <t>1.2</t>
        </is>
      </c>
      <c r="B8" s="331" t="inlineStr">
        <is>
          <t>Среднегодовое нормативное число часов работы одного рабочего в месяц, часы (ч.)</t>
        </is>
      </c>
      <c r="C8" s="360" t="inlineStr">
        <is>
          <t>tср</t>
        </is>
      </c>
      <c r="D8" s="360" t="inlineStr">
        <is>
          <t>1973ч/12мес.</t>
        </is>
      </c>
      <c r="E8" s="330">
        <f>1973/12</f>
        <v/>
      </c>
      <c r="F8" s="331" t="inlineStr">
        <is>
          <t>Производственный календарь 2023 год
(40-часов.неделя)</t>
        </is>
      </c>
      <c r="G8" s="333" t="n"/>
    </row>
    <row r="9" ht="15.75" customHeight="1" s="322">
      <c r="A9" s="326" t="inlineStr">
        <is>
          <t>1.3</t>
        </is>
      </c>
      <c r="B9" s="331" t="inlineStr">
        <is>
          <t>Коэффициент увеличения</t>
        </is>
      </c>
      <c r="C9" s="360" t="inlineStr">
        <is>
          <t>Кув</t>
        </is>
      </c>
      <c r="D9" s="360" t="inlineStr">
        <is>
          <t>-</t>
        </is>
      </c>
      <c r="E9" s="330" t="n">
        <v>1</v>
      </c>
      <c r="F9" s="331" t="n"/>
      <c r="G9" s="333" t="n"/>
    </row>
    <row r="10" ht="15.75" customHeight="1" s="322">
      <c r="A10" s="326" t="inlineStr">
        <is>
          <t>1.4</t>
        </is>
      </c>
      <c r="B10" s="331" t="inlineStr">
        <is>
          <t>Средний разряд работ</t>
        </is>
      </c>
      <c r="C10" s="360" t="n"/>
      <c r="D10" s="360" t="n"/>
      <c r="E10" s="454" t="n">
        <v>4</v>
      </c>
      <c r="F10" s="331" t="inlineStr">
        <is>
          <t>РТМ</t>
        </is>
      </c>
      <c r="G10" s="333" t="n"/>
    </row>
    <row r="11" ht="78.75" customHeight="1" s="322">
      <c r="A11" s="326" t="inlineStr">
        <is>
          <t>1.5</t>
        </is>
      </c>
      <c r="B11" s="331" t="inlineStr">
        <is>
          <t>Тарифный коэффициент среднего разряда работ</t>
        </is>
      </c>
      <c r="C11" s="360" t="inlineStr">
        <is>
          <t>КТ</t>
        </is>
      </c>
      <c r="D11" s="360" t="inlineStr">
        <is>
          <t>-</t>
        </is>
      </c>
      <c r="E11" s="455" t="n">
        <v>1.34</v>
      </c>
      <c r="F11" s="33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24" t="n"/>
    </row>
    <row r="12" ht="78.75" customHeight="1" s="322">
      <c r="A12" s="326" t="inlineStr">
        <is>
          <t>1.6</t>
        </is>
      </c>
      <c r="B12" s="336" t="inlineStr">
        <is>
          <t>Коэффициент инфляции, определяемый поквартально</t>
        </is>
      </c>
      <c r="C12" s="360" t="inlineStr">
        <is>
          <t>Кинф</t>
        </is>
      </c>
      <c r="D12" s="360" t="inlineStr">
        <is>
          <t>-</t>
        </is>
      </c>
      <c r="E12" s="456" t="n">
        <v>1.139</v>
      </c>
      <c r="F12" s="33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22">
      <c r="A13" s="339" t="inlineStr">
        <is>
          <t>1.7</t>
        </is>
      </c>
      <c r="B13" s="340" t="inlineStr">
        <is>
          <t>Размер средств на оплату труда рабочих-строителей в текущем уровне цен (ФОТр.тек.), руб/чел.-ч</t>
        </is>
      </c>
      <c r="C13" s="361" t="inlineStr">
        <is>
          <t>ФОТр.тек.</t>
        </is>
      </c>
      <c r="D13" s="361" t="inlineStr">
        <is>
          <t>(С1ср/tср*КТ*Т*Кув)*Кинф</t>
        </is>
      </c>
      <c r="E13" s="342">
        <f>((E7*E9/E8)*E11)*E12</f>
        <v/>
      </c>
      <c r="F13" s="34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24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2025-01-24T12:03:06Z</dcterms:modified>
  <cp:lastModifiedBy>user1</cp:lastModifiedBy>
</cp:coreProperties>
</file>