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6" zoomScale="55" zoomScaleNormal="55" workbookViewId="0">
      <selection activeCell="C27" sqref="C27"/>
    </sheetView>
  </sheetViews>
  <sheetFormatPr baseColWidth="8" defaultColWidth="9.109375" defaultRowHeight="15.6"/>
  <cols>
    <col width="9.109375" customWidth="1" style="325" min="1" max="2"/>
    <col width="51.6640625" customWidth="1" style="325" min="3" max="3"/>
    <col width="47" customWidth="1" style="325" min="4" max="4"/>
    <col width="37.44140625" customWidth="1" style="325" min="5" max="5"/>
    <col width="9.109375" customWidth="1" style="325" min="6" max="6"/>
  </cols>
  <sheetData>
    <row r="3">
      <c r="B3" s="355" t="inlineStr">
        <is>
          <t>Приложение № 1</t>
        </is>
      </c>
    </row>
    <row r="4">
      <c r="B4" s="356" t="inlineStr">
        <is>
          <t>Сравнительная таблица отбора объекта-представителя</t>
        </is>
      </c>
    </row>
    <row r="5" ht="84.15000000000001" customHeight="1" s="323">
      <c r="B5" s="3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8" t="n"/>
      <c r="C6" s="258" t="n"/>
      <c r="D6" s="258" t="n"/>
    </row>
    <row r="7" ht="64.5" customHeight="1" s="323">
      <c r="B7" s="357" t="inlineStr">
        <is>
          <t>Наименование разрабатываемого показателя УНЦ - КЛ 110(150) кВ (с алюминиевой жилой) сечение жилы 300 мм2</t>
        </is>
      </c>
    </row>
    <row r="8" ht="31.65" customHeight="1" s="323">
      <c r="B8" s="357" t="inlineStr">
        <is>
          <t>Сопоставимый уровень цен: 4 кв. 2016 г.</t>
        </is>
      </c>
    </row>
    <row r="9" ht="15.75" customHeight="1" s="323">
      <c r="B9" s="357" t="inlineStr">
        <is>
          <t>Единица измерения  — 1 км</t>
        </is>
      </c>
    </row>
    <row r="10">
      <c r="B10" s="357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34" t="n"/>
    </row>
    <row r="12" ht="96.75" customHeight="1" s="323">
      <c r="B12" s="360" t="n">
        <v>1</v>
      </c>
      <c r="C12" s="337" t="inlineStr">
        <is>
          <t>Наименование объекта-представителя</t>
        </is>
      </c>
      <c r="D12" s="360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0" t="n">
        <v>2</v>
      </c>
      <c r="C13" s="337" t="inlineStr">
        <is>
          <t>Наименование субъекта Российской Федерации</t>
        </is>
      </c>
      <c r="D13" s="360" t="inlineStr">
        <is>
          <t>Ленинградская область</t>
        </is>
      </c>
    </row>
    <row r="14">
      <c r="B14" s="360" t="n">
        <v>3</v>
      </c>
      <c r="C14" s="337" t="inlineStr">
        <is>
          <t>Климатический район и подрайон</t>
        </is>
      </c>
      <c r="D14" s="360" t="inlineStr">
        <is>
          <t>IIВ</t>
        </is>
      </c>
    </row>
    <row r="15">
      <c r="B15" s="360" t="n">
        <v>4</v>
      </c>
      <c r="C15" s="337" t="inlineStr">
        <is>
          <t>Мощность объекта</t>
        </is>
      </c>
      <c r="D15" s="360" t="n">
        <v>1</v>
      </c>
    </row>
    <row r="16" ht="116.4" customHeight="1" s="323">
      <c r="B16" s="36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>Кабель алюминиевый 110(150)кВ 1х300</t>
        </is>
      </c>
    </row>
    <row r="17" ht="79.5" customHeight="1" s="323">
      <c r="B17" s="36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D18+D19+D20+D21</f>
        <v/>
      </c>
      <c r="E17" s="257" t="n"/>
    </row>
    <row r="18">
      <c r="B18" s="233" t="inlineStr">
        <is>
          <t>6.1</t>
        </is>
      </c>
      <c r="C18" s="337" t="inlineStr">
        <is>
          <t>строительно-монтажные работы</t>
        </is>
      </c>
      <c r="D18" s="321" t="n">
        <v>9446.629999999999</v>
      </c>
    </row>
    <row r="19" ht="15.75" customHeight="1" s="323">
      <c r="B19" s="233" t="inlineStr">
        <is>
          <t>6.2</t>
        </is>
      </c>
      <c r="C19" s="337" t="inlineStr">
        <is>
          <t>оборудование и инвентарь</t>
        </is>
      </c>
      <c r="D19" s="321" t="n">
        <v>0</v>
      </c>
    </row>
    <row r="20" ht="16.5" customHeight="1" s="323">
      <c r="B20" s="233" t="inlineStr">
        <is>
          <t>6.3</t>
        </is>
      </c>
      <c r="C20" s="337" t="inlineStr">
        <is>
          <t>пусконаладочные работы</t>
        </is>
      </c>
      <c r="D20" s="321" t="n">
        <v>0</v>
      </c>
    </row>
    <row r="21" ht="35.4" customHeight="1" s="323">
      <c r="B21" s="233" t="inlineStr">
        <is>
          <t>6.4</t>
        </is>
      </c>
      <c r="C21" s="232" t="inlineStr">
        <is>
          <t>прочие и лимитированные затраты</t>
        </is>
      </c>
      <c r="D21" s="321">
        <f>D18*0.039+(D18*0.039+D18)*0.021</f>
        <v/>
      </c>
    </row>
    <row r="22">
      <c r="B22" s="360" t="n">
        <v>7</v>
      </c>
      <c r="C22" s="232" t="inlineStr">
        <is>
          <t>Сопоставимый уровень цен</t>
        </is>
      </c>
      <c r="D22" s="322" t="inlineStr">
        <is>
          <t>4 кв. 2016 г.</t>
        </is>
      </c>
      <c r="E22" s="230" t="n"/>
    </row>
    <row r="23" ht="123" customHeight="1" s="323">
      <c r="B23" s="360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  <c r="E23" s="257" t="n"/>
    </row>
    <row r="24" ht="60.75" customHeight="1" s="323">
      <c r="B24" s="36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  <c r="E24" s="230" t="n"/>
    </row>
    <row r="25" ht="48.15" customHeight="1" s="323">
      <c r="B25" s="360" t="n">
        <v>10</v>
      </c>
      <c r="C25" s="337" t="inlineStr">
        <is>
          <t>Примечание</t>
        </is>
      </c>
      <c r="D25" s="360" t="n"/>
    </row>
    <row r="26">
      <c r="B26" s="228" t="n"/>
      <c r="C26" s="227" t="n"/>
      <c r="D26" s="227" t="n"/>
    </row>
    <row r="27" ht="37.5" customHeight="1" s="323">
      <c r="B27" s="226" t="n"/>
    </row>
    <row r="28">
      <c r="B28" s="325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6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25" min="1" max="1"/>
    <col width="9.109375" customWidth="1" style="325" min="2" max="2"/>
    <col width="35.33203125" customWidth="1" style="325" min="3" max="3"/>
    <col width="13.88671875" customWidth="1" style="325" min="4" max="4"/>
    <col width="24.88671875" customWidth="1" style="325" min="5" max="5"/>
    <col width="15.5546875" customWidth="1" style="325" min="6" max="6"/>
    <col width="14.88671875" customWidth="1" style="325" min="7" max="7"/>
    <col width="16.6640625" customWidth="1" style="325" min="8" max="8"/>
    <col width="13" customWidth="1" style="325" min="9" max="10"/>
    <col width="18" customWidth="1" style="325" min="11" max="11"/>
    <col width="9.109375" customWidth="1" style="325" min="12" max="12"/>
  </cols>
  <sheetData>
    <row r="3">
      <c r="B3" s="355" t="inlineStr">
        <is>
          <t>Приложение № 2</t>
        </is>
      </c>
      <c r="K3" s="226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57">
        <f>'Прил.1 Сравнит табл'!B7:D7</f>
        <v/>
      </c>
    </row>
    <row r="7">
      <c r="B7" s="357">
        <f>'Прил.1 Сравнит табл'!B9:D9</f>
        <v/>
      </c>
    </row>
    <row r="8" ht="18.75" customHeight="1" s="323">
      <c r="B8" s="259" t="n"/>
    </row>
    <row r="9" ht="15.75" customHeight="1" s="323">
      <c r="A9" s="325" t="n"/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  <c r="K9" s="325" t="n"/>
      <c r="L9" s="325" t="n"/>
    </row>
    <row r="10" ht="15.75" customHeight="1" s="323">
      <c r="A10" s="325" t="n"/>
      <c r="B10" s="440" t="n"/>
      <c r="C10" s="440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4 кв. 2016г., тыс. руб.</t>
        </is>
      </c>
      <c r="G10" s="438" t="n"/>
      <c r="H10" s="438" t="n"/>
      <c r="I10" s="438" t="n"/>
      <c r="J10" s="439" t="n"/>
      <c r="K10" s="325" t="n"/>
      <c r="L10" s="325" t="n"/>
    </row>
    <row r="11" ht="31.5" customHeight="1" s="323">
      <c r="A11" s="325" t="n"/>
      <c r="B11" s="441" t="n"/>
      <c r="C11" s="441" t="n"/>
      <c r="D11" s="441" t="n"/>
      <c r="E11" s="441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  <c r="K11" s="325" t="n"/>
      <c r="L11" s="325" t="n"/>
    </row>
    <row r="12" ht="47.25" customHeight="1" s="323">
      <c r="A12" s="325" t="n"/>
      <c r="B12" s="326" t="n">
        <v>1</v>
      </c>
      <c r="C12" s="342">
        <f>'Прил.1 Сравнит табл'!D16</f>
        <v/>
      </c>
      <c r="D12" s="314" t="inlineStr">
        <is>
          <t>02-04-01</t>
        </is>
      </c>
      <c r="E12" s="337" t="inlineStr">
        <is>
          <t>Строительно-монтажные работы КЛ-110кВ Шушары</t>
        </is>
      </c>
      <c r="F12" s="316" t="n"/>
      <c r="G12" s="316">
        <f>9446630.69/1000</f>
        <v/>
      </c>
      <c r="H12" s="316" t="n"/>
      <c r="I12" s="316" t="n"/>
      <c r="J12" s="317">
        <f>SUM(F12:I12)</f>
        <v/>
      </c>
      <c r="K12" s="325" t="n"/>
      <c r="L12" s="325" t="n"/>
    </row>
    <row r="13" ht="15" customHeight="1" s="323">
      <c r="A13" s="325" t="n"/>
      <c r="B13" s="359" t="inlineStr">
        <is>
          <t>Всего по объекту:</t>
        </is>
      </c>
      <c r="C13" s="438" t="n"/>
      <c r="D13" s="438" t="n"/>
      <c r="E13" s="439" t="n"/>
      <c r="F13" s="319" t="n"/>
      <c r="G13" s="319">
        <f>SUM(G12:G12)</f>
        <v/>
      </c>
      <c r="H13" s="319" t="n"/>
      <c r="I13" s="319" t="n"/>
      <c r="J13" s="319">
        <f>SUM(F13:I13)</f>
        <v/>
      </c>
      <c r="K13" s="320" t="n"/>
      <c r="L13" s="325" t="n"/>
    </row>
    <row r="14" ht="15.75" customHeight="1" s="323">
      <c r="A14" s="325" t="n"/>
      <c r="B14" s="359" t="inlineStr">
        <is>
          <t>Всего по объекту в сопоставимом уровне цен 4 кв. 2016 г. :</t>
        </is>
      </c>
      <c r="C14" s="438" t="n"/>
      <c r="D14" s="438" t="n"/>
      <c r="E14" s="439" t="n"/>
      <c r="F14" s="319" t="n"/>
      <c r="G14" s="319">
        <f>G13</f>
        <v/>
      </c>
      <c r="H14" s="319" t="n"/>
      <c r="I14" s="319" t="n"/>
      <c r="J14" s="319">
        <f>SUM(F14:I14)</f>
        <v/>
      </c>
      <c r="K14" s="325" t="n"/>
      <c r="L14" s="325" t="n"/>
    </row>
    <row r="15" ht="15" customHeight="1" s="323">
      <c r="A15" s="325" t="n"/>
      <c r="B15" s="325" t="n"/>
      <c r="C15" s="325" t="n"/>
      <c r="D15" s="325" t="n"/>
      <c r="E15" s="325" t="n"/>
      <c r="F15" s="325" t="n"/>
      <c r="G15" s="325" t="n"/>
      <c r="H15" s="325" t="n"/>
      <c r="I15" s="325" t="n"/>
      <c r="J15" s="325" t="n"/>
      <c r="K15" s="325" t="n"/>
      <c r="L15" s="325" t="n"/>
    </row>
    <row r="16" ht="15" customHeight="1" s="323">
      <c r="A16" s="325" t="n"/>
      <c r="B16" s="325" t="n"/>
      <c r="C16" s="325" t="n"/>
      <c r="D16" s="325" t="n"/>
      <c r="E16" s="325" t="n"/>
      <c r="F16" s="325" t="n"/>
      <c r="G16" s="325" t="n"/>
      <c r="H16" s="325" t="n"/>
      <c r="I16" s="325" t="n"/>
      <c r="J16" s="325" t="n"/>
      <c r="K16" s="325" t="n"/>
      <c r="L16" s="325" t="n"/>
    </row>
    <row r="17" ht="15" customHeight="1" s="323">
      <c r="A17" s="325" t="n"/>
      <c r="B17" s="325" t="n"/>
      <c r="C17" s="325" t="n"/>
      <c r="D17" s="325" t="n"/>
      <c r="E17" s="325" t="n"/>
      <c r="F17" s="325" t="n"/>
      <c r="G17" s="325" t="n"/>
      <c r="H17" s="325" t="n"/>
      <c r="I17" s="325" t="n"/>
      <c r="J17" s="325" t="n"/>
      <c r="K17" s="325" t="n"/>
      <c r="L17" s="325" t="n"/>
    </row>
    <row r="18" ht="15" customHeight="1" s="323">
      <c r="A18" s="325" t="n"/>
      <c r="B18" s="325" t="n"/>
      <c r="C18" s="305" t="inlineStr">
        <is>
          <t>Составил ______________________     А.Р. Маркова</t>
        </is>
      </c>
      <c r="D18" s="306" t="n"/>
      <c r="E18" s="306" t="n"/>
      <c r="F18" s="325" t="n"/>
      <c r="G18" s="325" t="n"/>
      <c r="H18" s="325" t="n"/>
      <c r="I18" s="325" t="n"/>
      <c r="J18" s="325" t="n"/>
      <c r="K18" s="325" t="n"/>
      <c r="L18" s="325" t="n"/>
    </row>
    <row r="19" ht="15" customHeight="1" s="323">
      <c r="A19" s="325" t="n"/>
      <c r="B19" s="325" t="n"/>
      <c r="C19" s="308" t="inlineStr">
        <is>
          <t xml:space="preserve">                         (подпись, инициалы, фамилия)</t>
        </is>
      </c>
      <c r="D19" s="306" t="n"/>
      <c r="E19" s="306" t="n"/>
      <c r="F19" s="325" t="n"/>
      <c r="G19" s="325" t="n"/>
      <c r="H19" s="325" t="n"/>
      <c r="I19" s="325" t="n"/>
      <c r="J19" s="325" t="n"/>
      <c r="K19" s="325" t="n"/>
      <c r="L19" s="325" t="n"/>
    </row>
    <row r="20" ht="15" customHeight="1" s="323">
      <c r="A20" s="325" t="n"/>
      <c r="B20" s="325" t="n"/>
      <c r="C20" s="305" t="n"/>
      <c r="D20" s="306" t="n"/>
      <c r="E20" s="306" t="n"/>
      <c r="F20" s="325" t="n"/>
      <c r="G20" s="325" t="n"/>
      <c r="H20" s="325" t="n"/>
      <c r="I20" s="325" t="n"/>
      <c r="J20" s="325" t="n"/>
      <c r="K20" s="325" t="n"/>
      <c r="L20" s="325" t="n"/>
    </row>
    <row r="21" ht="15" customHeight="1" s="323">
      <c r="A21" s="325" t="n"/>
      <c r="B21" s="325" t="n"/>
      <c r="C21" s="305" t="inlineStr">
        <is>
          <t>Проверил ______________________        А.В. Костянецкая</t>
        </is>
      </c>
      <c r="D21" s="306" t="n"/>
      <c r="E21" s="306" t="n"/>
      <c r="F21" s="325" t="n"/>
      <c r="G21" s="325" t="n"/>
      <c r="H21" s="325" t="n"/>
      <c r="I21" s="325" t="n"/>
      <c r="J21" s="325" t="n"/>
      <c r="K21" s="325" t="n"/>
      <c r="L21" s="325" t="n"/>
    </row>
    <row r="22" ht="15" customHeight="1" s="323">
      <c r="A22" s="325" t="n"/>
      <c r="B22" s="325" t="n"/>
      <c r="C22" s="308" t="inlineStr">
        <is>
          <t xml:space="preserve">                        (подпись, инициалы, фамилия)</t>
        </is>
      </c>
      <c r="D22" s="306" t="n"/>
      <c r="E22" s="306" t="n"/>
      <c r="F22" s="325" t="n"/>
      <c r="G22" s="325" t="n"/>
      <c r="H22" s="325" t="n"/>
      <c r="I22" s="325" t="n"/>
      <c r="J22" s="325" t="n"/>
      <c r="K22" s="325" t="n"/>
      <c r="L22" s="325" t="n"/>
    </row>
    <row r="23" ht="15" customHeight="1" s="323">
      <c r="A23" s="325" t="n"/>
      <c r="B23" s="325" t="n"/>
      <c r="C23" s="325" t="n"/>
      <c r="D23" s="325" t="n"/>
      <c r="E23" s="325" t="n"/>
      <c r="F23" s="325" t="n"/>
      <c r="G23" s="325" t="n"/>
      <c r="H23" s="325" t="n"/>
      <c r="I23" s="325" t="n"/>
      <c r="J23" s="325" t="n"/>
      <c r="K23" s="325" t="n"/>
      <c r="L23" s="325" t="n"/>
    </row>
    <row r="24" ht="15" customHeight="1" s="323">
      <c r="A24" s="325" t="n"/>
      <c r="B24" s="325" t="n"/>
      <c r="C24" s="325" t="n"/>
      <c r="D24" s="325" t="n"/>
      <c r="E24" s="325" t="n"/>
      <c r="F24" s="325" t="n"/>
      <c r="G24" s="325" t="n"/>
      <c r="H24" s="325" t="n"/>
      <c r="I24" s="325" t="n"/>
      <c r="J24" s="325" t="n"/>
      <c r="K24" s="325" t="n"/>
      <c r="L24" s="325" t="n"/>
    </row>
    <row r="25" ht="15" customHeight="1" s="323">
      <c r="A25" s="325" t="n"/>
      <c r="B25" s="325" t="n"/>
      <c r="C25" s="325" t="n"/>
      <c r="D25" s="325" t="n"/>
      <c r="E25" s="325" t="n"/>
      <c r="F25" s="325" t="n"/>
      <c r="G25" s="325" t="n"/>
      <c r="H25" s="325" t="n"/>
      <c r="I25" s="325" t="n"/>
      <c r="J25" s="325" t="n"/>
      <c r="K25" s="325" t="n"/>
      <c r="L25" s="325" t="n"/>
    </row>
    <row r="26" ht="15" customHeight="1" s="323">
      <c r="A26" s="325" t="n"/>
      <c r="B26" s="325" t="n"/>
      <c r="C26" s="325" t="n"/>
      <c r="D26" s="325" t="n"/>
      <c r="E26" s="325" t="n"/>
      <c r="F26" s="325" t="n"/>
      <c r="G26" s="325" t="n"/>
      <c r="H26" s="325" t="n"/>
      <c r="I26" s="325" t="n"/>
      <c r="J26" s="325" t="n"/>
      <c r="K26" s="325" t="n"/>
      <c r="L26" s="325" t="n"/>
    </row>
    <row r="27" ht="15" customHeight="1" s="323"/>
    <row r="28" ht="15" customHeight="1" s="323"/>
    <row r="29" ht="15" customHeight="1" s="323"/>
    <row r="30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H34"/>
  <sheetViews>
    <sheetView view="pageBreakPreview" topLeftCell="A19" workbookViewId="0">
      <selection activeCell="D30" sqref="D30"/>
    </sheetView>
  </sheetViews>
  <sheetFormatPr baseColWidth="8" defaultColWidth="9.109375" defaultRowHeight="15.6"/>
  <cols>
    <col width="9.109375" customWidth="1" style="325" min="1" max="1"/>
    <col width="12.5546875" customWidth="1" style="325" min="2" max="2"/>
    <col width="22.44140625" customWidth="1" style="325" min="3" max="3"/>
    <col width="49.6640625" customWidth="1" style="325" min="4" max="4"/>
    <col width="10.109375" customWidth="1" style="325" min="5" max="5"/>
    <col width="20.6640625" customWidth="1" style="325" min="6" max="6"/>
    <col width="20" customWidth="1" style="325" min="7" max="7"/>
    <col width="16.6640625" customWidth="1" style="325" min="8" max="8"/>
    <col width="9.109375" customWidth="1" style="325" min="9" max="9"/>
  </cols>
  <sheetData>
    <row r="2">
      <c r="A2" s="355" t="inlineStr">
        <is>
          <t xml:space="preserve">Приложение № 3 </t>
        </is>
      </c>
    </row>
    <row r="3">
      <c r="A3" s="356" t="inlineStr">
        <is>
          <t>Объектная ресурсная ведомость</t>
        </is>
      </c>
    </row>
    <row r="4" ht="18.75" customHeight="1" s="323">
      <c r="A4" s="268" t="n"/>
      <c r="B4" s="268" t="n"/>
      <c r="C4" s="36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7" t="n"/>
    </row>
    <row r="6">
      <c r="A6" s="361" t="inlineStr">
        <is>
          <t>Наименование разрабатываемого показателя УНЦ - КЛ 110(150) кВ (с алюминиевой жилой) сечение жилы 300 мм2</t>
        </is>
      </c>
    </row>
    <row r="7">
      <c r="A7" s="361" t="n"/>
      <c r="B7" s="361" t="n"/>
      <c r="C7" s="361" t="n"/>
      <c r="D7" s="361" t="n"/>
      <c r="E7" s="361" t="n"/>
      <c r="F7" s="361" t="n"/>
      <c r="G7" s="361" t="n"/>
      <c r="H7" s="361" t="n"/>
    </row>
    <row r="8" ht="38.25" customHeight="1" s="323">
      <c r="A8" s="360" t="inlineStr">
        <is>
          <t>п/п</t>
        </is>
      </c>
      <c r="B8" s="360" t="inlineStr">
        <is>
          <t>№ЛСР</t>
        </is>
      </c>
      <c r="C8" s="360" t="inlineStr">
        <is>
          <t>Код ресурса</t>
        </is>
      </c>
      <c r="D8" s="360" t="inlineStr">
        <is>
          <t>Наименование ресурса</t>
        </is>
      </c>
      <c r="E8" s="360" t="inlineStr">
        <is>
          <t>Ед. изм.</t>
        </is>
      </c>
      <c r="F8" s="360" t="inlineStr">
        <is>
          <t>Кол-во единиц по данным объекта-представителя</t>
        </is>
      </c>
      <c r="G8" s="360" t="inlineStr">
        <is>
          <t>Сметная стоимость в ценах на 01.01.2000 (руб.)</t>
        </is>
      </c>
      <c r="H8" s="439" t="n"/>
    </row>
    <row r="9" ht="40.65" customHeight="1" s="323">
      <c r="A9" s="441" t="n"/>
      <c r="B9" s="441" t="n"/>
      <c r="C9" s="441" t="n"/>
      <c r="D9" s="441" t="n"/>
      <c r="E9" s="441" t="n"/>
      <c r="F9" s="441" t="n"/>
      <c r="G9" s="360" t="inlineStr">
        <is>
          <t>на ед.изм.</t>
        </is>
      </c>
      <c r="H9" s="360" t="inlineStr">
        <is>
          <t>общая</t>
        </is>
      </c>
    </row>
    <row r="10">
      <c r="A10" s="342" t="n">
        <v>1</v>
      </c>
      <c r="B10" s="342" t="n"/>
      <c r="C10" s="342" t="n">
        <v>2</v>
      </c>
      <c r="D10" s="342" t="inlineStr">
        <is>
          <t>З</t>
        </is>
      </c>
      <c r="E10" s="342" t="n">
        <v>4</v>
      </c>
      <c r="F10" s="342" t="n">
        <v>5</v>
      </c>
      <c r="G10" s="342" t="n">
        <v>6</v>
      </c>
      <c r="H10" s="342" t="n">
        <v>7</v>
      </c>
    </row>
    <row r="11" customFormat="1" s="299">
      <c r="A11" s="364" t="inlineStr">
        <is>
          <t>Затраты труда рабочих</t>
        </is>
      </c>
      <c r="B11" s="438" t="n"/>
      <c r="C11" s="438" t="n"/>
      <c r="D11" s="438" t="n"/>
      <c r="E11" s="439" t="n"/>
      <c r="F11" s="442">
        <f>SUM(F12:F12)</f>
        <v/>
      </c>
      <c r="G11" s="265" t="n"/>
      <c r="H11" s="442">
        <f>SUM(H12:H12)</f>
        <v/>
      </c>
    </row>
    <row r="12">
      <c r="A12" s="392" t="n">
        <v>1</v>
      </c>
      <c r="B12" s="241" t="n"/>
      <c r="C12" s="272" t="inlineStr">
        <is>
          <t>1-4-0</t>
        </is>
      </c>
      <c r="D12" s="279" t="inlineStr">
        <is>
          <t>Затраты труда рабочих (средний разряд работы 4)</t>
        </is>
      </c>
      <c r="E12" s="392" t="inlineStr">
        <is>
          <t>чел.-ч</t>
        </is>
      </c>
      <c r="F12" s="374" t="n">
        <v>592</v>
      </c>
      <c r="G12" s="443" t="n">
        <v>9.619999999999999</v>
      </c>
      <c r="H12" s="283">
        <f>ROUND(F12*G12,2)</f>
        <v/>
      </c>
    </row>
    <row r="13">
      <c r="A13" s="363" t="inlineStr">
        <is>
          <t>Затраты труда машинистов</t>
        </is>
      </c>
      <c r="B13" s="438" t="n"/>
      <c r="C13" s="438" t="n"/>
      <c r="D13" s="438" t="n"/>
      <c r="E13" s="439" t="n"/>
      <c r="F13" s="364" t="n"/>
      <c r="G13" s="239" t="n"/>
      <c r="H13" s="442">
        <f>H14</f>
        <v/>
      </c>
    </row>
    <row r="14">
      <c r="A14" s="392" t="n">
        <v>2</v>
      </c>
      <c r="B14" s="365" t="n"/>
      <c r="C14" s="278" t="n">
        <v>2</v>
      </c>
      <c r="D14" s="279" t="inlineStr">
        <is>
          <t>Затраты труда машинистов</t>
        </is>
      </c>
      <c r="E14" s="392" t="inlineStr">
        <is>
          <t>чел.-ч</t>
        </is>
      </c>
      <c r="F14" s="392" t="n">
        <v>37</v>
      </c>
      <c r="G14" s="283" t="n"/>
      <c r="H14" s="443" t="n">
        <v>504.8</v>
      </c>
    </row>
    <row r="15" customFormat="1" s="299">
      <c r="A15" s="364" t="inlineStr">
        <is>
          <t>Машины и механизмы</t>
        </is>
      </c>
      <c r="B15" s="438" t="n"/>
      <c r="C15" s="438" t="n"/>
      <c r="D15" s="438" t="n"/>
      <c r="E15" s="439" t="n"/>
      <c r="F15" s="364" t="n"/>
      <c r="G15" s="239" t="n"/>
      <c r="H15" s="442">
        <f>SUM(H16:H25)</f>
        <v/>
      </c>
    </row>
    <row r="16">
      <c r="A16" s="392" t="n">
        <v>3</v>
      </c>
      <c r="B16" s="365" t="n"/>
      <c r="C16" s="278" t="inlineStr">
        <is>
          <t>91.05.05-016</t>
        </is>
      </c>
      <c r="D16" s="279" t="inlineStr">
        <is>
          <t>Краны на автомобильном ходу, грузоподъемность 25 т</t>
        </is>
      </c>
      <c r="E16" s="392" t="inlineStr">
        <is>
          <t>маш.час</t>
        </is>
      </c>
      <c r="F16" s="392" t="n">
        <v>12.3</v>
      </c>
      <c r="G16" s="282" t="n">
        <v>476.43</v>
      </c>
      <c r="H16" s="283">
        <f>ROUND(F16*G16,2)</f>
        <v/>
      </c>
    </row>
    <row r="17" ht="25.5" customFormat="1" customHeight="1" s="299">
      <c r="A17" s="392" t="n">
        <v>4</v>
      </c>
      <c r="B17" s="365" t="n"/>
      <c r="C17" s="278" t="inlineStr">
        <is>
          <t>91.06.03-012</t>
        </is>
      </c>
      <c r="D17" s="279" t="inlineStr">
        <is>
          <t>Лебедки-прицепы гидравлические для протяжки кабеля, тяговое усилие 10 т</t>
        </is>
      </c>
      <c r="E17" s="392" t="inlineStr">
        <is>
          <t>маш.час</t>
        </is>
      </c>
      <c r="F17" s="392" t="n">
        <v>12.3</v>
      </c>
      <c r="G17" s="282" t="n">
        <v>244.95</v>
      </c>
      <c r="H17" s="283">
        <f>ROUND(F17*G17,2)</f>
        <v/>
      </c>
    </row>
    <row r="18">
      <c r="A18" s="392" t="n">
        <v>5</v>
      </c>
      <c r="B18" s="365" t="n"/>
      <c r="C18" s="278" t="inlineStr">
        <is>
          <t>91.14.04-002</t>
        </is>
      </c>
      <c r="D18" s="279" t="inlineStr">
        <is>
          <t>Тягачи седельные, грузоподъемность 15 т</t>
        </is>
      </c>
      <c r="E18" s="392" t="inlineStr">
        <is>
          <t>маш.час</t>
        </is>
      </c>
      <c r="F18" s="392" t="n">
        <v>9.4</v>
      </c>
      <c r="G18" s="282" t="n">
        <v>94.38</v>
      </c>
      <c r="H18" s="283">
        <f>ROUND(F18*G18,2)</f>
        <v/>
      </c>
    </row>
    <row r="19" ht="25.5" customHeight="1" s="323">
      <c r="A19" s="392" t="n">
        <v>6</v>
      </c>
      <c r="B19" s="365" t="n"/>
      <c r="C19" s="278" t="inlineStr">
        <is>
          <t>91.05.13-001</t>
        </is>
      </c>
      <c r="D19" s="279" t="inlineStr">
        <is>
          <t>Автомобили бортовые, грузоподъемность до 6 т, с краном-манипулятором-4,0 т</t>
        </is>
      </c>
      <c r="E19" s="392" t="inlineStr">
        <is>
          <t>маш.час</t>
        </is>
      </c>
      <c r="F19" s="392" t="n">
        <v>1.2</v>
      </c>
      <c r="G19" s="282" t="n">
        <v>288.03</v>
      </c>
      <c r="H19" s="283">
        <f>ROUND(F19*G19,2)</f>
        <v/>
      </c>
    </row>
    <row r="20" ht="25.5" customHeight="1" s="323">
      <c r="A20" s="392" t="n">
        <v>7</v>
      </c>
      <c r="B20" s="365" t="n"/>
      <c r="C20" s="278" t="inlineStr">
        <is>
          <t>91.14.05-012</t>
        </is>
      </c>
      <c r="D20" s="279" t="inlineStr">
        <is>
          <t>Полуприцепы общего назначения, грузоподъемность 15 т</t>
        </is>
      </c>
      <c r="E20" s="392" t="inlineStr">
        <is>
          <t>маш.час</t>
        </is>
      </c>
      <c r="F20" s="392" t="n">
        <v>9.4</v>
      </c>
      <c r="G20" s="282" t="n">
        <v>19.76</v>
      </c>
      <c r="H20" s="283">
        <f>ROUND(F20*G20,2)</f>
        <v/>
      </c>
    </row>
    <row r="21" ht="25.5" customHeight="1" s="323">
      <c r="A21" s="392" t="n">
        <v>8</v>
      </c>
      <c r="B21" s="365" t="n"/>
      <c r="C21" s="278" t="inlineStr">
        <is>
          <t>91.11.01-021</t>
        </is>
      </c>
      <c r="D21" s="279" t="inlineStr">
        <is>
          <t>Устройства подталкивающие для протяжки кабеля, тяговое усилие 800 кг</t>
        </is>
      </c>
      <c r="E21" s="392" t="inlineStr">
        <is>
          <t>маш.час</t>
        </is>
      </c>
      <c r="F21" s="392" t="n">
        <v>6.9</v>
      </c>
      <c r="G21" s="282" t="n">
        <v>25.37</v>
      </c>
      <c r="H21" s="283">
        <f>ROUND(F21*G21,2)</f>
        <v/>
      </c>
    </row>
    <row r="22">
      <c r="A22" s="392" t="n">
        <v>9</v>
      </c>
      <c r="B22" s="365" t="n"/>
      <c r="C22" s="278" t="inlineStr">
        <is>
          <t>91.16.01-002</t>
        </is>
      </c>
      <c r="D22" s="279" t="inlineStr">
        <is>
          <t>Электростанции передвижные, мощность 4 кВт</t>
        </is>
      </c>
      <c r="E22" s="392" t="inlineStr">
        <is>
          <t>маш.час</t>
        </is>
      </c>
      <c r="F22" s="392" t="n">
        <v>1.8</v>
      </c>
      <c r="G22" s="282" t="n">
        <v>27.11</v>
      </c>
      <c r="H22" s="283">
        <f>ROUND(F22*G22,2)</f>
        <v/>
      </c>
    </row>
    <row r="23">
      <c r="A23" s="392" t="n">
        <v>10</v>
      </c>
      <c r="B23" s="365" t="n"/>
      <c r="C23" s="278" t="inlineStr">
        <is>
          <t>91.17.04-091</t>
        </is>
      </c>
      <c r="D23" s="279" t="inlineStr">
        <is>
          <t>Горелки газовые инжекторные</t>
        </is>
      </c>
      <c r="E23" s="392" t="inlineStr">
        <is>
          <t>маш.час</t>
        </is>
      </c>
      <c r="F23" s="392" t="n">
        <v>1.8</v>
      </c>
      <c r="G23" s="282" t="n">
        <v>13.5</v>
      </c>
      <c r="H23" s="283">
        <f>ROUND(F23*G23,2)</f>
        <v/>
      </c>
    </row>
    <row r="24">
      <c r="A24" s="392" t="n">
        <v>11</v>
      </c>
      <c r="B24" s="365" t="n"/>
      <c r="C24" s="278" t="inlineStr">
        <is>
          <t>91.06.01-002</t>
        </is>
      </c>
      <c r="D24" s="279" t="inlineStr">
        <is>
          <t>Домкраты гидравлические, грузоподъемность 6,3-25 т</t>
        </is>
      </c>
      <c r="E24" s="392" t="inlineStr">
        <is>
          <t>маш.час</t>
        </is>
      </c>
      <c r="F24" s="392" t="n">
        <v>21.6</v>
      </c>
      <c r="G24" s="282" t="n">
        <v>0.48</v>
      </c>
      <c r="H24" s="283">
        <f>ROUND(F24*G24,2)</f>
        <v/>
      </c>
    </row>
    <row r="25">
      <c r="A25" s="392" t="n">
        <v>12</v>
      </c>
      <c r="B25" s="365" t="n"/>
      <c r="C25" s="278" t="inlineStr">
        <is>
          <t>91.21.15-022</t>
        </is>
      </c>
      <c r="D25" s="279" t="inlineStr">
        <is>
          <t>Пилы ленточные с поворотной пилорамой</t>
        </is>
      </c>
      <c r="E25" s="392" t="inlineStr">
        <is>
          <t>маш.час</t>
        </is>
      </c>
      <c r="F25" s="392" t="n">
        <v>1.8</v>
      </c>
      <c r="G25" s="282" t="n">
        <v>3.31</v>
      </c>
      <c r="H25" s="283">
        <f>ROUND(F25*G25,2)</f>
        <v/>
      </c>
    </row>
    <row r="26">
      <c r="A26" s="364" t="inlineStr">
        <is>
          <t>Материалы</t>
        </is>
      </c>
      <c r="B26" s="438" t="n"/>
      <c r="C26" s="438" t="n"/>
      <c r="D26" s="438" t="n"/>
      <c r="E26" s="439" t="n"/>
      <c r="F26" s="364" t="n"/>
      <c r="G26" s="239" t="n"/>
      <c r="H26" s="442">
        <f>SUM(H27:H27)</f>
        <v/>
      </c>
    </row>
    <row r="27">
      <c r="A27" s="290" t="n">
        <v>13</v>
      </c>
      <c r="B27" s="365" t="n"/>
      <c r="C27" s="374" t="inlineStr">
        <is>
          <t>Прайс из СД ОП</t>
        </is>
      </c>
      <c r="D27" s="279" t="inlineStr">
        <is>
          <t>Кабель алюминиевый 110(150)кВ 3х185</t>
        </is>
      </c>
      <c r="E27" s="392" t="inlineStr">
        <is>
          <t>км</t>
        </is>
      </c>
      <c r="F27" s="392" t="n">
        <v>3.3</v>
      </c>
      <c r="G27" s="283" t="n">
        <v>492636.63</v>
      </c>
      <c r="H27" s="283">
        <f>ROUND(F27*G27,2)</f>
        <v/>
      </c>
    </row>
    <row r="28">
      <c r="A28" s="290" t="n">
        <v>14</v>
      </c>
      <c r="B28" s="365" t="n"/>
      <c r="C28" s="278" t="inlineStr">
        <is>
          <t>01.3.02.09-0022</t>
        </is>
      </c>
      <c r="D28" s="279" t="inlineStr">
        <is>
          <t>Пропан-бутан смесь техническая</t>
        </is>
      </c>
      <c r="E28" s="392" t="inlineStr">
        <is>
          <t>кг</t>
        </is>
      </c>
      <c r="F28" s="392" t="n">
        <v>3.538</v>
      </c>
      <c r="G28" s="283" t="n">
        <v>6.09</v>
      </c>
      <c r="H28" s="283">
        <f>ROUND(F28*G28,2)</f>
        <v/>
      </c>
    </row>
    <row r="29" ht="3" customHeight="1" s="323"/>
    <row r="30">
      <c r="B30" s="325" t="inlineStr">
        <is>
          <t>Составил ______________________     А.Р. Маркова</t>
        </is>
      </c>
    </row>
    <row r="31">
      <c r="B31" s="226" t="inlineStr">
        <is>
          <t xml:space="preserve">                         (подпись, инициалы, фамилия)</t>
        </is>
      </c>
    </row>
    <row r="33">
      <c r="B33" s="325" t="inlineStr">
        <is>
          <t>Проверил ______________________        А.В. Костянецкая</t>
        </is>
      </c>
    </row>
    <row r="34">
      <c r="B34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6:E26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E43" sqref="E43"/>
    </sheetView>
  </sheetViews>
  <sheetFormatPr baseColWidth="8" defaultColWidth="9.109375" defaultRowHeight="14.4"/>
  <cols>
    <col width="4.109375" customWidth="1" style="323" min="1" max="1"/>
    <col width="36.33203125" customWidth="1" style="323" min="2" max="2"/>
    <col width="18.88671875" customWidth="1" style="323" min="3" max="3"/>
    <col width="18.33203125" customWidth="1" style="323" min="4" max="4"/>
    <col width="18.88671875" customWidth="1" style="323" min="5" max="5"/>
    <col width="11.44140625" customWidth="1" style="323" min="6" max="6"/>
    <col width="14.44140625" customWidth="1" style="323" min="7" max="7"/>
    <col width="9.109375" customWidth="1" style="323" min="8" max="11"/>
    <col width="13.5546875" customWidth="1" style="323" min="12" max="12"/>
    <col width="9.109375" customWidth="1" style="323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7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45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23">
      <c r="B7" s="354" t="inlineStr">
        <is>
          <t>Наименование разрабатываемого показателя УНЦ — КЛ 110(150) кВ (с алюминиевой жилой) сечение жилы 300 мм2</t>
        </is>
      </c>
    </row>
    <row r="8">
      <c r="B8" s="367" t="inlineStr">
        <is>
          <t>Единица измерения  — 1 км</t>
        </is>
      </c>
    </row>
    <row r="9">
      <c r="B9" s="253" t="n"/>
      <c r="C9" s="305" t="n"/>
      <c r="D9" s="305" t="n"/>
      <c r="E9" s="305" t="n"/>
    </row>
    <row r="10" ht="51" customHeight="1" s="323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  <c r="G17" s="444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6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55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7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tabSelected="1" view="pageBreakPreview" workbookViewId="0">
      <selection activeCell="D30" sqref="D30"/>
    </sheetView>
  </sheetViews>
  <sheetFormatPr baseColWidth="8" defaultColWidth="9.109375" defaultRowHeight="14.4" outlineLevelRow="1"/>
  <cols>
    <col width="5.6640625" customWidth="1" style="306" min="1" max="1"/>
    <col width="22.5546875" customWidth="1" style="306" min="2" max="2"/>
    <col width="39.109375" customWidth="1" style="306" min="3" max="3"/>
    <col width="10.6640625" customWidth="1" style="306" min="4" max="4"/>
    <col width="12.6640625" customWidth="1" style="306" min="5" max="5"/>
    <col width="15" customWidth="1" style="306" min="6" max="6"/>
    <col width="13.44140625" customWidth="1" style="306" min="7" max="7"/>
    <col width="12.6640625" customWidth="1" style="306" min="8" max="8"/>
    <col width="13.88671875" customWidth="1" style="306" min="9" max="9"/>
    <col width="17.5546875" customWidth="1" style="306" min="10" max="10"/>
    <col width="10.88671875" customWidth="1" style="306" min="11" max="11"/>
    <col width="9.109375" customWidth="1" style="306" min="12" max="12"/>
    <col width="9.109375" customWidth="1" style="323" min="13" max="13"/>
  </cols>
  <sheetData>
    <row r="1" s="323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3">
      <c r="A2" s="306" t="n"/>
      <c r="B2" s="306" t="n"/>
      <c r="C2" s="306" t="n"/>
      <c r="D2" s="306" t="n"/>
      <c r="E2" s="306" t="n"/>
      <c r="F2" s="306" t="n"/>
      <c r="G2" s="306" t="n"/>
      <c r="H2" s="382" t="inlineStr">
        <is>
          <t>Приложение №5</t>
        </is>
      </c>
      <c r="K2" s="306" t="n"/>
      <c r="L2" s="306" t="n"/>
      <c r="M2" s="306" t="n"/>
      <c r="N2" s="306" t="n"/>
    </row>
    <row r="3" s="323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45" t="inlineStr">
        <is>
          <t>Расчет стоимости СМР и оборудования</t>
        </is>
      </c>
    </row>
    <row r="5" ht="12.75" customFormat="1" customHeight="1" s="305">
      <c r="A5" s="345" t="n"/>
      <c r="B5" s="345" t="n"/>
      <c r="C5" s="395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86" t="inlineStr">
        <is>
          <t>КЛ 110(150) кВ (с алюминиевой жилой) сечение жилы 300 мм2</t>
        </is>
      </c>
    </row>
    <row r="7" ht="12.75" customFormat="1" customHeight="1" s="305">
      <c r="A7" s="348" t="inlineStr">
        <is>
          <t>Единица измерения  — 1 км</t>
        </is>
      </c>
      <c r="I7" s="354" t="n"/>
      <c r="J7" s="354" t="n"/>
    </row>
    <row r="8" ht="13.65" customFormat="1" customHeight="1" s="305">
      <c r="A8" s="348" t="n"/>
    </row>
    <row r="9" ht="13.2" customFormat="1" customHeight="1" s="305"/>
    <row r="10" ht="27" customHeight="1" s="323">
      <c r="A10" s="374" t="inlineStr">
        <is>
          <t>№ пп.</t>
        </is>
      </c>
      <c r="B10" s="374" t="inlineStr">
        <is>
          <t>Код ресурса</t>
        </is>
      </c>
      <c r="C10" s="374" t="inlineStr">
        <is>
          <t>Наименование</t>
        </is>
      </c>
      <c r="D10" s="374" t="inlineStr">
        <is>
          <t>Ед. изм.</t>
        </is>
      </c>
      <c r="E10" s="374" t="inlineStr">
        <is>
          <t>Кол-во единиц по проектным данным</t>
        </is>
      </c>
      <c r="F10" s="374" t="inlineStr">
        <is>
          <t>Сметная стоимость в ценах на 01.01.2000 (руб.)</t>
        </is>
      </c>
      <c r="G10" s="439" t="n"/>
      <c r="H10" s="374" t="inlineStr">
        <is>
          <t>Удельный вес, %</t>
        </is>
      </c>
      <c r="I10" s="374" t="inlineStr">
        <is>
          <t>Сметная стоимость в ценах на 01.01.2023 (руб.)</t>
        </is>
      </c>
      <c r="J10" s="439" t="n"/>
      <c r="K10" s="306" t="n"/>
      <c r="L10" s="306" t="n"/>
      <c r="M10" s="306" t="n"/>
      <c r="N10" s="306" t="n"/>
    </row>
    <row r="11" ht="28.5" customHeight="1" s="323">
      <c r="A11" s="441" t="n"/>
      <c r="B11" s="441" t="n"/>
      <c r="C11" s="441" t="n"/>
      <c r="D11" s="441" t="n"/>
      <c r="E11" s="441" t="n"/>
      <c r="F11" s="374" t="inlineStr">
        <is>
          <t>на ед. изм.</t>
        </is>
      </c>
      <c r="G11" s="374" t="inlineStr">
        <is>
          <t>общая</t>
        </is>
      </c>
      <c r="H11" s="441" t="n"/>
      <c r="I11" s="374" t="inlineStr">
        <is>
          <t>на ед. изм.</t>
        </is>
      </c>
      <c r="J11" s="374" t="inlineStr">
        <is>
          <t>общая</t>
        </is>
      </c>
      <c r="K11" s="306" t="n"/>
      <c r="L11" s="306" t="n"/>
      <c r="M11" s="306" t="n"/>
      <c r="N11" s="306" t="n"/>
    </row>
    <row r="12" s="323">
      <c r="A12" s="374" t="n">
        <v>1</v>
      </c>
      <c r="B12" s="374" t="n">
        <v>2</v>
      </c>
      <c r="C12" s="374" t="n">
        <v>3</v>
      </c>
      <c r="D12" s="374" t="n">
        <v>4</v>
      </c>
      <c r="E12" s="374" t="n">
        <v>5</v>
      </c>
      <c r="F12" s="374" t="n">
        <v>6</v>
      </c>
      <c r="G12" s="374" t="n">
        <v>7</v>
      </c>
      <c r="H12" s="374" t="n">
        <v>8</v>
      </c>
      <c r="I12" s="369" t="n">
        <v>9</v>
      </c>
      <c r="J12" s="369" t="n">
        <v>10</v>
      </c>
      <c r="K12" s="306" t="n"/>
      <c r="L12" s="306" t="n"/>
      <c r="M12" s="306" t="n"/>
      <c r="N12" s="306" t="n"/>
    </row>
    <row r="13">
      <c r="A13" s="374" t="n"/>
      <c r="B13" s="363" t="inlineStr">
        <is>
          <t>Затраты труда рабочих-строителей</t>
        </is>
      </c>
      <c r="C13" s="438" t="n"/>
      <c r="D13" s="438" t="n"/>
      <c r="E13" s="438" t="n"/>
      <c r="F13" s="438" t="n"/>
      <c r="G13" s="438" t="n"/>
      <c r="H13" s="439" t="n"/>
      <c r="I13" s="200" t="n"/>
      <c r="J13" s="200" t="n"/>
    </row>
    <row r="14" ht="25.5" customHeight="1" s="323">
      <c r="A14" s="374" t="n">
        <v>1</v>
      </c>
      <c r="B14" s="272" t="inlineStr">
        <is>
          <t>1-4-0</t>
        </is>
      </c>
      <c r="C14" s="373" t="inlineStr">
        <is>
          <t>Затраты труда рабочих-строителей среднего разряда (4,0)</t>
        </is>
      </c>
      <c r="D14" s="374" t="inlineStr">
        <is>
          <t>чел.-ч.</t>
        </is>
      </c>
      <c r="E14" s="445">
        <f>G14/F14</f>
        <v/>
      </c>
      <c r="F14" s="284" t="n">
        <v>9.619999999999999</v>
      </c>
      <c r="G14" s="284">
        <f>'Прил. 3'!H11</f>
        <v/>
      </c>
      <c r="H14" s="209">
        <f>G14/G15</f>
        <v/>
      </c>
      <c r="I14" s="284">
        <f>ФОТр.тек.!E13</f>
        <v/>
      </c>
      <c r="J14" s="284">
        <f>ROUND(I14*E14,2)</f>
        <v/>
      </c>
    </row>
    <row r="15" ht="25.5" customFormat="1" customHeight="1" s="306">
      <c r="A15" s="374" t="n"/>
      <c r="B15" s="374" t="n"/>
      <c r="C15" s="363" t="inlineStr">
        <is>
          <t>Итого по разделу "Затраты труда рабочих-строителей"</t>
        </is>
      </c>
      <c r="D15" s="374" t="inlineStr">
        <is>
          <t>чел.-ч.</t>
        </is>
      </c>
      <c r="E15" s="445">
        <f>SUM(E14:E14)</f>
        <v/>
      </c>
      <c r="F15" s="284" t="n"/>
      <c r="G15" s="284">
        <f>SUM(G14:G14)</f>
        <v/>
      </c>
      <c r="H15" s="377" t="n">
        <v>1</v>
      </c>
      <c r="I15" s="200" t="n"/>
      <c r="J15" s="284">
        <f>SUM(J14:J14)</f>
        <v/>
      </c>
    </row>
    <row r="16" ht="14.25" customFormat="1" customHeight="1" s="306">
      <c r="A16" s="374" t="n"/>
      <c r="B16" s="373" t="inlineStr">
        <is>
          <t>Затраты труда машинистов</t>
        </is>
      </c>
      <c r="C16" s="438" t="n"/>
      <c r="D16" s="438" t="n"/>
      <c r="E16" s="438" t="n"/>
      <c r="F16" s="438" t="n"/>
      <c r="G16" s="438" t="n"/>
      <c r="H16" s="439" t="n"/>
      <c r="I16" s="200" t="n"/>
      <c r="J16" s="200" t="n"/>
    </row>
    <row r="17" ht="14.25" customFormat="1" customHeight="1" s="306">
      <c r="A17" s="374" t="n">
        <v>2</v>
      </c>
      <c r="B17" s="374" t="n">
        <v>2</v>
      </c>
      <c r="C17" s="373" t="inlineStr">
        <is>
          <t>Затраты труда машинистов</t>
        </is>
      </c>
      <c r="D17" s="374" t="inlineStr">
        <is>
          <t>чел.-ч.</t>
        </is>
      </c>
      <c r="E17" s="445" t="n">
        <v>37</v>
      </c>
      <c r="F17" s="284">
        <f>G17/E17</f>
        <v/>
      </c>
      <c r="G17" s="284">
        <f>'Прил. 3'!H13</f>
        <v/>
      </c>
      <c r="H17" s="377" t="n">
        <v>1</v>
      </c>
      <c r="I17" s="284">
        <f>ROUND(F17*'Прил. 10'!D11,2)</f>
        <v/>
      </c>
      <c r="J17" s="284">
        <f>ROUND(I17*E17,2)</f>
        <v/>
      </c>
    </row>
    <row r="18" ht="14.25" customFormat="1" customHeight="1" s="306">
      <c r="A18" s="374" t="n"/>
      <c r="B18" s="363" t="inlineStr">
        <is>
          <t>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200" t="n"/>
      <c r="J18" s="200" t="n"/>
    </row>
    <row r="19" ht="14.25" customFormat="1" customHeight="1" s="306">
      <c r="A19" s="374" t="n"/>
      <c r="B19" s="373" t="inlineStr">
        <is>
          <t>Основные машины и механизмы</t>
        </is>
      </c>
      <c r="C19" s="438" t="n"/>
      <c r="D19" s="438" t="n"/>
      <c r="E19" s="438" t="n"/>
      <c r="F19" s="438" t="n"/>
      <c r="G19" s="438" t="n"/>
      <c r="H19" s="439" t="n"/>
      <c r="I19" s="200" t="n"/>
      <c r="J19" s="200" t="n"/>
    </row>
    <row r="20" ht="25.5" customFormat="1" customHeight="1" s="306">
      <c r="A20" s="374" t="n">
        <v>3</v>
      </c>
      <c r="B20" s="278" t="inlineStr">
        <is>
          <t>91.05.05-016</t>
        </is>
      </c>
      <c r="C20" s="279" t="inlineStr">
        <is>
          <t>Краны на автомобильном ходу, грузоподъемность 25 т</t>
        </is>
      </c>
      <c r="D20" s="392" t="inlineStr">
        <is>
          <t>маш.час</t>
        </is>
      </c>
      <c r="E20" s="446" t="n">
        <v>12.3</v>
      </c>
      <c r="F20" s="282" t="n">
        <v>476.43</v>
      </c>
      <c r="G20" s="284">
        <f>ROUND(E20*F20,2)</f>
        <v/>
      </c>
      <c r="H20" s="209">
        <f>G20/$G$32</f>
        <v/>
      </c>
      <c r="I20" s="284">
        <f>ROUND(F20*'Прил. 10'!$D$12,2)</f>
        <v/>
      </c>
      <c r="J20" s="284">
        <f>ROUND(I20*E20,2)</f>
        <v/>
      </c>
    </row>
    <row r="21" ht="25.5" customFormat="1" customHeight="1" s="306">
      <c r="A21" s="374" t="n">
        <v>4</v>
      </c>
      <c r="B21" s="278" t="inlineStr">
        <is>
          <t>91.06.03-012</t>
        </is>
      </c>
      <c r="C21" s="279" t="inlineStr">
        <is>
          <t>Лебедки-прицепы гидравлические для протяжки кабеля, тяговое усилие 10 т</t>
        </is>
      </c>
      <c r="D21" s="392" t="inlineStr">
        <is>
          <t>маш.час</t>
        </is>
      </c>
      <c r="E21" s="446" t="n">
        <v>12.3</v>
      </c>
      <c r="F21" s="282" t="n">
        <v>244.95</v>
      </c>
      <c r="G21" s="284">
        <f>ROUND(E21*F21,2)</f>
        <v/>
      </c>
      <c r="H21" s="209">
        <f>G21/$G$32</f>
        <v/>
      </c>
      <c r="I21" s="284">
        <f>ROUND(F21*'Прил. 10'!$D$12,2)</f>
        <v/>
      </c>
      <c r="J21" s="284">
        <f>ROUND(I21*E21,2)</f>
        <v/>
      </c>
    </row>
    <row r="22" ht="14.25" customFormat="1" customHeight="1" s="306">
      <c r="A22" s="374" t="n">
        <v>5</v>
      </c>
      <c r="B22" s="278" t="inlineStr">
        <is>
          <t>91.14.04-002</t>
        </is>
      </c>
      <c r="C22" s="279" t="inlineStr">
        <is>
          <t>Тягачи седельные, грузоподъемность 15 т</t>
        </is>
      </c>
      <c r="D22" s="392" t="inlineStr">
        <is>
          <t>маш.час</t>
        </is>
      </c>
      <c r="E22" s="446" t="n">
        <v>9.4</v>
      </c>
      <c r="F22" s="282" t="n">
        <v>94.38</v>
      </c>
      <c r="G22" s="284">
        <f>ROUND(E22*F22,2)</f>
        <v/>
      </c>
      <c r="H22" s="209">
        <f>G22/$G$32</f>
        <v/>
      </c>
      <c r="I22" s="284">
        <f>ROUND(F22*'Прил. 10'!$D$12,2)</f>
        <v/>
      </c>
      <c r="J22" s="284">
        <f>ROUND(I22*E22,2)</f>
        <v/>
      </c>
    </row>
    <row r="23" ht="14.25" customFormat="1" customHeight="1" s="306">
      <c r="A23" s="374" t="n"/>
      <c r="B23" s="374" t="n"/>
      <c r="C23" s="373" t="inlineStr">
        <is>
          <t>Итого основные машины и механизмы</t>
        </is>
      </c>
      <c r="D23" s="374" t="n"/>
      <c r="E23" s="447" t="n"/>
      <c r="F23" s="284" t="n"/>
      <c r="G23" s="284">
        <f>SUM(G20:G22)</f>
        <v/>
      </c>
      <c r="H23" s="377">
        <f>G23/G32</f>
        <v/>
      </c>
      <c r="I23" s="201" t="n"/>
      <c r="J23" s="284">
        <f>SUM(J20:J22)</f>
        <v/>
      </c>
    </row>
    <row r="24" outlineLevel="1" ht="25.5" customFormat="1" customHeight="1" s="306">
      <c r="A24" s="374" t="n">
        <v>6</v>
      </c>
      <c r="B24" s="278" t="inlineStr">
        <is>
          <t>91.05.13-001</t>
        </is>
      </c>
      <c r="C24" s="279" t="inlineStr">
        <is>
          <t>Автомобили бортовые, грузоподъемность до 6 т, с краном-манипулятором-4,0 т</t>
        </is>
      </c>
      <c r="D24" s="392" t="inlineStr">
        <is>
          <t>маш.час</t>
        </is>
      </c>
      <c r="E24" s="446" t="n">
        <v>1.2</v>
      </c>
      <c r="F24" s="282" t="n">
        <v>288.03</v>
      </c>
      <c r="G24" s="284">
        <f>ROUND(E24*F24,2)</f>
        <v/>
      </c>
      <c r="H24" s="209">
        <f>G24/$G$32</f>
        <v/>
      </c>
      <c r="I24" s="284">
        <f>ROUND(F24*'Прил. 10'!$D$12,2)</f>
        <v/>
      </c>
      <c r="J24" s="284">
        <f>ROUND(I24*E24,2)</f>
        <v/>
      </c>
    </row>
    <row r="25" outlineLevel="1" ht="25.5" customFormat="1" customHeight="1" s="306">
      <c r="A25" s="374" t="n">
        <v>7</v>
      </c>
      <c r="B25" s="278" t="inlineStr">
        <is>
          <t>91.14.05-012</t>
        </is>
      </c>
      <c r="C25" s="279" t="inlineStr">
        <is>
          <t>Полуприцепы общего назначения, грузоподъемность 15 т</t>
        </is>
      </c>
      <c r="D25" s="392" t="inlineStr">
        <is>
          <t>маш.час</t>
        </is>
      </c>
      <c r="E25" s="446" t="n">
        <v>9.4</v>
      </c>
      <c r="F25" s="282" t="n">
        <v>19.76</v>
      </c>
      <c r="G25" s="284">
        <f>ROUND(E25*F25,2)</f>
        <v/>
      </c>
      <c r="H25" s="209">
        <f>G25/$G$32</f>
        <v/>
      </c>
      <c r="I25" s="284">
        <f>ROUND(F25*'Прил. 10'!$D$12,2)</f>
        <v/>
      </c>
      <c r="J25" s="284">
        <f>ROUND(I25*E25,2)</f>
        <v/>
      </c>
    </row>
    <row r="26" outlineLevel="1" ht="25.5" customFormat="1" customHeight="1" s="306">
      <c r="A26" s="374" t="n">
        <v>8</v>
      </c>
      <c r="B26" s="278" t="inlineStr">
        <is>
          <t>91.11.01-021</t>
        </is>
      </c>
      <c r="C26" s="279" t="inlineStr">
        <is>
          <t>Устройства подталкивающие для протяжки кабеля, тяговое усилие 800 кг</t>
        </is>
      </c>
      <c r="D26" s="392" t="inlineStr">
        <is>
          <t>маш.час</t>
        </is>
      </c>
      <c r="E26" s="446" t="n">
        <v>6.9</v>
      </c>
      <c r="F26" s="282" t="n">
        <v>25.37</v>
      </c>
      <c r="G26" s="284">
        <f>ROUND(E26*F26,2)</f>
        <v/>
      </c>
      <c r="H26" s="209">
        <f>G26/$G$32</f>
        <v/>
      </c>
      <c r="I26" s="284">
        <f>ROUND(F26*'Прил. 10'!$D$12,2)</f>
        <v/>
      </c>
      <c r="J26" s="284">
        <f>ROUND(I26*E26,2)</f>
        <v/>
      </c>
    </row>
    <row r="27" outlineLevel="1" ht="25.5" customFormat="1" customHeight="1" s="306">
      <c r="A27" s="374" t="n">
        <v>9</v>
      </c>
      <c r="B27" s="278" t="inlineStr">
        <is>
          <t>91.16.01-002</t>
        </is>
      </c>
      <c r="C27" s="279" t="inlineStr">
        <is>
          <t>Электростанции передвижные, мощность 4 кВт</t>
        </is>
      </c>
      <c r="D27" s="392" t="inlineStr">
        <is>
          <t>маш.час</t>
        </is>
      </c>
      <c r="E27" s="446" t="n">
        <v>1.8</v>
      </c>
      <c r="F27" s="282" t="n">
        <v>27.11</v>
      </c>
      <c r="G27" s="284">
        <f>ROUND(E27*F27,2)</f>
        <v/>
      </c>
      <c r="H27" s="209">
        <f>G27/$G$32</f>
        <v/>
      </c>
      <c r="I27" s="284">
        <f>ROUND(F27*'Прил. 10'!$D$12,2)</f>
        <v/>
      </c>
      <c r="J27" s="284">
        <f>ROUND(I27*E27,2)</f>
        <v/>
      </c>
    </row>
    <row r="28" outlineLevel="1" ht="14.25" customFormat="1" customHeight="1" s="306">
      <c r="A28" s="374" t="n">
        <v>10</v>
      </c>
      <c r="B28" s="278" t="inlineStr">
        <is>
          <t>91.17.04-091</t>
        </is>
      </c>
      <c r="C28" s="279" t="inlineStr">
        <is>
          <t>Горелки газовые инжекторные</t>
        </is>
      </c>
      <c r="D28" s="392" t="inlineStr">
        <is>
          <t>маш.час</t>
        </is>
      </c>
      <c r="E28" s="446" t="n">
        <v>1.8</v>
      </c>
      <c r="F28" s="282" t="n">
        <v>13.5</v>
      </c>
      <c r="G28" s="284">
        <f>ROUND(E28*F28,2)</f>
        <v/>
      </c>
      <c r="H28" s="209">
        <f>G28/$G$32</f>
        <v/>
      </c>
      <c r="I28" s="284">
        <f>ROUND(F28*'Прил. 10'!$D$12,2)</f>
        <v/>
      </c>
      <c r="J28" s="284">
        <f>ROUND(I28*E28,2)</f>
        <v/>
      </c>
    </row>
    <row r="29" outlineLevel="1" ht="25.5" customFormat="1" customHeight="1" s="306">
      <c r="A29" s="374" t="n">
        <v>11</v>
      </c>
      <c r="B29" s="278" t="inlineStr">
        <is>
          <t>91.06.01-002</t>
        </is>
      </c>
      <c r="C29" s="279" t="inlineStr">
        <is>
          <t>Домкраты гидравлические, грузоподъемность 6,3-25 т</t>
        </is>
      </c>
      <c r="D29" s="392" t="inlineStr">
        <is>
          <t>маш.час</t>
        </is>
      </c>
      <c r="E29" s="446" t="n">
        <v>21.6</v>
      </c>
      <c r="F29" s="282" t="n">
        <v>0.48</v>
      </c>
      <c r="G29" s="284">
        <f>ROUND(E29*F29,2)</f>
        <v/>
      </c>
      <c r="H29" s="209">
        <f>G29/$G$32</f>
        <v/>
      </c>
      <c r="I29" s="284">
        <f>ROUND(F29*'Прил. 10'!$D$12,2)</f>
        <v/>
      </c>
      <c r="J29" s="284">
        <f>ROUND(I29*E29,2)</f>
        <v/>
      </c>
    </row>
    <row r="30" outlineLevel="1" ht="14.25" customFormat="1" customHeight="1" s="306">
      <c r="A30" s="374" t="n">
        <v>12</v>
      </c>
      <c r="B30" s="278" t="inlineStr">
        <is>
          <t>91.21.15-022</t>
        </is>
      </c>
      <c r="C30" s="279" t="inlineStr">
        <is>
          <t>Пилы ленточные с поворотной пилорамой</t>
        </is>
      </c>
      <c r="D30" s="392" t="inlineStr">
        <is>
          <t>маш.час</t>
        </is>
      </c>
      <c r="E30" s="446" t="n">
        <v>1.8</v>
      </c>
      <c r="F30" s="282" t="n">
        <v>3.31</v>
      </c>
      <c r="G30" s="284">
        <f>ROUND(E30*F30,2)</f>
        <v/>
      </c>
      <c r="H30" s="209">
        <f>G30/$G$32</f>
        <v/>
      </c>
      <c r="I30" s="284">
        <f>ROUND(F30*'Прил. 10'!$D$12,2)</f>
        <v/>
      </c>
      <c r="J30" s="284">
        <f>ROUND(I30*E30,2)</f>
        <v/>
      </c>
    </row>
    <row r="31" ht="14.25" customFormat="1" customHeight="1" s="306">
      <c r="A31" s="374" t="n"/>
      <c r="B31" s="374" t="n"/>
      <c r="C31" s="373" t="inlineStr">
        <is>
          <t>Итого прочие машины и механизмы</t>
        </is>
      </c>
      <c r="D31" s="374" t="n"/>
      <c r="E31" s="375" t="n"/>
      <c r="F31" s="284" t="n"/>
      <c r="G31" s="201">
        <f>SUM(G24:G30)</f>
        <v/>
      </c>
      <c r="H31" s="209">
        <f>G31/G32</f>
        <v/>
      </c>
      <c r="I31" s="284" t="n"/>
      <c r="J31" s="284">
        <f>SUM(J24:J30)</f>
        <v/>
      </c>
    </row>
    <row r="32" ht="25.5" customFormat="1" customHeight="1" s="306">
      <c r="A32" s="374" t="n"/>
      <c r="B32" s="374" t="n"/>
      <c r="C32" s="363" t="inlineStr">
        <is>
          <t>Итого по разделу «Машины и механизмы»</t>
        </is>
      </c>
      <c r="D32" s="374" t="n"/>
      <c r="E32" s="375" t="n"/>
      <c r="F32" s="284" t="n"/>
      <c r="G32" s="284">
        <f>G31+G23</f>
        <v/>
      </c>
      <c r="H32" s="194" t="n">
        <v>1</v>
      </c>
      <c r="I32" s="195" t="n"/>
      <c r="J32" s="221">
        <f>J31+J23</f>
        <v/>
      </c>
    </row>
    <row r="33" ht="14.25" customFormat="1" customHeight="1" s="306">
      <c r="A33" s="374" t="n"/>
      <c r="B33" s="363" t="inlineStr">
        <is>
          <t>Оборудование</t>
        </is>
      </c>
      <c r="C33" s="438" t="n"/>
      <c r="D33" s="438" t="n"/>
      <c r="E33" s="438" t="n"/>
      <c r="F33" s="438" t="n"/>
      <c r="G33" s="438" t="n"/>
      <c r="H33" s="439" t="n"/>
      <c r="I33" s="200" t="n"/>
      <c r="J33" s="200" t="n"/>
    </row>
    <row r="34">
      <c r="A34" s="374" t="n"/>
      <c r="B34" s="373" t="inlineStr">
        <is>
          <t>Основное оборудование</t>
        </is>
      </c>
      <c r="C34" s="438" t="n"/>
      <c r="D34" s="438" t="n"/>
      <c r="E34" s="438" t="n"/>
      <c r="F34" s="438" t="n"/>
      <c r="G34" s="438" t="n"/>
      <c r="H34" s="439" t="n"/>
      <c r="I34" s="200" t="n"/>
      <c r="J34" s="200" t="n"/>
      <c r="K34" s="306" t="n"/>
      <c r="L34" s="306" t="n"/>
    </row>
    <row r="35">
      <c r="A35" s="374" t="n"/>
      <c r="B35" s="374" t="n"/>
      <c r="C35" s="373" t="inlineStr">
        <is>
          <t>Итого основное оборудование</t>
        </is>
      </c>
      <c r="D35" s="374" t="n"/>
      <c r="E35" s="447" t="n"/>
      <c r="F35" s="376" t="n"/>
      <c r="G35" s="284" t="n">
        <v>0</v>
      </c>
      <c r="H35" s="209" t="n">
        <v>0</v>
      </c>
      <c r="I35" s="201" t="n"/>
      <c r="J35" s="284" t="n">
        <v>0</v>
      </c>
      <c r="K35" s="306" t="n"/>
      <c r="L35" s="306" t="n"/>
    </row>
    <row r="36">
      <c r="A36" s="374" t="n"/>
      <c r="B36" s="374" t="n"/>
      <c r="C36" s="373" t="inlineStr">
        <is>
          <t>Итого прочее оборудование</t>
        </is>
      </c>
      <c r="D36" s="374" t="n"/>
      <c r="E36" s="445" t="n"/>
      <c r="F36" s="376" t="n"/>
      <c r="G36" s="284" t="n">
        <v>0</v>
      </c>
      <c r="H36" s="209" t="n">
        <v>0</v>
      </c>
      <c r="I36" s="201" t="n"/>
      <c r="J36" s="284" t="n">
        <v>0</v>
      </c>
      <c r="K36" s="306" t="n"/>
      <c r="L36" s="306" t="n"/>
    </row>
    <row r="37">
      <c r="A37" s="374" t="n"/>
      <c r="B37" s="374" t="n"/>
      <c r="C37" s="363" t="inlineStr">
        <is>
          <t>Итого по разделу «Оборудование»</t>
        </is>
      </c>
      <c r="D37" s="374" t="n"/>
      <c r="E37" s="375" t="n"/>
      <c r="F37" s="376" t="n"/>
      <c r="G37" s="284">
        <f>G35+G36</f>
        <v/>
      </c>
      <c r="H37" s="209" t="n">
        <v>0</v>
      </c>
      <c r="I37" s="201" t="n"/>
      <c r="J37" s="284">
        <f>J36+J35</f>
        <v/>
      </c>
      <c r="K37" s="306" t="n"/>
      <c r="L37" s="306" t="n"/>
    </row>
    <row r="38" ht="25.5" customHeight="1" s="323">
      <c r="A38" s="374" t="n"/>
      <c r="B38" s="374" t="n"/>
      <c r="C38" s="373" t="inlineStr">
        <is>
          <t>в том числе технологическое оборудование</t>
        </is>
      </c>
      <c r="D38" s="374" t="n"/>
      <c r="E38" s="447" t="n"/>
      <c r="F38" s="376" t="n"/>
      <c r="G38" s="284">
        <f>'Прил.6 Расчет ОБ'!G12</f>
        <v/>
      </c>
      <c r="H38" s="377" t="n"/>
      <c r="I38" s="201" t="n"/>
      <c r="J38" s="284">
        <f>J37</f>
        <v/>
      </c>
      <c r="K38" s="306" t="n"/>
      <c r="L38" s="306" t="n"/>
    </row>
    <row r="39" ht="14.25" customFormat="1" customHeight="1" s="306">
      <c r="A39" s="374" t="n"/>
      <c r="B39" s="363" t="inlineStr">
        <is>
          <t>Материалы</t>
        </is>
      </c>
      <c r="C39" s="438" t="n"/>
      <c r="D39" s="438" t="n"/>
      <c r="E39" s="438" t="n"/>
      <c r="F39" s="438" t="n"/>
      <c r="G39" s="438" t="n"/>
      <c r="H39" s="439" t="n"/>
      <c r="I39" s="200" t="n"/>
      <c r="J39" s="200" t="n"/>
    </row>
    <row r="40" ht="14.25" customFormat="1" customHeight="1" s="306">
      <c r="A40" s="369" t="n"/>
      <c r="B40" s="368" t="inlineStr">
        <is>
          <t>Основные материалы</t>
        </is>
      </c>
      <c r="C40" s="448" t="n"/>
      <c r="D40" s="448" t="n"/>
      <c r="E40" s="448" t="n"/>
      <c r="F40" s="448" t="n"/>
      <c r="G40" s="448" t="n"/>
      <c r="H40" s="449" t="n"/>
      <c r="I40" s="215" t="n"/>
      <c r="J40" s="215" t="n"/>
    </row>
    <row r="41" ht="14.25" customFormat="1" customHeight="1" s="306">
      <c r="A41" s="374" t="n">
        <v>13</v>
      </c>
      <c r="B41" s="374" t="inlineStr">
        <is>
          <t>БЦ.81.499</t>
        </is>
      </c>
      <c r="C41" s="279" t="inlineStr">
        <is>
          <t>Кабель алюминиевый 110(150)кВ 1х300</t>
        </is>
      </c>
      <c r="D41" s="374" t="inlineStr">
        <is>
          <t>км</t>
        </is>
      </c>
      <c r="E41" s="447">
        <f>1*3.3</f>
        <v/>
      </c>
      <c r="F41" s="376">
        <f>ROUND(I41/'Прил. 10'!$D$13,2)</f>
        <v/>
      </c>
      <c r="G41" s="284">
        <f>ROUND(E41*F41,2)</f>
        <v/>
      </c>
      <c r="H41" s="209">
        <f>G41/$G$45</f>
        <v/>
      </c>
      <c r="I41" s="284" t="n">
        <v>3138860.4</v>
      </c>
      <c r="J41" s="284">
        <f>ROUND(I41*E41,2)</f>
        <v/>
      </c>
    </row>
    <row r="42" ht="14.25" customFormat="1" customHeight="1" s="306">
      <c r="A42" s="385" t="n"/>
      <c r="B42" s="217" t="n"/>
      <c r="C42" s="218" t="inlineStr">
        <is>
          <t>Итого основные материалы</t>
        </is>
      </c>
      <c r="D42" s="385" t="n"/>
      <c r="E42" s="450" t="n"/>
      <c r="F42" s="221" t="n"/>
      <c r="G42" s="221">
        <f>SUM(G41:G41)</f>
        <v/>
      </c>
      <c r="H42" s="209">
        <f>G42/$G$45</f>
        <v/>
      </c>
      <c r="I42" s="284" t="n"/>
      <c r="J42" s="221">
        <f>SUM(J41:J41)</f>
        <v/>
      </c>
    </row>
    <row r="43" outlineLevel="1" ht="14.25" customFormat="1" customHeight="1" s="306">
      <c r="A43" s="374" t="n">
        <v>14</v>
      </c>
      <c r="B43" s="278" t="inlineStr">
        <is>
          <t>01.3.02.09-0022</t>
        </is>
      </c>
      <c r="C43" s="279" t="inlineStr">
        <is>
          <t>Пропан-бутан смесь техническая</t>
        </is>
      </c>
      <c r="D43" s="392" t="inlineStr">
        <is>
          <t>кг</t>
        </is>
      </c>
      <c r="E43" s="446" t="n">
        <v>3.538</v>
      </c>
      <c r="F43" s="283" t="n">
        <v>6.09</v>
      </c>
      <c r="G43" s="284">
        <f>ROUND(E43*F43,2)</f>
        <v/>
      </c>
      <c r="H43" s="209">
        <f>G43/$G$45</f>
        <v/>
      </c>
      <c r="I43" s="284">
        <f>ROUND(F43*'Прил. 10'!$D$13,2)</f>
        <v/>
      </c>
      <c r="J43" s="284">
        <f>ROUND(I43*E43,2)</f>
        <v/>
      </c>
    </row>
    <row r="44" ht="14.25" customFormat="1" customHeight="1" s="306">
      <c r="A44" s="374" t="n"/>
      <c r="B44" s="374" t="n"/>
      <c r="C44" s="373" t="inlineStr">
        <is>
          <t>Итого прочие материалы</t>
        </is>
      </c>
      <c r="D44" s="374" t="n"/>
      <c r="E44" s="447" t="n"/>
      <c r="F44" s="376" t="n"/>
      <c r="G44" s="284">
        <f>SUM(G43:G43)</f>
        <v/>
      </c>
      <c r="H44" s="209">
        <f>G44/$G$45</f>
        <v/>
      </c>
      <c r="I44" s="284" t="n"/>
      <c r="J44" s="284">
        <f>SUM(J43:J43)</f>
        <v/>
      </c>
    </row>
    <row r="45" ht="14.25" customFormat="1" customHeight="1" s="306">
      <c r="A45" s="374" t="n"/>
      <c r="B45" s="374" t="n"/>
      <c r="C45" s="363" t="inlineStr">
        <is>
          <t>Итого по разделу «Материалы»</t>
        </is>
      </c>
      <c r="D45" s="374" t="n"/>
      <c r="E45" s="375" t="n"/>
      <c r="F45" s="376" t="n"/>
      <c r="G45" s="284">
        <f>G42+G44</f>
        <v/>
      </c>
      <c r="H45" s="377">
        <f>G45/$G$45</f>
        <v/>
      </c>
      <c r="I45" s="284" t="n"/>
      <c r="J45" s="284">
        <f>J42+J44</f>
        <v/>
      </c>
    </row>
    <row r="46" ht="14.25" customFormat="1" customHeight="1" s="306">
      <c r="A46" s="374" t="n"/>
      <c r="B46" s="374" t="n"/>
      <c r="C46" s="373" t="inlineStr">
        <is>
          <t>ИТОГО ПО РМ</t>
        </is>
      </c>
      <c r="D46" s="374" t="n"/>
      <c r="E46" s="375" t="n"/>
      <c r="F46" s="376" t="n"/>
      <c r="G46" s="284">
        <f>G15+G32+G45</f>
        <v/>
      </c>
      <c r="H46" s="377" t="n"/>
      <c r="I46" s="284" t="n"/>
      <c r="J46" s="284">
        <f>J15+J32+J45</f>
        <v/>
      </c>
    </row>
    <row r="47" ht="14.25" customFormat="1" customHeight="1" s="306">
      <c r="A47" s="374" t="n"/>
      <c r="B47" s="374" t="n"/>
      <c r="C47" s="373" t="inlineStr">
        <is>
          <t>Накладные расходы</t>
        </is>
      </c>
      <c r="D47" s="203">
        <f>ROUND(G47/(G$17+$G$15),2)</f>
        <v/>
      </c>
      <c r="E47" s="375" t="n"/>
      <c r="F47" s="376" t="n"/>
      <c r="G47" s="284" t="n">
        <v>6013.81</v>
      </c>
      <c r="H47" s="377" t="n"/>
      <c r="I47" s="284" t="n"/>
      <c r="J47" s="284">
        <f>ROUND(D47*(J15+J17),2)</f>
        <v/>
      </c>
    </row>
    <row r="48" ht="14.25" customFormat="1" customHeight="1" s="306">
      <c r="A48" s="374" t="n"/>
      <c r="B48" s="374" t="n"/>
      <c r="C48" s="373" t="inlineStr">
        <is>
          <t>Сметная прибыль</t>
        </is>
      </c>
      <c r="D48" s="203">
        <f>ROUND(G48/(G$15+G$17),2)</f>
        <v/>
      </c>
      <c r="E48" s="375" t="n"/>
      <c r="F48" s="376" t="n"/>
      <c r="G48" s="284" t="n">
        <v>3161.9</v>
      </c>
      <c r="H48" s="377" t="n"/>
      <c r="I48" s="284" t="n"/>
      <c r="J48" s="284">
        <f>ROUND(D48*(J15+J17),2)</f>
        <v/>
      </c>
    </row>
    <row r="49" ht="14.25" customFormat="1" customHeight="1" s="306">
      <c r="A49" s="374" t="n"/>
      <c r="B49" s="374" t="n"/>
      <c r="C49" s="373" t="inlineStr">
        <is>
          <t>Итого СМР (с НР и СП)</t>
        </is>
      </c>
      <c r="D49" s="374" t="n"/>
      <c r="E49" s="375" t="n"/>
      <c r="F49" s="376" t="n"/>
      <c r="G49" s="284">
        <f>G15+G32+G45+G47+G48</f>
        <v/>
      </c>
      <c r="H49" s="377" t="n"/>
      <c r="I49" s="284" t="n"/>
      <c r="J49" s="284">
        <f>J15+J32+J45+J47+J48</f>
        <v/>
      </c>
    </row>
    <row r="50" ht="14.25" customFormat="1" customHeight="1" s="306">
      <c r="A50" s="374" t="n"/>
      <c r="B50" s="374" t="n"/>
      <c r="C50" s="373" t="inlineStr">
        <is>
          <t>ВСЕГО СМР + ОБОРУДОВАНИЕ</t>
        </is>
      </c>
      <c r="D50" s="374" t="n"/>
      <c r="E50" s="375" t="n"/>
      <c r="F50" s="376" t="n"/>
      <c r="G50" s="284">
        <f>G49+G37</f>
        <v/>
      </c>
      <c r="H50" s="377" t="n"/>
      <c r="I50" s="284" t="n"/>
      <c r="J50" s="284">
        <f>J49+J37</f>
        <v/>
      </c>
    </row>
    <row r="51" ht="34.5" customFormat="1" customHeight="1" s="306">
      <c r="A51" s="374" t="n"/>
      <c r="B51" s="374" t="n"/>
      <c r="C51" s="373" t="inlineStr">
        <is>
          <t>ИТОГО ПОКАЗАТЕЛЬ НА ЕД. ИЗМ.</t>
        </is>
      </c>
      <c r="D51" s="374" t="inlineStr">
        <is>
          <t>1 км</t>
        </is>
      </c>
      <c r="E51" s="447" t="n">
        <v>1</v>
      </c>
      <c r="F51" s="376" t="n"/>
      <c r="G51" s="284">
        <f>G50/E51</f>
        <v/>
      </c>
      <c r="H51" s="377" t="n"/>
      <c r="I51" s="284" t="n"/>
      <c r="J51" s="284">
        <f>J50/E51</f>
        <v/>
      </c>
    </row>
    <row r="53" ht="14.25" customFormat="1" customHeight="1" s="306">
      <c r="A53" s="305" t="inlineStr">
        <is>
          <t>Составил ______________________    А.Р. Маркова</t>
        </is>
      </c>
    </row>
    <row r="54" ht="14.25" customFormat="1" customHeight="1" s="306">
      <c r="A54" s="308" t="inlineStr">
        <is>
          <t xml:space="preserve">                         (подпись, инициалы, фамилия)</t>
        </is>
      </c>
    </row>
    <row r="55" ht="14.25" customFormat="1" customHeight="1" s="306">
      <c r="A55" s="305" t="n"/>
    </row>
    <row r="56" ht="14.25" customFormat="1" customHeight="1" s="306">
      <c r="A56" s="305" t="inlineStr">
        <is>
          <t>Проверил ______________________        А.В. Костянецкая</t>
        </is>
      </c>
    </row>
    <row r="57" ht="14.25" customFormat="1" customHeight="1" s="306">
      <c r="A57" s="308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4.4"/>
  <cols>
    <col width="5.6640625" customWidth="1" style="323" min="1" max="1"/>
    <col width="17.5546875" customWidth="1" style="323" min="2" max="2"/>
    <col width="39.109375" customWidth="1" style="323" min="3" max="3"/>
    <col width="10.6640625" customWidth="1" style="323" min="4" max="4"/>
    <col width="13.88671875" customWidth="1" style="323" min="5" max="5"/>
    <col width="13.33203125" customWidth="1" style="323" min="6" max="6"/>
    <col width="14.109375" customWidth="1" style="323" min="7" max="7"/>
  </cols>
  <sheetData>
    <row r="1">
      <c r="A1" s="387" t="inlineStr">
        <is>
          <t>Приложение №6</t>
        </is>
      </c>
    </row>
    <row r="2" ht="21.75" customHeight="1" s="323">
      <c r="A2" s="387" t="n"/>
      <c r="B2" s="387" t="n"/>
      <c r="C2" s="387" t="n"/>
      <c r="D2" s="387" t="n"/>
      <c r="E2" s="387" t="n"/>
      <c r="F2" s="387" t="n"/>
      <c r="G2" s="387" t="n"/>
    </row>
    <row r="3">
      <c r="A3" s="345" t="inlineStr">
        <is>
          <t>Расчет стоимости оборудования</t>
        </is>
      </c>
    </row>
    <row r="4" ht="25.5" customHeight="1" s="323">
      <c r="A4" s="348" t="inlineStr">
        <is>
          <t>Наименование разрабатываемого показателя УНЦ — КЛ 110(150) кВ (с алюминиевой жилой) сечение жилы 300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.15" customHeight="1" s="323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74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3">
      <c r="A9" s="245" t="n"/>
      <c r="B9" s="373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23">
      <c r="A10" s="374" t="n"/>
      <c r="B10" s="363" t="n"/>
      <c r="C10" s="373" t="inlineStr">
        <is>
          <t>ИТОГО ИНЖЕНЕРНОЕ ОБОРУДОВАНИЕ</t>
        </is>
      </c>
      <c r="D10" s="363" t="n"/>
      <c r="E10" s="148" t="n"/>
      <c r="F10" s="376" t="n"/>
      <c r="G10" s="376" t="n">
        <v>0</v>
      </c>
    </row>
    <row r="11">
      <c r="A11" s="374" t="n"/>
      <c r="B11" s="373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 ht="25.5" customHeight="1" s="323">
      <c r="A12" s="374" t="n"/>
      <c r="B12" s="373" t="n"/>
      <c r="C12" s="373" t="inlineStr">
        <is>
          <t>ИТОГО ТЕХНОЛОГИЧЕСКОЕ ОБОРУДОВАНИЕ</t>
        </is>
      </c>
      <c r="D12" s="373" t="n"/>
      <c r="E12" s="391" t="n"/>
      <c r="F12" s="376" t="n"/>
      <c r="G12" s="284" t="n">
        <v>0</v>
      </c>
    </row>
    <row r="13" ht="19.5" customHeight="1" s="323">
      <c r="A13" s="374" t="n"/>
      <c r="B13" s="373" t="n"/>
      <c r="C13" s="373" t="inlineStr">
        <is>
          <t>Всего по разделу «Оборудование»</t>
        </is>
      </c>
      <c r="D13" s="373" t="n"/>
      <c r="E13" s="391" t="n"/>
      <c r="F13" s="376" t="n"/>
      <c r="G13" s="284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ColWidth="9.109375" defaultRowHeight="14.4"/>
  <cols>
    <col width="12.6640625" customWidth="1" style="323" min="1" max="1"/>
    <col width="22.44140625" customWidth="1" style="323" min="2" max="2"/>
    <col width="37.109375" customWidth="1" style="323" min="3" max="3"/>
    <col width="49" customWidth="1" style="323" min="4" max="4"/>
    <col width="9.10937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299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31.5" customHeight="1" s="323">
      <c r="A5" s="393" t="inlineStr">
        <is>
          <t xml:space="preserve">Наименование разрабатываемого показателя УНЦ - </t>
        </is>
      </c>
      <c r="D5" s="393">
        <f>'Прил.5 Расчет СМР и ОБ'!D6:J6</f>
        <v/>
      </c>
    </row>
    <row r="6" ht="15.75" customHeight="1" s="323">
      <c r="A6" s="325" t="inlineStr">
        <is>
          <t>Единица измерения  — 1 км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41" t="n"/>
      <c r="B9" s="441" t="n"/>
      <c r="C9" s="441" t="n"/>
      <c r="D9" s="441" t="n"/>
    </row>
    <row r="10" ht="15.75" customHeight="1" s="323">
      <c r="A10" s="360" t="n">
        <v>1</v>
      </c>
      <c r="B10" s="360" t="n">
        <v>2</v>
      </c>
      <c r="C10" s="360" t="n">
        <v>3</v>
      </c>
      <c r="D10" s="360" t="n">
        <v>4</v>
      </c>
    </row>
    <row r="11" ht="47.25" customHeight="1" s="323">
      <c r="A11" s="360" t="inlineStr">
        <is>
          <t>К1-09-5</t>
        </is>
      </c>
      <c r="B11" s="360" t="inlineStr">
        <is>
          <t>УНЦ КЛ 6-500 кВ (с алюминиевой жилой)</t>
        </is>
      </c>
      <c r="C11" s="303">
        <f>D5</f>
        <v/>
      </c>
      <c r="D11" s="331">
        <f>'Прил.4 РМ'!C41/1000</f>
        <v/>
      </c>
    </row>
    <row r="13">
      <c r="A13" s="305" t="inlineStr">
        <is>
          <t>Составил ______________________ 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3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D24" sqref="D24"/>
    </sheetView>
  </sheetViews>
  <sheetFormatPr baseColWidth="8" defaultColWidth="9.109375" defaultRowHeight="14.4"/>
  <cols>
    <col width="9.109375" customWidth="1" style="323" min="1" max="1"/>
    <col width="40.6640625" customWidth="1" style="323" min="2" max="2"/>
    <col width="37" customWidth="1" style="323" min="3" max="3"/>
    <col width="32" customWidth="1" style="323" min="4" max="4"/>
    <col width="9.109375" customWidth="1" style="323" min="5" max="5"/>
  </cols>
  <sheetData>
    <row r="4" ht="15.75" customHeight="1" s="323">
      <c r="B4" s="355" t="inlineStr">
        <is>
          <t>Приложение № 10</t>
        </is>
      </c>
    </row>
    <row r="5" ht="18.75" customHeight="1" s="323">
      <c r="B5" s="172" t="n"/>
    </row>
    <row r="6" ht="15.75" customHeight="1" s="323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4" t="n"/>
    </row>
    <row r="8">
      <c r="B8" s="394" t="n"/>
      <c r="C8" s="394" t="n"/>
      <c r="D8" s="394" t="n"/>
      <c r="E8" s="394" t="n"/>
    </row>
    <row r="9" ht="47.25" customHeight="1" s="323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3">
      <c r="B10" s="360" t="n">
        <v>1</v>
      </c>
      <c r="C10" s="360" t="n">
        <v>2</v>
      </c>
      <c r="D10" s="360" t="n">
        <v>3</v>
      </c>
    </row>
    <row r="11" ht="45" customHeight="1" s="323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3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10.77</v>
      </c>
    </row>
    <row r="13" ht="29.25" customHeight="1" s="323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4.39</v>
      </c>
    </row>
    <row r="14" ht="30.75" customHeight="1" s="323">
      <c r="B14" s="36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0" t="n">
        <v>6.26</v>
      </c>
    </row>
    <row r="15" ht="89.40000000000001" customHeight="1" s="323">
      <c r="B15" s="360" t="inlineStr">
        <is>
          <t>Временные здания и сооружения</t>
        </is>
      </c>
      <c r="C15" s="36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1" t="n">
        <v>0.039</v>
      </c>
    </row>
    <row r="16" ht="78.75" customHeight="1" s="323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1" t="n">
        <v>0.021</v>
      </c>
    </row>
    <row r="17" ht="27.6" customHeight="1" s="323">
      <c r="B17" s="360" t="inlineStr">
        <is>
          <t>Пусконаладочные работы*</t>
        </is>
      </c>
      <c r="C17" s="360" t="n"/>
      <c r="D17" s="311" t="inlineStr">
        <is>
          <t>Расчет</t>
        </is>
      </c>
    </row>
    <row r="18" ht="31.65" customHeight="1" s="323">
      <c r="B18" s="360" t="inlineStr">
        <is>
          <t>Строительный контроль</t>
        </is>
      </c>
      <c r="C18" s="360" t="inlineStr">
        <is>
          <t>Постановление Правительства РФ от 21.06.10 г. № 468</t>
        </is>
      </c>
      <c r="D18" s="311" t="n">
        <v>0.0214</v>
      </c>
    </row>
    <row r="19" ht="31.65" customHeight="1" s="323">
      <c r="B19" s="360" t="inlineStr">
        <is>
          <t>Авторский надзор - 0,2%</t>
        </is>
      </c>
      <c r="C19" s="360" t="inlineStr">
        <is>
          <t>Приказ от 4.08.2020 № 421/пр п.173</t>
        </is>
      </c>
      <c r="D19" s="311" t="n">
        <v>0.002</v>
      </c>
    </row>
    <row r="20" ht="24" customHeight="1" s="323">
      <c r="B20" s="360" t="inlineStr">
        <is>
          <t>Непредвиденные расходы</t>
        </is>
      </c>
      <c r="C20" s="360" t="inlineStr">
        <is>
          <t>Приказ от 4.08.2020 № 421/пр п.179</t>
        </is>
      </c>
      <c r="D20" s="311" t="n">
        <v>0.03</v>
      </c>
    </row>
    <row r="21" ht="18.75" customHeight="1" s="323">
      <c r="B21" s="259" t="n"/>
    </row>
    <row r="22" ht="18.75" customHeight="1" s="323">
      <c r="B22" s="259" t="n"/>
    </row>
    <row r="23" ht="18.75" customHeight="1" s="323">
      <c r="B23" s="259" t="n"/>
    </row>
    <row r="24" ht="18.75" customHeight="1" s="323">
      <c r="B24" s="259" t="n"/>
    </row>
    <row r="27">
      <c r="B27" s="305" t="inlineStr">
        <is>
          <t>Составил ______________________        Е.А. Князева</t>
        </is>
      </c>
      <c r="C27" s="306" t="n"/>
    </row>
    <row r="28">
      <c r="B28" s="308" t="inlineStr">
        <is>
          <t xml:space="preserve">                         (подпись, инициалы, фамилия)</t>
        </is>
      </c>
      <c r="C28" s="306" t="n"/>
    </row>
    <row r="29">
      <c r="B29" s="305" t="n"/>
      <c r="C29" s="306" t="n"/>
    </row>
    <row r="30">
      <c r="B30" s="305" t="inlineStr">
        <is>
          <t>Проверил ______________________        А.В. Костянецкая</t>
        </is>
      </c>
      <c r="C30" s="306" t="n"/>
    </row>
    <row r="31">
      <c r="B31" s="308" t="inlineStr">
        <is>
          <t xml:space="preserve">                        (подпись, инициалы, фамилия)</t>
        </is>
      </c>
      <c r="C31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D12" sqref="D12"/>
    </sheetView>
  </sheetViews>
  <sheetFormatPr baseColWidth="8" defaultColWidth="9.109375" defaultRowHeight="14.4"/>
  <cols>
    <col width="44.88671875" customWidth="1" style="323" min="2" max="2"/>
    <col width="13" customWidth="1" style="323" min="3" max="3"/>
    <col width="22.88671875" customWidth="1" style="323" min="4" max="4"/>
    <col width="21.5546875" customWidth="1" style="323" min="5" max="5"/>
    <col width="43.88671875" customWidth="1" style="323" min="6" max="6"/>
  </cols>
  <sheetData>
    <row r="1" s="323"/>
    <row r="2" ht="17.25" customHeight="1" s="323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60" t="n"/>
      <c r="D10" s="360" t="n"/>
      <c r="E10" s="451" t="n">
        <v>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52" t="n">
        <v>1.34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27" t="inlineStr">
        <is>
          <t>1.6</t>
        </is>
      </c>
      <c r="B12" s="337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453" t="n">
        <v>1.139</v>
      </c>
      <c r="F12" s="3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340" t="inlineStr">
        <is>
          <t>1.7</t>
        </is>
      </c>
      <c r="B13" s="341" t="inlineStr">
        <is>
          <t>Размер средств на оплату труда рабочих-строителей в текущем уровне цен (ФОТр.тек.), руб/чел.-ч</t>
        </is>
      </c>
      <c r="C13" s="342" t="inlineStr">
        <is>
          <t>ФОТр.тек.</t>
        </is>
      </c>
      <c r="D13" s="342" t="inlineStr">
        <is>
          <t>(С1ср/tср*КТ*Т*Кув)*Кинф</t>
        </is>
      </c>
      <c r="E13" s="343">
        <f>((E7*E9/E8)*E11)*E12</f>
        <v/>
      </c>
      <c r="F13" s="3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2025-01-24T12:03:35Z</dcterms:modified>
  <cp:lastModifiedBy>user1</cp:lastModifiedBy>
</cp:coreProperties>
</file>